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comments2.xml" ContentType="application/vnd.openxmlformats-officedocument.spreadsheetml.comments+xml"/>
  <Override PartName="/xl/tables/table5.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3108792\Work Folders\Nettipäivitykset\"/>
    </mc:Choice>
  </mc:AlternateContent>
  <bookViews>
    <workbookView xWindow="0" yWindow="0" windowWidth="20490" windowHeight="6420" tabRatio="652"/>
  </bookViews>
  <sheets>
    <sheet name="OHJEET" sheetId="41" r:id="rId1"/>
    <sheet name="0 Järjestäjätiedot" sheetId="20" state="hidden" r:id="rId2"/>
    <sheet name="1.1 Jakotaulu" sheetId="18" r:id="rId3"/>
    <sheet name="1.2 Ohjaus-laskentataulu" sheetId="17" r:id="rId4"/>
    <sheet name="1.3 Vertailulukuja" sheetId="24" r:id="rId5"/>
    <sheet name="1.4 Maakuntalukuja" sheetId="25" r:id="rId6"/>
    <sheet name="1.5 Opisk.vuosien kohdentuminen" sheetId="31" state="hidden" r:id="rId7"/>
    <sheet name="2.1 Toteut. op.vuodet" sheetId="5" r:id="rId8"/>
    <sheet name="2.2 Tutk. ja osien pain. pist." sheetId="27" r:id="rId9"/>
    <sheet name="2.3 Työll. ja jatko-opisk." sheetId="3" r:id="rId10"/>
    <sheet name="2.4 Aloittaneet palaute" sheetId="1" r:id="rId11"/>
    <sheet name="2.5 Päättäneet palaute" sheetId="2" r:id="rId12"/>
    <sheet name="3.1 Alv vahvistettu" sheetId="43" r:id="rId13"/>
    <sheet name="3.2 Suoritepäätös 2019" sheetId="13" r:id="rId14"/>
  </sheets>
  <externalReferences>
    <externalReference r:id="rId15"/>
  </externalReferences>
  <definedNames>
    <definedName name="_xlnm._FilterDatabase" localSheetId="3" hidden="1">'1.2 Ohjaus-laskentataulu'!$C$6:$C$155</definedName>
    <definedName name="_xlnm._FilterDatabase" localSheetId="5" hidden="1">'1.4 Maakuntalukuja'!$F$6:$F$23</definedName>
    <definedName name="FuusiotKpl">[1]Fuusiot!$C$1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6" i="17" l="1"/>
  <c r="Q17" i="18" l="1"/>
  <c r="N17" i="18"/>
  <c r="AN156" i="17" l="1"/>
  <c r="AM156" i="17"/>
  <c r="AL156" i="17"/>
  <c r="AK156" i="17"/>
  <c r="AJ156" i="17"/>
  <c r="AI156" i="17"/>
  <c r="AH156" i="17"/>
  <c r="AG156" i="17"/>
  <c r="AF156" i="17"/>
  <c r="AE156" i="17"/>
  <c r="AD156" i="17"/>
  <c r="AC156" i="17"/>
  <c r="AB156" i="17"/>
  <c r="AA156" i="17"/>
  <c r="F156" i="17"/>
  <c r="J7" i="18" l="1"/>
  <c r="J18" i="18" l="1"/>
  <c r="O17" i="18"/>
  <c r="AS155" i="17"/>
  <c r="AS154" i="17"/>
  <c r="AS153" i="17"/>
  <c r="AS152" i="17"/>
  <c r="AS151" i="17"/>
  <c r="AS150" i="17"/>
  <c r="AS149" i="17"/>
  <c r="AS148" i="17"/>
  <c r="AS147" i="17"/>
  <c r="AS146" i="17"/>
  <c r="AS145" i="17"/>
  <c r="AS144" i="17"/>
  <c r="AS143" i="17"/>
  <c r="AS142" i="17"/>
  <c r="AS140" i="17"/>
  <c r="AS139" i="17"/>
  <c r="AS138" i="17"/>
  <c r="AS136" i="17"/>
  <c r="AS135" i="17"/>
  <c r="AS134" i="17"/>
  <c r="AS133" i="17"/>
  <c r="AS132" i="17"/>
  <c r="AS131" i="17"/>
  <c r="AS130" i="17"/>
  <c r="AS129" i="17"/>
  <c r="AS128" i="17"/>
  <c r="AS126" i="17"/>
  <c r="AS124" i="17"/>
  <c r="AS123" i="17"/>
  <c r="AS122" i="17"/>
  <c r="AS121" i="17"/>
  <c r="AS120" i="17"/>
  <c r="AS119" i="17"/>
  <c r="AS118" i="17"/>
  <c r="AS117" i="17"/>
  <c r="AS116" i="17"/>
  <c r="AS115" i="17"/>
  <c r="AS114" i="17"/>
  <c r="AS113" i="17"/>
  <c r="AS112" i="17"/>
  <c r="AS111" i="17"/>
  <c r="AS110" i="17"/>
  <c r="AS109" i="17"/>
  <c r="AS108" i="17"/>
  <c r="AS107" i="17"/>
  <c r="AS106" i="17"/>
  <c r="AS105" i="17"/>
  <c r="AS104" i="17"/>
  <c r="AS103" i="17"/>
  <c r="AS102" i="17"/>
  <c r="AS101" i="17"/>
  <c r="AS100" i="17"/>
  <c r="AS99" i="17"/>
  <c r="AS98" i="17"/>
  <c r="AS97" i="17"/>
  <c r="AS96" i="17"/>
  <c r="AS95" i="17"/>
  <c r="AS94" i="17"/>
  <c r="AS93" i="17"/>
  <c r="AS92" i="17"/>
  <c r="AS91" i="17"/>
  <c r="AS90" i="17"/>
  <c r="AS89" i="17"/>
  <c r="AS88" i="17"/>
  <c r="AS87" i="17"/>
  <c r="AS86" i="17"/>
  <c r="AS85" i="17"/>
  <c r="AS83" i="17"/>
  <c r="AS82" i="17"/>
  <c r="AS81" i="17"/>
  <c r="AS80" i="17"/>
  <c r="AS79" i="17"/>
  <c r="AS78" i="17"/>
  <c r="AS77" i="17"/>
  <c r="AS76" i="17"/>
  <c r="AS75" i="17"/>
  <c r="AS74" i="17"/>
  <c r="AS73" i="17"/>
  <c r="AS72" i="17"/>
  <c r="AS71" i="17"/>
  <c r="AS70" i="17"/>
  <c r="AS69" i="17"/>
  <c r="AS68" i="17"/>
  <c r="AS67" i="17"/>
  <c r="AS66" i="17"/>
  <c r="AS65" i="17"/>
  <c r="AS64" i="17"/>
  <c r="AS63" i="17"/>
  <c r="AS62" i="17"/>
  <c r="AS61" i="17"/>
  <c r="AS60" i="17"/>
  <c r="AS59" i="17"/>
  <c r="AS58" i="17"/>
  <c r="AS57" i="17"/>
  <c r="AS56" i="17"/>
  <c r="AS55" i="17"/>
  <c r="AS54" i="17"/>
  <c r="AS53" i="17"/>
  <c r="AS52" i="17"/>
  <c r="AS51" i="17"/>
  <c r="AS50" i="17"/>
  <c r="AS49" i="17"/>
  <c r="AS48" i="17"/>
  <c r="AS47" i="17"/>
  <c r="AS46" i="17"/>
  <c r="AS44" i="17"/>
  <c r="AS43" i="17"/>
  <c r="AS42" i="17"/>
  <c r="AS41" i="17"/>
  <c r="AS40" i="17"/>
  <c r="AS39" i="17"/>
  <c r="AS38" i="17"/>
  <c r="AS37" i="17"/>
  <c r="AS36" i="17"/>
  <c r="AS35" i="17"/>
  <c r="AS34" i="17"/>
  <c r="AS33" i="17"/>
  <c r="AS32" i="17"/>
  <c r="AS31" i="17"/>
  <c r="AS30" i="17"/>
  <c r="AS29" i="17"/>
  <c r="AS28" i="17"/>
  <c r="AS27" i="17"/>
  <c r="AS26" i="17"/>
  <c r="AS25" i="17"/>
  <c r="AS24" i="17"/>
  <c r="AS23" i="17"/>
  <c r="AS22" i="17"/>
  <c r="AS21" i="17"/>
  <c r="AS20" i="17"/>
  <c r="AS19" i="17"/>
  <c r="AS18" i="17"/>
  <c r="AS17" i="17"/>
  <c r="AS16" i="17"/>
  <c r="AS15" i="17"/>
  <c r="AS13" i="17"/>
  <c r="AS12" i="17"/>
  <c r="AS11" i="17"/>
  <c r="AS10" i="17"/>
  <c r="AS9" i="17"/>
  <c r="AS8" i="17"/>
  <c r="AS6" i="17"/>
  <c r="C3" i="43" l="1"/>
  <c r="B5" i="27" l="1"/>
  <c r="B6" i="2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54" i="27"/>
  <c r="B55" i="27"/>
  <c r="B56" i="27"/>
  <c r="B57" i="27"/>
  <c r="B58" i="27"/>
  <c r="B59" i="27"/>
  <c r="B60" i="27"/>
  <c r="B61" i="27"/>
  <c r="B62" i="27"/>
  <c r="B63" i="27"/>
  <c r="B64" i="27"/>
  <c r="B65" i="27"/>
  <c r="B66" i="27"/>
  <c r="B67" i="27"/>
  <c r="B68" i="27"/>
  <c r="B69" i="27"/>
  <c r="B70" i="27"/>
  <c r="B71" i="27"/>
  <c r="B72" i="27"/>
  <c r="B73" i="27"/>
  <c r="B74" i="27"/>
  <c r="B75" i="27"/>
  <c r="B76" i="27"/>
  <c r="B77" i="27"/>
  <c r="B78" i="27"/>
  <c r="B79" i="27"/>
  <c r="B80" i="27"/>
  <c r="B81" i="27"/>
  <c r="B82" i="27"/>
  <c r="B83" i="27"/>
  <c r="B84" i="27"/>
  <c r="B85" i="27"/>
  <c r="B86" i="27"/>
  <c r="B87" i="27"/>
  <c r="B88" i="27"/>
  <c r="B89" i="27"/>
  <c r="B90" i="27"/>
  <c r="B91" i="27"/>
  <c r="B92" i="27"/>
  <c r="B93" i="27"/>
  <c r="B94" i="27"/>
  <c r="B95" i="27"/>
  <c r="B96" i="27"/>
  <c r="B97" i="27"/>
  <c r="B98" i="27"/>
  <c r="B99" i="27"/>
  <c r="B100" i="27"/>
  <c r="B101" i="27"/>
  <c r="B102" i="27"/>
  <c r="B103" i="27"/>
  <c r="B104" i="27"/>
  <c r="B105" i="27"/>
  <c r="B106" i="27"/>
  <c r="B107" i="27"/>
  <c r="B108" i="27"/>
  <c r="B109" i="27"/>
  <c r="B110" i="27"/>
  <c r="B111" i="27"/>
  <c r="B112" i="27"/>
  <c r="B113" i="27"/>
  <c r="B114" i="27"/>
  <c r="B115" i="27"/>
  <c r="B116" i="27"/>
  <c r="B117" i="27"/>
  <c r="B118" i="27"/>
  <c r="B119" i="27"/>
  <c r="B120" i="27"/>
  <c r="B121" i="27"/>
  <c r="B122" i="27"/>
  <c r="B123" i="27"/>
  <c r="B124" i="27"/>
  <c r="B125" i="27"/>
  <c r="B126" i="27"/>
  <c r="B127" i="27"/>
  <c r="B128" i="27"/>
  <c r="B129" i="27"/>
  <c r="B130" i="27"/>
  <c r="B131" i="27"/>
  <c r="B132" i="27"/>
  <c r="B133" i="27"/>
  <c r="B134" i="27"/>
  <c r="B135" i="27"/>
  <c r="B136" i="27"/>
  <c r="B137" i="27"/>
  <c r="B138" i="27"/>
  <c r="B139" i="27"/>
  <c r="B140" i="27"/>
  <c r="N25" i="18" l="1"/>
  <c r="O25" i="18"/>
  <c r="C134" i="43" l="1"/>
  <c r="AS141" i="17" s="1"/>
  <c r="C133" i="43"/>
  <c r="AS127" i="17" s="1"/>
  <c r="C132" i="43"/>
  <c r="AS84" i="17" s="1"/>
  <c r="C131" i="43"/>
  <c r="AS7" i="17" s="1"/>
  <c r="C130" i="43"/>
  <c r="AS45" i="17" s="1"/>
  <c r="C129" i="43"/>
  <c r="AS14" i="17" s="1"/>
  <c r="C128" i="43"/>
  <c r="AS125" i="17" s="1"/>
  <c r="C127" i="43"/>
  <c r="AS137" i="17" s="1"/>
  <c r="AS156" i="17" l="1"/>
  <c r="D165" i="13"/>
  <c r="E165" i="13"/>
  <c r="F165" i="13"/>
  <c r="G165" i="13"/>
  <c r="I165" i="13"/>
  <c r="J165" i="13"/>
  <c r="K165" i="13"/>
  <c r="L165" i="13"/>
  <c r="M165" i="13"/>
  <c r="N165" i="13"/>
  <c r="O165" i="13"/>
  <c r="P165" i="13"/>
  <c r="Q165" i="13"/>
  <c r="R165" i="13"/>
  <c r="D166" i="13"/>
  <c r="E166" i="13"/>
  <c r="F166" i="13"/>
  <c r="G166" i="13"/>
  <c r="I166" i="13"/>
  <c r="J166" i="13"/>
  <c r="K166" i="13"/>
  <c r="L166" i="13"/>
  <c r="M166" i="13"/>
  <c r="N166" i="13"/>
  <c r="O166" i="13"/>
  <c r="P166" i="13"/>
  <c r="Q166" i="13"/>
  <c r="R166" i="13"/>
  <c r="D167" i="13"/>
  <c r="E167" i="13"/>
  <c r="F167" i="13"/>
  <c r="G167" i="13"/>
  <c r="I167" i="13"/>
  <c r="J167" i="13"/>
  <c r="K167" i="13"/>
  <c r="L167" i="13"/>
  <c r="M167" i="13"/>
  <c r="N167" i="13"/>
  <c r="O167" i="13"/>
  <c r="P167" i="13"/>
  <c r="Q167" i="13"/>
  <c r="R167" i="13"/>
  <c r="D168" i="13"/>
  <c r="E168" i="13"/>
  <c r="F168" i="13"/>
  <c r="G168" i="13"/>
  <c r="I168" i="13"/>
  <c r="J168" i="13"/>
  <c r="K168" i="13"/>
  <c r="L168" i="13"/>
  <c r="M168" i="13"/>
  <c r="N168" i="13"/>
  <c r="O168" i="13"/>
  <c r="P168" i="13"/>
  <c r="Q168" i="13"/>
  <c r="R168" i="13"/>
  <c r="H166" i="13" l="1"/>
  <c r="H167" i="13"/>
  <c r="H168" i="13"/>
  <c r="H165" i="13"/>
  <c r="B124" i="2" l="1"/>
  <c r="B125" i="2"/>
  <c r="B126" i="2"/>
  <c r="B127" i="2"/>
  <c r="B128" i="2"/>
  <c r="B129" i="2"/>
  <c r="B130" i="2"/>
  <c r="B131" i="2"/>
  <c r="B132" i="2"/>
  <c r="B133" i="2"/>
  <c r="B134" i="2"/>
  <c r="B135" i="2"/>
  <c r="T152" i="24" l="1"/>
  <c r="T144" i="24"/>
  <c r="T132" i="24"/>
  <c r="T120" i="24"/>
  <c r="T108" i="24"/>
  <c r="T104" i="24"/>
  <c r="T100" i="24"/>
  <c r="T96" i="24"/>
  <c r="T92" i="24"/>
  <c r="T88" i="24"/>
  <c r="T76" i="24"/>
  <c r="T64" i="24"/>
  <c r="T56" i="24"/>
  <c r="T48" i="24"/>
  <c r="T36" i="24"/>
  <c r="T24" i="24"/>
  <c r="T8" i="24"/>
  <c r="T155" i="24"/>
  <c r="T143" i="24"/>
  <c r="T135" i="24"/>
  <c r="T131" i="24"/>
  <c r="T6" i="24"/>
  <c r="T148" i="24"/>
  <c r="T140" i="24"/>
  <c r="T136" i="24"/>
  <c r="T128" i="24"/>
  <c r="T124" i="24"/>
  <c r="T116" i="24"/>
  <c r="T112" i="24"/>
  <c r="T123" i="24"/>
  <c r="T119" i="24"/>
  <c r="T115" i="24"/>
  <c r="T111" i="24"/>
  <c r="T107" i="24"/>
  <c r="T103" i="24"/>
  <c r="T99" i="24"/>
  <c r="T95" i="24"/>
  <c r="T91" i="24"/>
  <c r="T87" i="24"/>
  <c r="T83" i="24"/>
  <c r="T79" i="24"/>
  <c r="T75" i="24"/>
  <c r="T71" i="24"/>
  <c r="T67" i="24"/>
  <c r="T63" i="24"/>
  <c r="T59" i="24"/>
  <c r="T55" i="24"/>
  <c r="T51" i="24"/>
  <c r="T47" i="24"/>
  <c r="T43" i="24"/>
  <c r="T39" i="24"/>
  <c r="T35" i="24"/>
  <c r="T31" i="24"/>
  <c r="T27" i="24"/>
  <c r="T23" i="24"/>
  <c r="T19" i="24"/>
  <c r="T15" i="24"/>
  <c r="T11" i="24"/>
  <c r="T154" i="24"/>
  <c r="T150" i="24"/>
  <c r="T146" i="24"/>
  <c r="T142" i="24"/>
  <c r="T138" i="24"/>
  <c r="T134" i="24"/>
  <c r="T130" i="24"/>
  <c r="T126" i="24"/>
  <c r="T122" i="24"/>
  <c r="T118" i="24"/>
  <c r="T114" i="24"/>
  <c r="T110" i="24"/>
  <c r="T106" i="24"/>
  <c r="T102" i="24"/>
  <c r="T98" i="24"/>
  <c r="T94" i="24"/>
  <c r="T90" i="24"/>
  <c r="T86" i="24"/>
  <c r="T82" i="24"/>
  <c r="T78" i="24"/>
  <c r="T74" i="24"/>
  <c r="T70" i="24"/>
  <c r="T66" i="24"/>
  <c r="T62" i="24"/>
  <c r="T58" i="24"/>
  <c r="T54" i="24"/>
  <c r="T50" i="24"/>
  <c r="T46" i="24"/>
  <c r="T42" i="24"/>
  <c r="T38" i="24"/>
  <c r="T34" i="24"/>
  <c r="T30" i="24"/>
  <c r="T26" i="24"/>
  <c r="T22" i="24"/>
  <c r="T18" i="24"/>
  <c r="T14" i="24"/>
  <c r="T10" i="24"/>
  <c r="T80" i="24"/>
  <c r="T72" i="24"/>
  <c r="T68" i="24"/>
  <c r="T60" i="24"/>
  <c r="T52" i="24"/>
  <c r="T44" i="24"/>
  <c r="T40" i="24"/>
  <c r="T32" i="24"/>
  <c r="T28" i="24"/>
  <c r="T20" i="24"/>
  <c r="T16" i="24"/>
  <c r="T12" i="24"/>
  <c r="T151" i="24"/>
  <c r="T147" i="24"/>
  <c r="T139" i="24"/>
  <c r="T153" i="24"/>
  <c r="T149" i="24"/>
  <c r="T145" i="24"/>
  <c r="T137" i="24"/>
  <c r="T133" i="24"/>
  <c r="T129" i="24"/>
  <c r="T125" i="24"/>
  <c r="T121" i="24"/>
  <c r="T117" i="24"/>
  <c r="T113" i="24"/>
  <c r="T109" i="24"/>
  <c r="T105" i="24"/>
  <c r="T101" i="24"/>
  <c r="T97" i="24"/>
  <c r="T93" i="24"/>
  <c r="T89" i="24"/>
  <c r="T85" i="24"/>
  <c r="T81" i="24"/>
  <c r="T77" i="24"/>
  <c r="T73" i="24"/>
  <c r="T69" i="24"/>
  <c r="T65" i="24"/>
  <c r="T61" i="24"/>
  <c r="T57" i="24"/>
  <c r="T53" i="24"/>
  <c r="T49" i="24"/>
  <c r="T45" i="24"/>
  <c r="T41" i="24"/>
  <c r="T37" i="24"/>
  <c r="T33" i="24"/>
  <c r="T29" i="24"/>
  <c r="T25" i="24"/>
  <c r="T21" i="24"/>
  <c r="T17" i="24"/>
  <c r="T13" i="24"/>
  <c r="T9" i="24"/>
  <c r="L100" i="24"/>
  <c r="P100" i="24"/>
  <c r="L96" i="24"/>
  <c r="P96" i="24"/>
  <c r="L92" i="24"/>
  <c r="P92" i="24"/>
  <c r="L88" i="24"/>
  <c r="P88" i="24"/>
  <c r="L80" i="24"/>
  <c r="P80" i="24"/>
  <c r="L76" i="24"/>
  <c r="P76" i="24"/>
  <c r="L72" i="24"/>
  <c r="P72" i="24"/>
  <c r="L68" i="24"/>
  <c r="P68" i="24"/>
  <c r="L60" i="24"/>
  <c r="P60" i="24"/>
  <c r="L56" i="24"/>
  <c r="P56" i="24"/>
  <c r="L52" i="24"/>
  <c r="P52" i="24"/>
  <c r="L44" i="24"/>
  <c r="P44" i="24"/>
  <c r="L40" i="24"/>
  <c r="P40" i="24"/>
  <c r="L36" i="24"/>
  <c r="P36" i="24"/>
  <c r="L32" i="24"/>
  <c r="P32" i="24"/>
  <c r="L28" i="24"/>
  <c r="P28" i="24"/>
  <c r="L24" i="24"/>
  <c r="P24" i="24"/>
  <c r="L20" i="24"/>
  <c r="P20" i="24"/>
  <c r="L16" i="24"/>
  <c r="P16" i="24"/>
  <c r="L12" i="24"/>
  <c r="P12" i="24"/>
  <c r="L8" i="24"/>
  <c r="P8" i="24"/>
  <c r="L155" i="24"/>
  <c r="P155" i="24"/>
  <c r="L151" i="24"/>
  <c r="P151" i="24"/>
  <c r="L147" i="24"/>
  <c r="P147" i="24"/>
  <c r="L143" i="24"/>
  <c r="P143" i="24"/>
  <c r="L139" i="24"/>
  <c r="P139" i="24"/>
  <c r="L135" i="24"/>
  <c r="P135" i="24"/>
  <c r="L131" i="24"/>
  <c r="P131" i="24"/>
  <c r="L123" i="24"/>
  <c r="P123" i="24"/>
  <c r="L119" i="24"/>
  <c r="P119" i="24"/>
  <c r="L115" i="24"/>
  <c r="P115" i="24"/>
  <c r="L111" i="24"/>
  <c r="P111" i="24"/>
  <c r="L107" i="24"/>
  <c r="P107" i="24"/>
  <c r="L103" i="24"/>
  <c r="P103" i="24"/>
  <c r="L99" i="24"/>
  <c r="P99" i="24"/>
  <c r="L95" i="24"/>
  <c r="P95" i="24"/>
  <c r="L91" i="24"/>
  <c r="P91" i="24"/>
  <c r="L83" i="24"/>
  <c r="P83" i="24"/>
  <c r="L71" i="24"/>
  <c r="P71" i="24"/>
  <c r="L59" i="24"/>
  <c r="P59" i="24"/>
  <c r="L43" i="24"/>
  <c r="P43" i="24"/>
  <c r="L27" i="24"/>
  <c r="P27" i="24"/>
  <c r="L15" i="24"/>
  <c r="P15" i="24"/>
  <c r="L146" i="24"/>
  <c r="P146" i="24"/>
  <c r="L134" i="24"/>
  <c r="P134" i="24"/>
  <c r="L118" i="24"/>
  <c r="P118" i="24"/>
  <c r="L106" i="24"/>
  <c r="P106" i="24"/>
  <c r="L90" i="24"/>
  <c r="P90" i="24"/>
  <c r="L78" i="24"/>
  <c r="P78" i="24"/>
  <c r="L66" i="24"/>
  <c r="P66" i="24"/>
  <c r="L54" i="24"/>
  <c r="P54" i="24"/>
  <c r="L38" i="24"/>
  <c r="P38" i="24"/>
  <c r="L22" i="24"/>
  <c r="P22" i="24"/>
  <c r="L14" i="24"/>
  <c r="P14" i="24"/>
  <c r="L6" i="24"/>
  <c r="P6" i="24"/>
  <c r="L152" i="24"/>
  <c r="P152" i="24"/>
  <c r="L148" i="24"/>
  <c r="P148" i="24"/>
  <c r="L144" i="24"/>
  <c r="P144" i="24"/>
  <c r="L140" i="24"/>
  <c r="P140" i="24"/>
  <c r="L136" i="24"/>
  <c r="P136" i="24"/>
  <c r="L132" i="24"/>
  <c r="P132" i="24"/>
  <c r="L128" i="24"/>
  <c r="P128" i="24"/>
  <c r="L124" i="24"/>
  <c r="P124" i="24"/>
  <c r="L120" i="24"/>
  <c r="P120" i="24"/>
  <c r="L116" i="24"/>
  <c r="P116" i="24"/>
  <c r="L112" i="24"/>
  <c r="P112" i="24"/>
  <c r="L108" i="24"/>
  <c r="P108" i="24"/>
  <c r="L104" i="24"/>
  <c r="P104" i="24"/>
  <c r="L64" i="24"/>
  <c r="P64" i="24"/>
  <c r="L48" i="24"/>
  <c r="P48" i="24"/>
  <c r="L87" i="24"/>
  <c r="P87" i="24"/>
  <c r="L79" i="24"/>
  <c r="P79" i="24"/>
  <c r="L75" i="24"/>
  <c r="P75" i="24"/>
  <c r="L67" i="24"/>
  <c r="P67" i="24"/>
  <c r="L63" i="24"/>
  <c r="P63" i="24"/>
  <c r="L55" i="24"/>
  <c r="P55" i="24"/>
  <c r="L51" i="24"/>
  <c r="P51" i="24"/>
  <c r="L47" i="24"/>
  <c r="P47" i="24"/>
  <c r="L39" i="24"/>
  <c r="P39" i="24"/>
  <c r="L35" i="24"/>
  <c r="P35" i="24"/>
  <c r="L31" i="24"/>
  <c r="P31" i="24"/>
  <c r="L23" i="24"/>
  <c r="P23" i="24"/>
  <c r="L19" i="24"/>
  <c r="P19" i="24"/>
  <c r="L11" i="24"/>
  <c r="P11" i="24"/>
  <c r="L154" i="24"/>
  <c r="P154" i="24"/>
  <c r="L150" i="24"/>
  <c r="P150" i="24"/>
  <c r="L142" i="24"/>
  <c r="P142" i="24"/>
  <c r="L138" i="24"/>
  <c r="P138" i="24"/>
  <c r="L130" i="24"/>
  <c r="P130" i="24"/>
  <c r="L126" i="24"/>
  <c r="P126" i="24"/>
  <c r="L122" i="24"/>
  <c r="P122" i="24"/>
  <c r="L114" i="24"/>
  <c r="P114" i="24"/>
  <c r="L110" i="24"/>
  <c r="P110" i="24"/>
  <c r="L102" i="24"/>
  <c r="P102" i="24"/>
  <c r="L98" i="24"/>
  <c r="P98" i="24"/>
  <c r="L94" i="24"/>
  <c r="P94" i="24"/>
  <c r="L86" i="24"/>
  <c r="P86" i="24"/>
  <c r="L82" i="24"/>
  <c r="P82" i="24"/>
  <c r="L74" i="24"/>
  <c r="P74" i="24"/>
  <c r="L70" i="24"/>
  <c r="P70" i="24"/>
  <c r="L62" i="24"/>
  <c r="P62" i="24"/>
  <c r="L58" i="24"/>
  <c r="P58" i="24"/>
  <c r="L50" i="24"/>
  <c r="P50" i="24"/>
  <c r="L46" i="24"/>
  <c r="P46" i="24"/>
  <c r="L42" i="24"/>
  <c r="P42" i="24"/>
  <c r="L34" i="24"/>
  <c r="P34" i="24"/>
  <c r="L30" i="24"/>
  <c r="P30" i="24"/>
  <c r="L26" i="24"/>
  <c r="P26" i="24"/>
  <c r="L18" i="24"/>
  <c r="P18" i="24"/>
  <c r="L10" i="24"/>
  <c r="P10" i="24"/>
  <c r="L153" i="24"/>
  <c r="P153" i="24"/>
  <c r="L149" i="24"/>
  <c r="P149" i="24"/>
  <c r="L145" i="24"/>
  <c r="P145" i="24"/>
  <c r="L137" i="24"/>
  <c r="P137" i="24"/>
  <c r="L133" i="24"/>
  <c r="P133" i="24"/>
  <c r="L129" i="24"/>
  <c r="P129" i="24"/>
  <c r="L125" i="24"/>
  <c r="P125" i="24"/>
  <c r="L121" i="24"/>
  <c r="P121" i="24"/>
  <c r="L117" i="24"/>
  <c r="P117" i="24"/>
  <c r="L113" i="24"/>
  <c r="P113" i="24"/>
  <c r="L109" i="24"/>
  <c r="P109" i="24"/>
  <c r="L105" i="24"/>
  <c r="P105" i="24"/>
  <c r="L101" i="24"/>
  <c r="P101" i="24"/>
  <c r="L97" i="24"/>
  <c r="P97" i="24"/>
  <c r="L93" i="24"/>
  <c r="P93" i="24"/>
  <c r="L89" i="24"/>
  <c r="P89" i="24"/>
  <c r="L85" i="24"/>
  <c r="P85" i="24"/>
  <c r="L81" i="24"/>
  <c r="P81" i="24"/>
  <c r="L77" i="24"/>
  <c r="P77" i="24"/>
  <c r="L73" i="24"/>
  <c r="P73" i="24"/>
  <c r="L69" i="24"/>
  <c r="P69" i="24"/>
  <c r="L65" i="24"/>
  <c r="P65" i="24"/>
  <c r="L61" i="24"/>
  <c r="P61" i="24"/>
  <c r="L57" i="24"/>
  <c r="P57" i="24"/>
  <c r="L53" i="24"/>
  <c r="P53" i="24"/>
  <c r="L49" i="24"/>
  <c r="P49" i="24"/>
  <c r="L45" i="24"/>
  <c r="P45" i="24"/>
  <c r="L41" i="24"/>
  <c r="P41" i="24"/>
  <c r="L37" i="24"/>
  <c r="P37" i="24"/>
  <c r="L33" i="24"/>
  <c r="P33" i="24"/>
  <c r="L29" i="24"/>
  <c r="P29" i="24"/>
  <c r="L25" i="24"/>
  <c r="P25" i="24"/>
  <c r="L21" i="24"/>
  <c r="P21" i="24"/>
  <c r="L17" i="24"/>
  <c r="P17" i="24"/>
  <c r="L13" i="24"/>
  <c r="P13" i="24"/>
  <c r="L9" i="24"/>
  <c r="P9" i="24"/>
  <c r="T127" i="24" l="1"/>
  <c r="L127" i="24"/>
  <c r="P127" i="24"/>
  <c r="T84" i="24"/>
  <c r="L84" i="24"/>
  <c r="P84" i="24"/>
  <c r="T7" i="24"/>
  <c r="T156" i="24" s="1"/>
  <c r="P7" i="24"/>
  <c r="P156" i="24" s="1"/>
  <c r="L7" i="24"/>
  <c r="L156" i="24" s="1"/>
  <c r="L141" i="24"/>
  <c r="T141" i="24"/>
  <c r="P141" i="24"/>
  <c r="AZ7" i="25" l="1"/>
  <c r="AZ11" i="25"/>
  <c r="AZ15" i="25"/>
  <c r="AZ19" i="25"/>
  <c r="AZ23" i="25"/>
  <c r="AZ9" i="25"/>
  <c r="AZ17" i="25"/>
  <c r="AZ6" i="25"/>
  <c r="AZ14" i="25"/>
  <c r="AZ22" i="25"/>
  <c r="AZ8" i="25"/>
  <c r="AZ12" i="25"/>
  <c r="AZ16" i="25"/>
  <c r="AZ20" i="25"/>
  <c r="AZ13" i="25"/>
  <c r="AZ21" i="25"/>
  <c r="AZ10" i="25"/>
  <c r="AZ18" i="25"/>
  <c r="B122" i="2"/>
  <c r="B123" i="2"/>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R176" i="31" l="1"/>
  <c r="BS176" i="31"/>
  <c r="BT176" i="31"/>
  <c r="BU176" i="31"/>
  <c r="BV176" i="31"/>
  <c r="BW176" i="31"/>
  <c r="BX176" i="31"/>
  <c r="BY176" i="31"/>
  <c r="CS176" i="31"/>
  <c r="CT176" i="31"/>
  <c r="CU176" i="31"/>
  <c r="CV176" i="31"/>
  <c r="CW176" i="31"/>
  <c r="CX176" i="31"/>
  <c r="CY176" i="31"/>
  <c r="CZ176" i="31"/>
  <c r="A5" i="31" l="1"/>
  <c r="A6" i="31"/>
  <c r="A7" i="31"/>
  <c r="A8" i="3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BJ68" i="31" s="1"/>
  <c r="A69" i="31"/>
  <c r="A70" i="31"/>
  <c r="A71" i="31"/>
  <c r="A72" i="31"/>
  <c r="A73" i="31"/>
  <c r="A74" i="31"/>
  <c r="A75" i="31"/>
  <c r="A76" i="31"/>
  <c r="A77" i="31"/>
  <c r="A78" i="31"/>
  <c r="A79" i="31"/>
  <c r="A80" i="31"/>
  <c r="A81" i="31"/>
  <c r="A82" i="31"/>
  <c r="A83" i="31"/>
  <c r="A84" i="31"/>
  <c r="A85" i="31"/>
  <c r="A86" i="31"/>
  <c r="A87" i="31"/>
  <c r="A88" i="31"/>
  <c r="A89" i="31"/>
  <c r="A90" i="31"/>
  <c r="BJ90" i="31" s="1"/>
  <c r="A91" i="31"/>
  <c r="A92" i="31"/>
  <c r="A93" i="31"/>
  <c r="A94" i="31"/>
  <c r="A95" i="31"/>
  <c r="A96" i="31"/>
  <c r="A97" i="31"/>
  <c r="A98" i="31"/>
  <c r="BJ98" i="31" s="1"/>
  <c r="A99" i="31"/>
  <c r="A100" i="31"/>
  <c r="A101" i="31"/>
  <c r="A102" i="31"/>
  <c r="A103" i="31"/>
  <c r="A104" i="31"/>
  <c r="A105" i="31"/>
  <c r="BJ105" i="31" s="1"/>
  <c r="A106" i="31"/>
  <c r="BJ106" i="31" s="1"/>
  <c r="A107" i="31"/>
  <c r="A108" i="31"/>
  <c r="A109" i="31"/>
  <c r="A110" i="31"/>
  <c r="A111" i="31"/>
  <c r="A112" i="31"/>
  <c r="A113" i="31"/>
  <c r="A114" i="31"/>
  <c r="A115" i="31"/>
  <c r="A116" i="31"/>
  <c r="A117" i="31"/>
  <c r="A118" i="31"/>
  <c r="BJ118" i="31" s="1"/>
  <c r="A119" i="31"/>
  <c r="A120" i="31"/>
  <c r="A121" i="31"/>
  <c r="A122" i="31"/>
  <c r="A123" i="31"/>
  <c r="BJ123" i="31" s="1"/>
  <c r="A124" i="31"/>
  <c r="A125" i="31"/>
  <c r="A126" i="31"/>
  <c r="A127" i="31"/>
  <c r="BJ127" i="31" s="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BJ168" i="31" s="1"/>
  <c r="A169" i="31"/>
  <c r="A170" i="31"/>
  <c r="A171" i="31"/>
  <c r="A172" i="31"/>
  <c r="BJ172" i="31" s="1"/>
  <c r="A173" i="31"/>
  <c r="A174" i="31"/>
  <c r="A175" i="31"/>
  <c r="BI175" i="31" l="1"/>
  <c r="BJ175" i="31"/>
  <c r="BI167" i="31"/>
  <c r="BJ167" i="31"/>
  <c r="BI159" i="31"/>
  <c r="BJ159" i="31"/>
  <c r="BI151" i="31"/>
  <c r="BJ151" i="31"/>
  <c r="BI143" i="31"/>
  <c r="BJ143" i="31"/>
  <c r="BI135" i="31"/>
  <c r="BJ135" i="31"/>
  <c r="BI174" i="31"/>
  <c r="BJ174" i="31"/>
  <c r="BI170" i="31"/>
  <c r="BJ170" i="31"/>
  <c r="BI166" i="31"/>
  <c r="BJ166" i="31"/>
  <c r="BI162" i="31"/>
  <c r="BJ162" i="31"/>
  <c r="BI158" i="31"/>
  <c r="BJ158" i="31"/>
  <c r="BI154" i="31"/>
  <c r="BJ154" i="31"/>
  <c r="BI150" i="31"/>
  <c r="BJ150" i="31"/>
  <c r="BI146" i="31"/>
  <c r="BJ146" i="31"/>
  <c r="BI142" i="31"/>
  <c r="BJ142" i="31"/>
  <c r="BI138" i="31"/>
  <c r="BJ138" i="31"/>
  <c r="BI134" i="31"/>
  <c r="BJ134" i="31"/>
  <c r="BI130" i="31"/>
  <c r="BJ130" i="31"/>
  <c r="BI126" i="31"/>
  <c r="BJ126" i="31"/>
  <c r="BI122" i="31"/>
  <c r="BJ122" i="31"/>
  <c r="BI114" i="31"/>
  <c r="BJ114" i="31"/>
  <c r="BI102" i="31"/>
  <c r="BJ102" i="31"/>
  <c r="BI169" i="31"/>
  <c r="BJ169" i="31"/>
  <c r="BI165" i="31"/>
  <c r="BJ165" i="31"/>
  <c r="BI157" i="31"/>
  <c r="BJ157" i="31"/>
  <c r="BI164" i="31"/>
  <c r="BJ164" i="31"/>
  <c r="BI160" i="31"/>
  <c r="BJ160" i="31"/>
  <c r="BI156" i="31"/>
  <c r="BJ156" i="31"/>
  <c r="BI152" i="31"/>
  <c r="BJ152" i="31"/>
  <c r="BI148" i="31"/>
  <c r="BJ148" i="31"/>
  <c r="BI144" i="31"/>
  <c r="BJ144" i="31"/>
  <c r="BI140" i="31"/>
  <c r="BJ140" i="31"/>
  <c r="BI136" i="31"/>
  <c r="BJ136" i="31"/>
  <c r="BI132" i="31"/>
  <c r="BJ132" i="31"/>
  <c r="BI128" i="31"/>
  <c r="BJ128" i="31"/>
  <c r="BI124" i="31"/>
  <c r="BJ124" i="31"/>
  <c r="BI120" i="31"/>
  <c r="BJ120" i="31"/>
  <c r="BI116" i="31"/>
  <c r="BJ116" i="31"/>
  <c r="BI112" i="31"/>
  <c r="BJ112" i="31"/>
  <c r="BI108" i="31"/>
  <c r="BJ108" i="31"/>
  <c r="BI104" i="31"/>
  <c r="BJ104" i="31"/>
  <c r="BI100" i="31"/>
  <c r="BJ100" i="31"/>
  <c r="BI96" i="31"/>
  <c r="BJ96" i="31"/>
  <c r="BI92" i="31"/>
  <c r="BJ92" i="31"/>
  <c r="BI88" i="31"/>
  <c r="BJ88" i="31"/>
  <c r="BI84" i="31"/>
  <c r="BJ84" i="31"/>
  <c r="BI80" i="31"/>
  <c r="BJ80" i="31"/>
  <c r="BI76" i="31"/>
  <c r="BJ76" i="31"/>
  <c r="BI72" i="31"/>
  <c r="BJ72" i="31"/>
  <c r="BI64" i="31"/>
  <c r="BJ64" i="31"/>
  <c r="BI60" i="31"/>
  <c r="BJ60" i="31"/>
  <c r="BI56" i="31"/>
  <c r="BJ56" i="31"/>
  <c r="BI52" i="31"/>
  <c r="BJ52" i="31"/>
  <c r="BI48" i="31"/>
  <c r="BJ48" i="31"/>
  <c r="BI44" i="31"/>
  <c r="BJ44" i="31"/>
  <c r="BI40" i="31"/>
  <c r="BJ40" i="31"/>
  <c r="BI36" i="31"/>
  <c r="BJ36" i="31"/>
  <c r="BI32" i="31"/>
  <c r="BJ32" i="31"/>
  <c r="BI28" i="31"/>
  <c r="BJ28" i="31"/>
  <c r="BI24" i="31"/>
  <c r="BJ24" i="31"/>
  <c r="BI20" i="31"/>
  <c r="BJ20" i="31"/>
  <c r="BI16" i="31"/>
  <c r="BJ16" i="31"/>
  <c r="BI12" i="31"/>
  <c r="BJ12" i="31"/>
  <c r="BI8" i="31"/>
  <c r="BJ8" i="31"/>
  <c r="BI171" i="31"/>
  <c r="BJ171" i="31"/>
  <c r="BI163" i="31"/>
  <c r="BJ163" i="31"/>
  <c r="BI155" i="31"/>
  <c r="BJ155" i="31"/>
  <c r="BI147" i="31"/>
  <c r="BJ147" i="31"/>
  <c r="BI139" i="31"/>
  <c r="BJ139" i="31"/>
  <c r="BI131" i="31"/>
  <c r="BJ131" i="31"/>
  <c r="BI119" i="31"/>
  <c r="BJ119" i="31"/>
  <c r="BI115" i="31"/>
  <c r="BJ115" i="31"/>
  <c r="BI111" i="31"/>
  <c r="BJ111" i="31"/>
  <c r="BI107" i="31"/>
  <c r="BJ107" i="31"/>
  <c r="BI103" i="31"/>
  <c r="BJ103" i="31"/>
  <c r="BI99" i="31"/>
  <c r="BJ99" i="31"/>
  <c r="BI95" i="31"/>
  <c r="BJ95" i="31"/>
  <c r="BI91" i="31"/>
  <c r="BJ91" i="31"/>
  <c r="BI87" i="31"/>
  <c r="BJ87" i="31"/>
  <c r="BI83" i="31"/>
  <c r="BJ83" i="31"/>
  <c r="BI79" i="31"/>
  <c r="BJ79" i="31"/>
  <c r="BI75" i="31"/>
  <c r="BJ75" i="31"/>
  <c r="BI71" i="31"/>
  <c r="BJ71" i="31"/>
  <c r="BI67" i="31"/>
  <c r="BJ67" i="31"/>
  <c r="BI63" i="31"/>
  <c r="BJ63" i="31"/>
  <c r="BI59" i="31"/>
  <c r="BJ59" i="31"/>
  <c r="BI55" i="31"/>
  <c r="BJ55" i="31"/>
  <c r="BI51" i="31"/>
  <c r="BJ51" i="31"/>
  <c r="BI47" i="31"/>
  <c r="BJ47" i="31"/>
  <c r="BI43" i="31"/>
  <c r="BJ43" i="31"/>
  <c r="BI39" i="31"/>
  <c r="BJ39" i="31"/>
  <c r="BI35" i="31"/>
  <c r="BJ35" i="31"/>
  <c r="BI31" i="31"/>
  <c r="BJ31" i="31"/>
  <c r="BI27" i="31"/>
  <c r="BJ27" i="31"/>
  <c r="BI23" i="31"/>
  <c r="BJ23" i="31"/>
  <c r="BI19" i="31"/>
  <c r="BJ19" i="31"/>
  <c r="BI15" i="31"/>
  <c r="BJ15" i="31"/>
  <c r="BI11" i="31"/>
  <c r="BJ11" i="31"/>
  <c r="BI7" i="31"/>
  <c r="BJ7" i="31"/>
  <c r="BI94" i="31"/>
  <c r="BJ94" i="31"/>
  <c r="BI86" i="31"/>
  <c r="BJ86" i="31"/>
  <c r="BI82" i="31"/>
  <c r="BJ82" i="31"/>
  <c r="BI78" i="31"/>
  <c r="BJ78" i="31"/>
  <c r="BI74" i="31"/>
  <c r="BJ74" i="31"/>
  <c r="BI70" i="31"/>
  <c r="BJ70" i="31"/>
  <c r="BI66" i="31"/>
  <c r="BJ66" i="31"/>
  <c r="BI62" i="31"/>
  <c r="BJ62" i="31"/>
  <c r="BI58" i="31"/>
  <c r="BJ58" i="31"/>
  <c r="BI54" i="31"/>
  <c r="BJ54" i="31"/>
  <c r="BI50" i="31"/>
  <c r="BJ50" i="31"/>
  <c r="BI46" i="31"/>
  <c r="BJ46" i="31"/>
  <c r="BI42" i="31"/>
  <c r="BJ42" i="31"/>
  <c r="BI38" i="31"/>
  <c r="BJ38" i="31"/>
  <c r="BI34" i="31"/>
  <c r="BJ34" i="31"/>
  <c r="BI30" i="31"/>
  <c r="BJ30" i="31"/>
  <c r="BI26" i="31"/>
  <c r="BJ26" i="31"/>
  <c r="BI22" i="31"/>
  <c r="BJ22" i="31"/>
  <c r="BI18" i="31"/>
  <c r="BJ18" i="31"/>
  <c r="BI14" i="31"/>
  <c r="BJ14" i="31"/>
  <c r="BI10" i="31"/>
  <c r="BJ10" i="31"/>
  <c r="BI6" i="31"/>
  <c r="BJ6" i="31"/>
  <c r="BI110" i="31"/>
  <c r="BJ110" i="31"/>
  <c r="BI173" i="31"/>
  <c r="BJ173" i="31"/>
  <c r="BI161" i="31"/>
  <c r="BJ161" i="31"/>
  <c r="BI153" i="31"/>
  <c r="BJ153" i="31"/>
  <c r="BI149" i="31"/>
  <c r="BJ149" i="31"/>
  <c r="BI145" i="31"/>
  <c r="BJ145" i="31"/>
  <c r="BI141" i="31"/>
  <c r="BJ141" i="31"/>
  <c r="BI137" i="31"/>
  <c r="BJ137" i="31"/>
  <c r="BI133" i="31"/>
  <c r="BJ133" i="31"/>
  <c r="BI129" i="31"/>
  <c r="BJ129" i="31"/>
  <c r="BI125" i="31"/>
  <c r="BJ125" i="31"/>
  <c r="BI121" i="31"/>
  <c r="BJ121" i="31"/>
  <c r="BI117" i="31"/>
  <c r="BJ117" i="31"/>
  <c r="BI113" i="31"/>
  <c r="BJ113" i="31"/>
  <c r="BI109" i="31"/>
  <c r="BJ109" i="31"/>
  <c r="BI101" i="31"/>
  <c r="BJ101" i="31"/>
  <c r="BI97" i="31"/>
  <c r="BJ97" i="31"/>
  <c r="BI93" i="31"/>
  <c r="BJ93" i="31"/>
  <c r="BI89" i="31"/>
  <c r="BJ89" i="31"/>
  <c r="BI85" i="31"/>
  <c r="BJ85" i="31"/>
  <c r="BI81" i="31"/>
  <c r="BJ81" i="31"/>
  <c r="BI77" i="31"/>
  <c r="BJ77" i="31"/>
  <c r="BI73" i="31"/>
  <c r="BJ73" i="31"/>
  <c r="BI69" i="31"/>
  <c r="BJ69" i="31"/>
  <c r="BI65" i="31"/>
  <c r="BJ65" i="31"/>
  <c r="BI61" i="31"/>
  <c r="BJ61" i="31"/>
  <c r="BI57" i="31"/>
  <c r="BJ57" i="31"/>
  <c r="BI53" i="31"/>
  <c r="BJ53" i="31"/>
  <c r="BI49" i="31"/>
  <c r="BJ49" i="31"/>
  <c r="BI45" i="31"/>
  <c r="BJ45" i="31"/>
  <c r="BI41" i="31"/>
  <c r="BJ41" i="31"/>
  <c r="BI37" i="31"/>
  <c r="BJ37" i="31"/>
  <c r="BI33" i="31"/>
  <c r="BJ33" i="31"/>
  <c r="BI29" i="31"/>
  <c r="BJ29" i="31"/>
  <c r="BI25" i="31"/>
  <c r="BJ25" i="31"/>
  <c r="BI21" i="31"/>
  <c r="BJ21" i="31"/>
  <c r="BI17" i="31"/>
  <c r="BJ17" i="31"/>
  <c r="BI13" i="31"/>
  <c r="BJ13" i="31"/>
  <c r="BI9" i="31"/>
  <c r="BJ9" i="31"/>
  <c r="BI5" i="31"/>
  <c r="BJ5" i="31"/>
  <c r="BH68" i="31"/>
  <c r="BI68" i="31"/>
  <c r="BH172" i="31"/>
  <c r="BI172" i="31"/>
  <c r="BH168" i="31"/>
  <c r="BI168" i="31"/>
  <c r="BH127" i="31"/>
  <c r="BI127" i="31"/>
  <c r="BH123" i="31"/>
  <c r="BI123" i="31"/>
  <c r="BH118" i="31"/>
  <c r="BI118" i="31"/>
  <c r="BH106" i="31"/>
  <c r="BI106" i="31"/>
  <c r="BH98" i="31"/>
  <c r="BI98" i="31"/>
  <c r="BH90" i="31"/>
  <c r="BI90" i="31"/>
  <c r="BH105" i="31"/>
  <c r="BI105" i="31"/>
  <c r="BG171" i="31"/>
  <c r="BH171" i="31"/>
  <c r="BG159" i="31"/>
  <c r="BH159" i="31"/>
  <c r="BG147" i="31"/>
  <c r="BH147" i="31"/>
  <c r="BG139" i="31"/>
  <c r="BH139" i="31"/>
  <c r="BG131" i="31"/>
  <c r="BH131" i="31"/>
  <c r="BG174" i="31"/>
  <c r="BH174" i="31"/>
  <c r="BG170" i="31"/>
  <c r="BH170" i="31"/>
  <c r="BG166" i="31"/>
  <c r="BH166" i="31"/>
  <c r="BG162" i="31"/>
  <c r="BH162" i="31"/>
  <c r="BG158" i="31"/>
  <c r="BH158" i="31"/>
  <c r="BG154" i="31"/>
  <c r="BH154" i="31"/>
  <c r="BG150" i="31"/>
  <c r="BH150" i="31"/>
  <c r="BG146" i="31"/>
  <c r="BH146" i="31"/>
  <c r="BG142" i="31"/>
  <c r="BH142" i="31"/>
  <c r="BG138" i="31"/>
  <c r="BH138" i="31"/>
  <c r="BG134" i="31"/>
  <c r="BH134" i="31"/>
  <c r="BG130" i="31"/>
  <c r="BH130" i="31"/>
  <c r="BG126" i="31"/>
  <c r="BH126" i="31"/>
  <c r="BG122" i="31"/>
  <c r="BH122" i="31"/>
  <c r="BG114" i="31"/>
  <c r="BH114" i="31"/>
  <c r="BG164" i="31"/>
  <c r="BH164" i="31"/>
  <c r="BG160" i="31"/>
  <c r="BH160" i="31"/>
  <c r="BG156" i="31"/>
  <c r="BH156" i="31"/>
  <c r="BG152" i="31"/>
  <c r="BH152" i="31"/>
  <c r="BG148" i="31"/>
  <c r="BH148" i="31"/>
  <c r="BG144" i="31"/>
  <c r="BH144" i="31"/>
  <c r="BG140" i="31"/>
  <c r="BH140" i="31"/>
  <c r="BG136" i="31"/>
  <c r="BH136" i="31"/>
  <c r="BG132" i="31"/>
  <c r="BH132" i="31"/>
  <c r="BG128" i="31"/>
  <c r="BH128" i="31"/>
  <c r="BG124" i="31"/>
  <c r="BH124" i="31"/>
  <c r="BG120" i="31"/>
  <c r="BH120" i="31"/>
  <c r="BG116" i="31"/>
  <c r="BH116" i="31"/>
  <c r="BG112" i="31"/>
  <c r="BH112" i="31"/>
  <c r="BG108" i="31"/>
  <c r="BH108" i="31"/>
  <c r="BG104" i="31"/>
  <c r="BH104" i="31"/>
  <c r="BG100" i="31"/>
  <c r="BH100" i="31"/>
  <c r="BG96" i="31"/>
  <c r="BH96" i="31"/>
  <c r="BG92" i="31"/>
  <c r="BH92" i="31"/>
  <c r="BG88" i="31"/>
  <c r="BH88" i="31"/>
  <c r="BG84" i="31"/>
  <c r="BH84" i="31"/>
  <c r="BG80" i="31"/>
  <c r="BH80" i="31"/>
  <c r="BG76" i="31"/>
  <c r="BH76" i="31"/>
  <c r="BG72" i="31"/>
  <c r="BH72" i="31"/>
  <c r="BG64" i="31"/>
  <c r="BH64" i="31"/>
  <c r="BG60" i="31"/>
  <c r="BH60" i="31"/>
  <c r="BG56" i="31"/>
  <c r="BH56" i="31"/>
  <c r="BG52" i="31"/>
  <c r="BH52" i="31"/>
  <c r="BG48" i="31"/>
  <c r="BH48" i="31"/>
  <c r="BG44" i="31"/>
  <c r="BH44" i="31"/>
  <c r="BG40" i="31"/>
  <c r="BH40" i="31"/>
  <c r="BG36" i="31"/>
  <c r="BH36" i="31"/>
  <c r="BG32" i="31"/>
  <c r="BH32" i="31"/>
  <c r="BG28" i="31"/>
  <c r="BH28" i="31"/>
  <c r="BG24" i="31"/>
  <c r="BH24" i="31"/>
  <c r="BG20" i="31"/>
  <c r="BH20" i="31"/>
  <c r="BG16" i="31"/>
  <c r="BH16" i="31"/>
  <c r="BG12" i="31"/>
  <c r="BH12" i="31"/>
  <c r="BG8" i="31"/>
  <c r="BH8" i="31"/>
  <c r="BG167" i="31"/>
  <c r="BH167" i="31"/>
  <c r="BG155" i="31"/>
  <c r="BH155" i="31"/>
  <c r="BG143" i="31"/>
  <c r="BH143" i="31"/>
  <c r="BG135" i="31"/>
  <c r="BH135" i="31"/>
  <c r="BG119" i="31"/>
  <c r="BH119" i="31"/>
  <c r="BG115" i="31"/>
  <c r="BH115" i="31"/>
  <c r="BG111" i="31"/>
  <c r="BH111" i="31"/>
  <c r="BG107" i="31"/>
  <c r="BH107" i="31"/>
  <c r="BG103" i="31"/>
  <c r="BH103" i="31"/>
  <c r="BG99" i="31"/>
  <c r="BH99" i="31"/>
  <c r="BG95" i="31"/>
  <c r="BH95" i="31"/>
  <c r="BG91" i="31"/>
  <c r="BH91" i="31"/>
  <c r="BG87" i="31"/>
  <c r="BH87" i="31"/>
  <c r="BG83" i="31"/>
  <c r="BH83" i="31"/>
  <c r="BG79" i="31"/>
  <c r="BH79" i="31"/>
  <c r="BG75" i="31"/>
  <c r="BH75" i="31"/>
  <c r="BG71" i="31"/>
  <c r="BH71" i="31"/>
  <c r="BG67" i="31"/>
  <c r="BH67" i="31"/>
  <c r="BG63" i="31"/>
  <c r="BH63" i="31"/>
  <c r="BG59" i="31"/>
  <c r="BH59" i="31"/>
  <c r="BG55" i="31"/>
  <c r="BH55" i="31"/>
  <c r="BG51" i="31"/>
  <c r="BH51" i="31"/>
  <c r="BG47" i="31"/>
  <c r="BH47" i="31"/>
  <c r="BG43" i="31"/>
  <c r="BH43" i="31"/>
  <c r="BG39" i="31"/>
  <c r="BH39" i="31"/>
  <c r="BG35" i="31"/>
  <c r="BH35" i="31"/>
  <c r="BG31" i="31"/>
  <c r="BH31" i="31"/>
  <c r="BG27" i="31"/>
  <c r="BH27" i="31"/>
  <c r="BG23" i="31"/>
  <c r="BH23" i="31"/>
  <c r="BG19" i="31"/>
  <c r="BH19" i="31"/>
  <c r="BG15" i="31"/>
  <c r="BH15" i="31"/>
  <c r="BG11" i="31"/>
  <c r="BH11" i="31"/>
  <c r="BG7" i="31"/>
  <c r="BH7" i="31"/>
  <c r="BG175" i="31"/>
  <c r="BH175" i="31"/>
  <c r="BG163" i="31"/>
  <c r="BH163" i="31"/>
  <c r="BG151" i="31"/>
  <c r="BH151" i="31"/>
  <c r="BG102" i="31"/>
  <c r="BH102" i="31"/>
  <c r="BG94" i="31"/>
  <c r="BH94" i="31"/>
  <c r="BG86" i="31"/>
  <c r="BH86" i="31"/>
  <c r="BG82" i="31"/>
  <c r="BH82" i="31"/>
  <c r="BG78" i="31"/>
  <c r="BH78" i="31"/>
  <c r="BG74" i="31"/>
  <c r="BH74" i="31"/>
  <c r="BG70" i="31"/>
  <c r="BH70" i="31"/>
  <c r="BG66" i="31"/>
  <c r="BH66" i="31"/>
  <c r="BG62" i="31"/>
  <c r="BH62" i="31"/>
  <c r="BG58" i="31"/>
  <c r="BH58" i="31"/>
  <c r="BG54" i="31"/>
  <c r="BH54" i="31"/>
  <c r="BG50" i="31"/>
  <c r="BH50" i="31"/>
  <c r="BG46" i="31"/>
  <c r="BH46" i="31"/>
  <c r="BG42" i="31"/>
  <c r="BH42" i="31"/>
  <c r="BG38" i="31"/>
  <c r="BH38" i="31"/>
  <c r="BG34" i="31"/>
  <c r="BH34" i="31"/>
  <c r="BG30" i="31"/>
  <c r="BH30" i="31"/>
  <c r="BG26" i="31"/>
  <c r="BH26" i="31"/>
  <c r="BG22" i="31"/>
  <c r="BH22" i="31"/>
  <c r="BG18" i="31"/>
  <c r="BH18" i="31"/>
  <c r="BG14" i="31"/>
  <c r="BH14" i="31"/>
  <c r="BG10" i="31"/>
  <c r="BH10" i="31"/>
  <c r="BG6" i="31"/>
  <c r="BH6" i="31"/>
  <c r="BG110" i="31"/>
  <c r="BH110" i="31"/>
  <c r="BG173" i="31"/>
  <c r="BH173" i="31"/>
  <c r="BG169" i="31"/>
  <c r="BH169" i="31"/>
  <c r="BG165" i="31"/>
  <c r="BH165" i="31"/>
  <c r="BG161" i="31"/>
  <c r="BH161" i="31"/>
  <c r="BG157" i="31"/>
  <c r="BH157" i="31"/>
  <c r="BG153" i="31"/>
  <c r="BH153" i="31"/>
  <c r="BG149" i="31"/>
  <c r="BH149" i="31"/>
  <c r="BG145" i="31"/>
  <c r="BH145" i="31"/>
  <c r="BG141" i="31"/>
  <c r="BH141" i="31"/>
  <c r="BG137" i="31"/>
  <c r="BH137" i="31"/>
  <c r="BG133" i="31"/>
  <c r="BH133" i="31"/>
  <c r="BG129" i="31"/>
  <c r="BH129" i="31"/>
  <c r="BG125" i="31"/>
  <c r="BH125" i="31"/>
  <c r="BG121" i="31"/>
  <c r="BH121" i="31"/>
  <c r="BG117" i="31"/>
  <c r="BH117" i="31"/>
  <c r="BG113" i="31"/>
  <c r="BH113" i="31"/>
  <c r="BG109" i="31"/>
  <c r="BH109" i="31"/>
  <c r="BG101" i="31"/>
  <c r="BH101" i="31"/>
  <c r="BG97" i="31"/>
  <c r="BH97" i="31"/>
  <c r="BG93" i="31"/>
  <c r="BH93" i="31"/>
  <c r="BG89" i="31"/>
  <c r="BH89" i="31"/>
  <c r="BG85" i="31"/>
  <c r="BH85" i="31"/>
  <c r="BG81" i="31"/>
  <c r="BH81" i="31"/>
  <c r="BG77" i="31"/>
  <c r="BH77" i="31"/>
  <c r="BG73" i="31"/>
  <c r="BH73" i="31"/>
  <c r="BG69" i="31"/>
  <c r="BH69" i="31"/>
  <c r="BG65" i="31"/>
  <c r="BH65" i="31"/>
  <c r="BG61" i="31"/>
  <c r="BH61" i="31"/>
  <c r="BG57" i="31"/>
  <c r="BH57" i="31"/>
  <c r="BG53" i="31"/>
  <c r="BH53" i="31"/>
  <c r="BG49" i="31"/>
  <c r="BH49" i="31"/>
  <c r="BG45" i="31"/>
  <c r="BH45" i="31"/>
  <c r="BG41" i="31"/>
  <c r="BH41" i="31"/>
  <c r="BG37" i="31"/>
  <c r="BH37" i="31"/>
  <c r="BG33" i="31"/>
  <c r="BH33" i="31"/>
  <c r="BG29" i="31"/>
  <c r="BH29" i="31"/>
  <c r="BG25" i="31"/>
  <c r="BH25" i="31"/>
  <c r="BG21" i="31"/>
  <c r="BH21" i="31"/>
  <c r="BG17" i="31"/>
  <c r="BH17" i="31"/>
  <c r="BG13" i="31"/>
  <c r="BH13" i="31"/>
  <c r="BG9" i="31"/>
  <c r="BH9" i="31"/>
  <c r="BG5" i="31"/>
  <c r="BH5" i="31"/>
  <c r="AD68" i="31"/>
  <c r="CM68" i="31" s="1"/>
  <c r="BG68" i="31"/>
  <c r="S172" i="31"/>
  <c r="BG172" i="31"/>
  <c r="M168" i="31"/>
  <c r="BG168" i="31"/>
  <c r="AE127" i="31"/>
  <c r="CN127" i="31" s="1"/>
  <c r="BG127" i="31"/>
  <c r="BG123" i="31"/>
  <c r="AG118" i="31"/>
  <c r="CE118" i="31" s="1"/>
  <c r="BG118" i="31"/>
  <c r="BG106" i="31"/>
  <c r="AC98" i="31"/>
  <c r="CL98" i="31" s="1"/>
  <c r="BG98" i="31"/>
  <c r="BG90" i="31"/>
  <c r="AG105" i="31"/>
  <c r="CE105" i="31" s="1"/>
  <c r="BG105" i="31"/>
  <c r="AI145" i="31"/>
  <c r="CR145" i="31" s="1"/>
  <c r="M167" i="31"/>
  <c r="AI161" i="31"/>
  <c r="CR161" i="31" s="1"/>
  <c r="AC115" i="31"/>
  <c r="CL115" i="31" s="1"/>
  <c r="M175" i="31"/>
  <c r="AI129" i="31"/>
  <c r="CG129" i="31" s="1"/>
  <c r="M171" i="31"/>
  <c r="AE154" i="31"/>
  <c r="CN154" i="31" s="1"/>
  <c r="AI173" i="31"/>
  <c r="CR173" i="31" s="1"/>
  <c r="O170" i="31"/>
  <c r="AE166" i="31"/>
  <c r="CC166" i="31" s="1"/>
  <c r="AI157" i="31"/>
  <c r="CR157" i="31" s="1"/>
  <c r="AE150" i="31"/>
  <c r="CC150" i="31" s="1"/>
  <c r="AI141" i="31"/>
  <c r="CR141" i="31" s="1"/>
  <c r="AE134" i="31"/>
  <c r="CC134" i="31" s="1"/>
  <c r="M174" i="31"/>
  <c r="M170" i="31"/>
  <c r="M166" i="31"/>
  <c r="O174" i="31"/>
  <c r="AE170" i="31"/>
  <c r="CN170" i="31" s="1"/>
  <c r="S173" i="31"/>
  <c r="AI169" i="31"/>
  <c r="CR169" i="31" s="1"/>
  <c r="O166" i="31"/>
  <c r="AE162" i="31"/>
  <c r="CN162" i="31" s="1"/>
  <c r="AI153" i="31"/>
  <c r="CG153" i="31" s="1"/>
  <c r="AE146" i="31"/>
  <c r="CN146" i="31" s="1"/>
  <c r="AI137" i="31"/>
  <c r="CR137" i="31" s="1"/>
  <c r="AE130" i="31"/>
  <c r="CN130" i="31" s="1"/>
  <c r="AG122" i="31"/>
  <c r="CP122" i="31" s="1"/>
  <c r="M173" i="31"/>
  <c r="M169" i="31"/>
  <c r="AE138" i="31"/>
  <c r="CC138" i="31" s="1"/>
  <c r="AE174" i="31"/>
  <c r="CN174" i="31" s="1"/>
  <c r="S169" i="31"/>
  <c r="AI165" i="31"/>
  <c r="CG165" i="31" s="1"/>
  <c r="AE158" i="31"/>
  <c r="CN158" i="31" s="1"/>
  <c r="AI149" i="31"/>
  <c r="CG149" i="31" s="1"/>
  <c r="AE142" i="31"/>
  <c r="CC142" i="31" s="1"/>
  <c r="M172" i="31"/>
  <c r="T168" i="31"/>
  <c r="AB168" i="31"/>
  <c r="AF168" i="31"/>
  <c r="Q168" i="31"/>
  <c r="U168" i="31"/>
  <c r="AC168" i="31"/>
  <c r="AG168" i="31"/>
  <c r="BA168" i="31"/>
  <c r="N168" i="31"/>
  <c r="AD168" i="31"/>
  <c r="AH168" i="31"/>
  <c r="BB168" i="31"/>
  <c r="AB156" i="31"/>
  <c r="AF156" i="31"/>
  <c r="AC156" i="31"/>
  <c r="AG156" i="31"/>
  <c r="AD156" i="31"/>
  <c r="AH156" i="31"/>
  <c r="AB144" i="31"/>
  <c r="AF144" i="31"/>
  <c r="AC144" i="31"/>
  <c r="AG144" i="31"/>
  <c r="AD144" i="31"/>
  <c r="AH144" i="31"/>
  <c r="AB132" i="31"/>
  <c r="AF132" i="31"/>
  <c r="AC132" i="31"/>
  <c r="AG132" i="31"/>
  <c r="AD132" i="31"/>
  <c r="AH132" i="31"/>
  <c r="AD120" i="31"/>
  <c r="AH120" i="31"/>
  <c r="AE120" i="31"/>
  <c r="AI120" i="31"/>
  <c r="AB120" i="31"/>
  <c r="AF120" i="31"/>
  <c r="AC120" i="31"/>
  <c r="AG120" i="31"/>
  <c r="AB108" i="31"/>
  <c r="AD108" i="31"/>
  <c r="AH108" i="31"/>
  <c r="AE108" i="31"/>
  <c r="AI108" i="31"/>
  <c r="AF108" i="31"/>
  <c r="AC108" i="31"/>
  <c r="AG108" i="31"/>
  <c r="AD96" i="31"/>
  <c r="AH96" i="31"/>
  <c r="AE96" i="31"/>
  <c r="AI96" i="31"/>
  <c r="AB96" i="31"/>
  <c r="AF96" i="31"/>
  <c r="AC96" i="31"/>
  <c r="AG96" i="31"/>
  <c r="AE84" i="31"/>
  <c r="AI84" i="31"/>
  <c r="AB84" i="31"/>
  <c r="AF84" i="31"/>
  <c r="AC84" i="31"/>
  <c r="AG84" i="31"/>
  <c r="AH84" i="31"/>
  <c r="AD84" i="31"/>
  <c r="AE72" i="31"/>
  <c r="AI72" i="31"/>
  <c r="AB72" i="31"/>
  <c r="AF72" i="31"/>
  <c r="AC72" i="31"/>
  <c r="AG72" i="31"/>
  <c r="AH72" i="31"/>
  <c r="AD72" i="31"/>
  <c r="AB60" i="31"/>
  <c r="AF60" i="31"/>
  <c r="AC60" i="31"/>
  <c r="AG60" i="31"/>
  <c r="AD60" i="31"/>
  <c r="AH60" i="31"/>
  <c r="AE60" i="31"/>
  <c r="AI60" i="31"/>
  <c r="AE32" i="31"/>
  <c r="AI32" i="31"/>
  <c r="AB32" i="31"/>
  <c r="AF32" i="31"/>
  <c r="AG32" i="31"/>
  <c r="AH32" i="31"/>
  <c r="AC32" i="31"/>
  <c r="AD32" i="31"/>
  <c r="I175" i="31"/>
  <c r="T175" i="31"/>
  <c r="AB175" i="31"/>
  <c r="AF175" i="31"/>
  <c r="Q175" i="31"/>
  <c r="U175" i="31"/>
  <c r="AC175" i="31"/>
  <c r="AG175" i="31"/>
  <c r="BA175" i="31"/>
  <c r="N175" i="31"/>
  <c r="AD175" i="31"/>
  <c r="AH175" i="31"/>
  <c r="BB175" i="31"/>
  <c r="T171" i="31"/>
  <c r="AB171" i="31"/>
  <c r="AF171" i="31"/>
  <c r="Q171" i="31"/>
  <c r="U171" i="31"/>
  <c r="AC171" i="31"/>
  <c r="AG171" i="31"/>
  <c r="BA171" i="31"/>
  <c r="N171" i="31"/>
  <c r="AD171" i="31"/>
  <c r="AH171" i="31"/>
  <c r="BB171" i="31"/>
  <c r="T167" i="31"/>
  <c r="AB167" i="31"/>
  <c r="AF167" i="31"/>
  <c r="Q167" i="31"/>
  <c r="U167" i="31"/>
  <c r="AC167" i="31"/>
  <c r="AG167" i="31"/>
  <c r="BA167" i="31"/>
  <c r="N167" i="31"/>
  <c r="AD167" i="31"/>
  <c r="AH167" i="31"/>
  <c r="BB167" i="31"/>
  <c r="AB163" i="31"/>
  <c r="AF163" i="31"/>
  <c r="AC163" i="31"/>
  <c r="AG163" i="31"/>
  <c r="AD163" i="31"/>
  <c r="AH163" i="31"/>
  <c r="AB159" i="31"/>
  <c r="AF159" i="31"/>
  <c r="AC159" i="31"/>
  <c r="AG159" i="31"/>
  <c r="AD159" i="31"/>
  <c r="AH159" i="31"/>
  <c r="AB155" i="31"/>
  <c r="AF155" i="31"/>
  <c r="AC155" i="31"/>
  <c r="AG155" i="31"/>
  <c r="AD155" i="31"/>
  <c r="AH155" i="31"/>
  <c r="AB151" i="31"/>
  <c r="AF151" i="31"/>
  <c r="AC151" i="31"/>
  <c r="AG151" i="31"/>
  <c r="AD151" i="31"/>
  <c r="AH151" i="31"/>
  <c r="AB147" i="31"/>
  <c r="AF147" i="31"/>
  <c r="AC147" i="31"/>
  <c r="AG147" i="31"/>
  <c r="AD147" i="31"/>
  <c r="AH147" i="31"/>
  <c r="AB143" i="31"/>
  <c r="AF143" i="31"/>
  <c r="AC143" i="31"/>
  <c r="AG143" i="31"/>
  <c r="AD143" i="31"/>
  <c r="AB139" i="31"/>
  <c r="AF139" i="31"/>
  <c r="AC139" i="31"/>
  <c r="AG139" i="31"/>
  <c r="AD139" i="31"/>
  <c r="AH139" i="31"/>
  <c r="AB135" i="31"/>
  <c r="AF135" i="31"/>
  <c r="AC135" i="31"/>
  <c r="AG135" i="31"/>
  <c r="AD135" i="31"/>
  <c r="AH135" i="31"/>
  <c r="AB131" i="31"/>
  <c r="AF131" i="31"/>
  <c r="AC131" i="31"/>
  <c r="AG131" i="31"/>
  <c r="AD131" i="31"/>
  <c r="AH131" i="31"/>
  <c r="AD127" i="31"/>
  <c r="AH127" i="31"/>
  <c r="AB127" i="31"/>
  <c r="AF127" i="31"/>
  <c r="AG127" i="31"/>
  <c r="AI127" i="31"/>
  <c r="AC127" i="31"/>
  <c r="AD123" i="31"/>
  <c r="AH123" i="31"/>
  <c r="AE123" i="31"/>
  <c r="AI123" i="31"/>
  <c r="AB123" i="31"/>
  <c r="AF123" i="31"/>
  <c r="AG123" i="31"/>
  <c r="AD119" i="31"/>
  <c r="AH119" i="31"/>
  <c r="AE119" i="31"/>
  <c r="AI119" i="31"/>
  <c r="AB119" i="31"/>
  <c r="AF119" i="31"/>
  <c r="AG119" i="31"/>
  <c r="AD115" i="31"/>
  <c r="AH115" i="31"/>
  <c r="AE115" i="31"/>
  <c r="AI115" i="31"/>
  <c r="AB115" i="31"/>
  <c r="AF115" i="31"/>
  <c r="AG115" i="31"/>
  <c r="AD111" i="31"/>
  <c r="AH111" i="31"/>
  <c r="AE111" i="31"/>
  <c r="AI111" i="31"/>
  <c r="AB111" i="31"/>
  <c r="AF111" i="31"/>
  <c r="AG111" i="31"/>
  <c r="AD107" i="31"/>
  <c r="AH107" i="31"/>
  <c r="AB107" i="31"/>
  <c r="AF107" i="31"/>
  <c r="AI107" i="31"/>
  <c r="AC107" i="31"/>
  <c r="AE107" i="31"/>
  <c r="AG107" i="31"/>
  <c r="AD103" i="31"/>
  <c r="AH103" i="31"/>
  <c r="AE103" i="31"/>
  <c r="AI103" i="31"/>
  <c r="AB103" i="31"/>
  <c r="AF103" i="31"/>
  <c r="AC103" i="31"/>
  <c r="AG103" i="31"/>
  <c r="AD99" i="31"/>
  <c r="AH99" i="31"/>
  <c r="AE99" i="31"/>
  <c r="AI99" i="31"/>
  <c r="AB99" i="31"/>
  <c r="AF99" i="31"/>
  <c r="AC99" i="31"/>
  <c r="AG99" i="31"/>
  <c r="AD95" i="31"/>
  <c r="AH95" i="31"/>
  <c r="AE95" i="31"/>
  <c r="AI95" i="31"/>
  <c r="AB95" i="31"/>
  <c r="AF95" i="31"/>
  <c r="AC95" i="31"/>
  <c r="AG95" i="31"/>
  <c r="AD91" i="31"/>
  <c r="AH91" i="31"/>
  <c r="AE91" i="31"/>
  <c r="AI91" i="31"/>
  <c r="AB91" i="31"/>
  <c r="AF91" i="31"/>
  <c r="AC91" i="31"/>
  <c r="AG91" i="31"/>
  <c r="AE87" i="31"/>
  <c r="AI87" i="31"/>
  <c r="AB87" i="31"/>
  <c r="AF87" i="31"/>
  <c r="AC87" i="31"/>
  <c r="AG87" i="31"/>
  <c r="AD87" i="31"/>
  <c r="AH87" i="31"/>
  <c r="AE83" i="31"/>
  <c r="AI83" i="31"/>
  <c r="AB83" i="31"/>
  <c r="AF83" i="31"/>
  <c r="AC83" i="31"/>
  <c r="AG83" i="31"/>
  <c r="AD83" i="31"/>
  <c r="AH83" i="31"/>
  <c r="AE79" i="31"/>
  <c r="AI79" i="31"/>
  <c r="AB79" i="31"/>
  <c r="AF79" i="31"/>
  <c r="AC79" i="31"/>
  <c r="AG79" i="31"/>
  <c r="AD79" i="31"/>
  <c r="AH79" i="31"/>
  <c r="AE75" i="31"/>
  <c r="AI75" i="31"/>
  <c r="AB75" i="31"/>
  <c r="AF75" i="31"/>
  <c r="AC75" i="31"/>
  <c r="AG75" i="31"/>
  <c r="AD75" i="31"/>
  <c r="AH75" i="31"/>
  <c r="AE71" i="31"/>
  <c r="AI71" i="31"/>
  <c r="AB71" i="31"/>
  <c r="AF71" i="31"/>
  <c r="AC71" i="31"/>
  <c r="AG71" i="31"/>
  <c r="AD71" i="31"/>
  <c r="AH71" i="31"/>
  <c r="AE67" i="31"/>
  <c r="AI67" i="31"/>
  <c r="AB67" i="31"/>
  <c r="AF67" i="31"/>
  <c r="AC67" i="31"/>
  <c r="AG67" i="31"/>
  <c r="AD67" i="31"/>
  <c r="AH67" i="31"/>
  <c r="AB63" i="31"/>
  <c r="AF63" i="31"/>
  <c r="AC63" i="31"/>
  <c r="AG63" i="31"/>
  <c r="AD63" i="31"/>
  <c r="AH63" i="31"/>
  <c r="AE63" i="31"/>
  <c r="AI63" i="31"/>
  <c r="AB59" i="31"/>
  <c r="AF59" i="31"/>
  <c r="AC59" i="31"/>
  <c r="AG59" i="31"/>
  <c r="AD59" i="31"/>
  <c r="AH59" i="31"/>
  <c r="AE59" i="31"/>
  <c r="AI59" i="31"/>
  <c r="AB55" i="31"/>
  <c r="AF55" i="31"/>
  <c r="AC55" i="31"/>
  <c r="AG55" i="31"/>
  <c r="AD55" i="31"/>
  <c r="AH55" i="31"/>
  <c r="AE55" i="31"/>
  <c r="AI55" i="31"/>
  <c r="AE51" i="31"/>
  <c r="AI51" i="31"/>
  <c r="AB51" i="31"/>
  <c r="AF51" i="31"/>
  <c r="AC51" i="31"/>
  <c r="AG51" i="31"/>
  <c r="AD51" i="31"/>
  <c r="AH51" i="31"/>
  <c r="AE47" i="31"/>
  <c r="AI47" i="31"/>
  <c r="AB47" i="31"/>
  <c r="AF47" i="31"/>
  <c r="AC47" i="31"/>
  <c r="AG47" i="31"/>
  <c r="AD47" i="31"/>
  <c r="AH47" i="31"/>
  <c r="AC43" i="31"/>
  <c r="AG43" i="31"/>
  <c r="AD43" i="31"/>
  <c r="AE43" i="31"/>
  <c r="AI43" i="31"/>
  <c r="AF43" i="31"/>
  <c r="AH43" i="31"/>
  <c r="AB43" i="31"/>
  <c r="AC39" i="31"/>
  <c r="AG39" i="31"/>
  <c r="AD39" i="31"/>
  <c r="AH39" i="31"/>
  <c r="AE39" i="31"/>
  <c r="AI39" i="31"/>
  <c r="AF39" i="31"/>
  <c r="AB39" i="31"/>
  <c r="AC35" i="31"/>
  <c r="AG35" i="31"/>
  <c r="AD35" i="31"/>
  <c r="AH35" i="31"/>
  <c r="AE35" i="31"/>
  <c r="AI35" i="31"/>
  <c r="AF35" i="31"/>
  <c r="AB35" i="31"/>
  <c r="AE31" i="31"/>
  <c r="AI31" i="31"/>
  <c r="AB31" i="31"/>
  <c r="AF31" i="31"/>
  <c r="AC31" i="31"/>
  <c r="AD31" i="31"/>
  <c r="AG31" i="31"/>
  <c r="AH31" i="31"/>
  <c r="AD27" i="31"/>
  <c r="AH27" i="31"/>
  <c r="AB27" i="31"/>
  <c r="AF27" i="31"/>
  <c r="AI27" i="31"/>
  <c r="AC27" i="31"/>
  <c r="AE27" i="31"/>
  <c r="AG27" i="31"/>
  <c r="AD23" i="31"/>
  <c r="AH23" i="31"/>
  <c r="AE23" i="31"/>
  <c r="AI23" i="31"/>
  <c r="AB23" i="31"/>
  <c r="AF23" i="31"/>
  <c r="AC23" i="31"/>
  <c r="AG23" i="31"/>
  <c r="AE19" i="31"/>
  <c r="AI19" i="31"/>
  <c r="AB19" i="31"/>
  <c r="AF19" i="31"/>
  <c r="AC19" i="31"/>
  <c r="AG19" i="31"/>
  <c r="AD19" i="31"/>
  <c r="AH19" i="31"/>
  <c r="AE15" i="31"/>
  <c r="AI15" i="31"/>
  <c r="AB15" i="31"/>
  <c r="AF15" i="31"/>
  <c r="AC15" i="31"/>
  <c r="AG15" i="31"/>
  <c r="AD15" i="31"/>
  <c r="AH15" i="31"/>
  <c r="AC11" i="31"/>
  <c r="AG11" i="31"/>
  <c r="AE11" i="31"/>
  <c r="AI11" i="31"/>
  <c r="AF11" i="31"/>
  <c r="AH11" i="31"/>
  <c r="AB11" i="31"/>
  <c r="AD11" i="31"/>
  <c r="AE173" i="31"/>
  <c r="O173" i="31"/>
  <c r="AI172" i="31"/>
  <c r="AE169" i="31"/>
  <c r="O169" i="31"/>
  <c r="AI168" i="31"/>
  <c r="S168" i="31"/>
  <c r="AE165" i="31"/>
  <c r="AI164" i="31"/>
  <c r="AE161" i="31"/>
  <c r="AI160" i="31"/>
  <c r="AE157" i="31"/>
  <c r="AI156" i="31"/>
  <c r="AE153" i="31"/>
  <c r="AI152" i="31"/>
  <c r="AE149" i="31"/>
  <c r="AI148" i="31"/>
  <c r="AE145" i="31"/>
  <c r="AI144" i="31"/>
  <c r="AE141" i="31"/>
  <c r="AI140" i="31"/>
  <c r="AE137" i="31"/>
  <c r="AI136" i="31"/>
  <c r="AE133" i="31"/>
  <c r="AI132" i="31"/>
  <c r="AE129" i="31"/>
  <c r="AC111" i="31"/>
  <c r="T172" i="31"/>
  <c r="AB172" i="31"/>
  <c r="AF172" i="31"/>
  <c r="Q172" i="31"/>
  <c r="U172" i="31"/>
  <c r="AC172" i="31"/>
  <c r="AG172" i="31"/>
  <c r="BA172" i="31"/>
  <c r="N172" i="31"/>
  <c r="AD172" i="31"/>
  <c r="AH172" i="31"/>
  <c r="BB172" i="31"/>
  <c r="AB164" i="31"/>
  <c r="AF164" i="31"/>
  <c r="AC164" i="31"/>
  <c r="AG164" i="31"/>
  <c r="AD164" i="31"/>
  <c r="AH164" i="31"/>
  <c r="AB152" i="31"/>
  <c r="AF152" i="31"/>
  <c r="AC152" i="31"/>
  <c r="AG152" i="31"/>
  <c r="AD152" i="31"/>
  <c r="AH152" i="31"/>
  <c r="AB140" i="31"/>
  <c r="AF140" i="31"/>
  <c r="AC140" i="31"/>
  <c r="AG140" i="31"/>
  <c r="AD140" i="31"/>
  <c r="AH140" i="31"/>
  <c r="AD124" i="31"/>
  <c r="AH124" i="31"/>
  <c r="AE124" i="31"/>
  <c r="AI124" i="31"/>
  <c r="AB124" i="31"/>
  <c r="AF124" i="31"/>
  <c r="AC124" i="31"/>
  <c r="AG124" i="31"/>
  <c r="AD116" i="31"/>
  <c r="AH116" i="31"/>
  <c r="AE116" i="31"/>
  <c r="AI116" i="31"/>
  <c r="AB116" i="31"/>
  <c r="AF116" i="31"/>
  <c r="AC116" i="31"/>
  <c r="AG116" i="31"/>
  <c r="AD104" i="31"/>
  <c r="AH104" i="31"/>
  <c r="AE104" i="31"/>
  <c r="AI104" i="31"/>
  <c r="AB104" i="31"/>
  <c r="AF104" i="31"/>
  <c r="AC104" i="31"/>
  <c r="AG104" i="31"/>
  <c r="AD88" i="31"/>
  <c r="AH88" i="31"/>
  <c r="AE88" i="31"/>
  <c r="AI88" i="31"/>
  <c r="AB88" i="31"/>
  <c r="AF88" i="31"/>
  <c r="AC88" i="31"/>
  <c r="AG88" i="31"/>
  <c r="AE76" i="31"/>
  <c r="AI76" i="31"/>
  <c r="AB76" i="31"/>
  <c r="AF76" i="31"/>
  <c r="AC76" i="31"/>
  <c r="AG76" i="31"/>
  <c r="AH76" i="31"/>
  <c r="AD76" i="31"/>
  <c r="AE64" i="31"/>
  <c r="AI64" i="31"/>
  <c r="AB64" i="31"/>
  <c r="AF64" i="31"/>
  <c r="AC64" i="31"/>
  <c r="AG64" i="31"/>
  <c r="AH64" i="31"/>
  <c r="AD64" i="31"/>
  <c r="AE52" i="31"/>
  <c r="AI52" i="31"/>
  <c r="AB52" i="31"/>
  <c r="AF52" i="31"/>
  <c r="AC52" i="31"/>
  <c r="AG52" i="31"/>
  <c r="AD52" i="31"/>
  <c r="AH52" i="31"/>
  <c r="AE48" i="31"/>
  <c r="AI48" i="31"/>
  <c r="AB48" i="31"/>
  <c r="AF48" i="31"/>
  <c r="AC48" i="31"/>
  <c r="AG48" i="31"/>
  <c r="AD48" i="31"/>
  <c r="AH48" i="31"/>
  <c r="AC40" i="31"/>
  <c r="AG40" i="31"/>
  <c r="AD40" i="31"/>
  <c r="AH40" i="31"/>
  <c r="AE40" i="31"/>
  <c r="AI40" i="31"/>
  <c r="AB40" i="31"/>
  <c r="AF40" i="31"/>
  <c r="AD28" i="31"/>
  <c r="AH28" i="31"/>
  <c r="AE28" i="31"/>
  <c r="AI28" i="31"/>
  <c r="AB28" i="31"/>
  <c r="AF28" i="31"/>
  <c r="AC28" i="31"/>
  <c r="AG28" i="31"/>
  <c r="AE20" i="31"/>
  <c r="AI20" i="31"/>
  <c r="AB20" i="31"/>
  <c r="AF20" i="31"/>
  <c r="AC20" i="31"/>
  <c r="AG20" i="31"/>
  <c r="AH20" i="31"/>
  <c r="AD20" i="31"/>
  <c r="AD12" i="31"/>
  <c r="AH12" i="31"/>
  <c r="AE12" i="31"/>
  <c r="AI12" i="31"/>
  <c r="AB12" i="31"/>
  <c r="AF12" i="31"/>
  <c r="AC12" i="31"/>
  <c r="AG12" i="31"/>
  <c r="T174" i="31"/>
  <c r="AB174" i="31"/>
  <c r="AF174" i="31"/>
  <c r="Q174" i="31"/>
  <c r="U174" i="31"/>
  <c r="AC174" i="31"/>
  <c r="AG174" i="31"/>
  <c r="BA174" i="31"/>
  <c r="N174" i="31"/>
  <c r="AD174" i="31"/>
  <c r="AH174" i="31"/>
  <c r="BB174" i="31"/>
  <c r="T170" i="31"/>
  <c r="AB170" i="31"/>
  <c r="AF170" i="31"/>
  <c r="Q170" i="31"/>
  <c r="U170" i="31"/>
  <c r="AC170" i="31"/>
  <c r="AG170" i="31"/>
  <c r="BA170" i="31"/>
  <c r="N170" i="31"/>
  <c r="AD170" i="31"/>
  <c r="AH170" i="31"/>
  <c r="BB170" i="31"/>
  <c r="T166" i="31"/>
  <c r="AB166" i="31"/>
  <c r="AF166" i="31"/>
  <c r="Q166" i="31"/>
  <c r="U166" i="31"/>
  <c r="AC166" i="31"/>
  <c r="AG166" i="31"/>
  <c r="BA166" i="31"/>
  <c r="N166" i="31"/>
  <c r="AD166" i="31"/>
  <c r="AH166" i="31"/>
  <c r="BB166" i="31"/>
  <c r="AB162" i="31"/>
  <c r="AF162" i="31"/>
  <c r="AC162" i="31"/>
  <c r="AG162" i="31"/>
  <c r="AD162" i="31"/>
  <c r="AH162" i="31"/>
  <c r="AB158" i="31"/>
  <c r="AF158" i="31"/>
  <c r="AC158" i="31"/>
  <c r="AG158" i="31"/>
  <c r="AD158" i="31"/>
  <c r="AH158" i="31"/>
  <c r="AB154" i="31"/>
  <c r="AF154" i="31"/>
  <c r="AC154" i="31"/>
  <c r="AG154" i="31"/>
  <c r="AD154" i="31"/>
  <c r="AH154" i="31"/>
  <c r="AB150" i="31"/>
  <c r="AF150" i="31"/>
  <c r="AC150" i="31"/>
  <c r="AG150" i="31"/>
  <c r="AD150" i="31"/>
  <c r="AH150" i="31"/>
  <c r="AB146" i="31"/>
  <c r="AF146" i="31"/>
  <c r="AC146" i="31"/>
  <c r="AG146" i="31"/>
  <c r="AD146" i="31"/>
  <c r="AH146" i="31"/>
  <c r="AB142" i="31"/>
  <c r="AF142" i="31"/>
  <c r="AC142" i="31"/>
  <c r="AG142" i="31"/>
  <c r="AD142" i="31"/>
  <c r="AH142" i="31"/>
  <c r="AB138" i="31"/>
  <c r="AF138" i="31"/>
  <c r="AC138" i="31"/>
  <c r="AG138" i="31"/>
  <c r="AD138" i="31"/>
  <c r="AH138" i="31"/>
  <c r="AB134" i="31"/>
  <c r="AF134" i="31"/>
  <c r="AC134" i="31"/>
  <c r="AG134" i="31"/>
  <c r="AD134" i="31"/>
  <c r="AH134" i="31"/>
  <c r="AB130" i="31"/>
  <c r="AF130" i="31"/>
  <c r="AC130" i="31"/>
  <c r="AG130" i="31"/>
  <c r="AD130" i="31"/>
  <c r="AH130" i="31"/>
  <c r="AD126" i="31"/>
  <c r="AH126" i="31"/>
  <c r="AE126" i="31"/>
  <c r="AI126" i="31"/>
  <c r="AB126" i="31"/>
  <c r="AF126" i="31"/>
  <c r="AC126" i="31"/>
  <c r="AD122" i="31"/>
  <c r="AH122" i="31"/>
  <c r="AE122" i="31"/>
  <c r="AI122" i="31"/>
  <c r="AB122" i="31"/>
  <c r="AF122" i="31"/>
  <c r="AC122" i="31"/>
  <c r="AD118" i="31"/>
  <c r="AH118" i="31"/>
  <c r="AE118" i="31"/>
  <c r="AI118" i="31"/>
  <c r="AB118" i="31"/>
  <c r="AF118" i="31"/>
  <c r="AC118" i="31"/>
  <c r="AD114" i="31"/>
  <c r="AH114" i="31"/>
  <c r="AE114" i="31"/>
  <c r="AI114" i="31"/>
  <c r="AB114" i="31"/>
  <c r="AF114" i="31"/>
  <c r="AC114" i="31"/>
  <c r="AD110" i="31"/>
  <c r="AH110" i="31"/>
  <c r="AE110" i="31"/>
  <c r="AI110" i="31"/>
  <c r="AB110" i="31"/>
  <c r="AF110" i="31"/>
  <c r="AC110" i="31"/>
  <c r="AD106" i="31"/>
  <c r="AH106" i="31"/>
  <c r="AE106" i="31"/>
  <c r="AI106" i="31"/>
  <c r="AB106" i="31"/>
  <c r="AF106" i="31"/>
  <c r="AG106" i="31"/>
  <c r="AC106" i="31"/>
  <c r="AD102" i="31"/>
  <c r="AH102" i="31"/>
  <c r="AE102" i="31"/>
  <c r="AI102" i="31"/>
  <c r="AB102" i="31"/>
  <c r="AF102" i="31"/>
  <c r="AG102" i="31"/>
  <c r="AC102" i="31"/>
  <c r="AD98" i="31"/>
  <c r="AH98" i="31"/>
  <c r="AE98" i="31"/>
  <c r="AI98" i="31"/>
  <c r="AB98" i="31"/>
  <c r="AF98" i="31"/>
  <c r="AG98" i="31"/>
  <c r="AD94" i="31"/>
  <c r="AH94" i="31"/>
  <c r="AE94" i="31"/>
  <c r="AI94" i="31"/>
  <c r="AB94" i="31"/>
  <c r="AF94" i="31"/>
  <c r="AG94" i="31"/>
  <c r="AC94" i="31"/>
  <c r="AD90" i="31"/>
  <c r="AH90" i="31"/>
  <c r="AE90" i="31"/>
  <c r="AI90" i="31"/>
  <c r="AB90" i="31"/>
  <c r="AF90" i="31"/>
  <c r="AG90" i="31"/>
  <c r="AC90" i="31"/>
  <c r="AE86" i="31"/>
  <c r="AI86" i="31"/>
  <c r="AB86" i="31"/>
  <c r="AF86" i="31"/>
  <c r="AC86" i="31"/>
  <c r="AG86" i="31"/>
  <c r="AD86" i="31"/>
  <c r="AH86" i="31"/>
  <c r="AE82" i="31"/>
  <c r="AI82" i="31"/>
  <c r="AB82" i="31"/>
  <c r="AF82" i="31"/>
  <c r="AC82" i="31"/>
  <c r="AG82" i="31"/>
  <c r="AD82" i="31"/>
  <c r="AH82" i="31"/>
  <c r="AE78" i="31"/>
  <c r="AI78" i="31"/>
  <c r="AB78" i="31"/>
  <c r="AF78" i="31"/>
  <c r="AC78" i="31"/>
  <c r="AG78" i="31"/>
  <c r="AD78" i="31"/>
  <c r="AH78" i="31"/>
  <c r="AE74" i="31"/>
  <c r="AI74" i="31"/>
  <c r="AB74" i="31"/>
  <c r="AF74" i="31"/>
  <c r="AC74" i="31"/>
  <c r="AG74" i="31"/>
  <c r="AD74" i="31"/>
  <c r="AH74" i="31"/>
  <c r="AE70" i="31"/>
  <c r="AI70" i="31"/>
  <c r="AB70" i="31"/>
  <c r="AF70" i="31"/>
  <c r="AC70" i="31"/>
  <c r="AG70" i="31"/>
  <c r="AD70" i="31"/>
  <c r="AH70" i="31"/>
  <c r="AE66" i="31"/>
  <c r="AI66" i="31"/>
  <c r="AB66" i="31"/>
  <c r="AF66" i="31"/>
  <c r="AC66" i="31"/>
  <c r="AG66" i="31"/>
  <c r="AD66" i="31"/>
  <c r="AH66" i="31"/>
  <c r="AB62" i="31"/>
  <c r="AF62" i="31"/>
  <c r="AC62" i="31"/>
  <c r="AG62" i="31"/>
  <c r="AD62" i="31"/>
  <c r="AH62" i="31"/>
  <c r="AE62" i="31"/>
  <c r="AI62" i="31"/>
  <c r="AB58" i="31"/>
  <c r="AF58" i="31"/>
  <c r="AC58" i="31"/>
  <c r="AG58" i="31"/>
  <c r="AD58" i="31"/>
  <c r="AH58" i="31"/>
  <c r="AE58" i="31"/>
  <c r="AI58" i="31"/>
  <c r="AB54" i="31"/>
  <c r="AF54" i="31"/>
  <c r="AC54" i="31"/>
  <c r="AG54" i="31"/>
  <c r="AD54" i="31"/>
  <c r="AH54" i="31"/>
  <c r="AE54" i="31"/>
  <c r="AI54" i="31"/>
  <c r="AE50" i="31"/>
  <c r="AI50" i="31"/>
  <c r="AB50" i="31"/>
  <c r="AF50" i="31"/>
  <c r="AC50" i="31"/>
  <c r="AG50" i="31"/>
  <c r="AH50" i="31"/>
  <c r="AD50" i="31"/>
  <c r="AE46" i="31"/>
  <c r="AI46" i="31"/>
  <c r="AB46" i="31"/>
  <c r="AF46" i="31"/>
  <c r="AC46" i="31"/>
  <c r="AG46" i="31"/>
  <c r="AH46" i="31"/>
  <c r="AD46" i="31"/>
  <c r="AC42" i="31"/>
  <c r="AG42" i="31"/>
  <c r="AD42" i="31"/>
  <c r="AH42" i="31"/>
  <c r="AE42" i="31"/>
  <c r="AI42" i="31"/>
  <c r="AB42" i="31"/>
  <c r="AF42" i="31"/>
  <c r="AC38" i="31"/>
  <c r="AG38" i="31"/>
  <c r="AD38" i="31"/>
  <c r="AH38" i="31"/>
  <c r="AE38" i="31"/>
  <c r="AI38" i="31"/>
  <c r="AB38" i="31"/>
  <c r="AF38" i="31"/>
  <c r="AC34" i="31"/>
  <c r="AG34" i="31"/>
  <c r="AD34" i="31"/>
  <c r="AH34" i="31"/>
  <c r="AE34" i="31"/>
  <c r="AI34" i="31"/>
  <c r="AB34" i="31"/>
  <c r="AF34" i="31"/>
  <c r="AD30" i="31"/>
  <c r="AH30" i="31"/>
  <c r="AE30" i="31"/>
  <c r="AI30" i="31"/>
  <c r="AB30" i="31"/>
  <c r="AF30" i="31"/>
  <c r="AG30" i="31"/>
  <c r="AC30" i="31"/>
  <c r="AD26" i="31"/>
  <c r="AH26" i="31"/>
  <c r="AE26" i="31"/>
  <c r="AI26" i="31"/>
  <c r="AB26" i="31"/>
  <c r="AF26" i="31"/>
  <c r="AC26" i="31"/>
  <c r="AG26" i="31"/>
  <c r="AB22" i="31"/>
  <c r="AF22" i="31"/>
  <c r="AD22" i="31"/>
  <c r="AI22" i="31"/>
  <c r="AE22" i="31"/>
  <c r="AG22" i="31"/>
  <c r="AC22" i="31"/>
  <c r="AH22" i="31"/>
  <c r="AE18" i="31"/>
  <c r="AI18" i="31"/>
  <c r="AB18" i="31"/>
  <c r="AF18" i="31"/>
  <c r="AC18" i="31"/>
  <c r="AG18" i="31"/>
  <c r="AD18" i="31"/>
  <c r="AH18" i="31"/>
  <c r="AE14" i="31"/>
  <c r="AI14" i="31"/>
  <c r="AB14" i="31"/>
  <c r="AF14" i="31"/>
  <c r="AC14" i="31"/>
  <c r="AG14" i="31"/>
  <c r="AD14" i="31"/>
  <c r="AH14" i="31"/>
  <c r="AC10" i="31"/>
  <c r="AG10" i="31"/>
  <c r="AD10" i="31"/>
  <c r="AH10" i="31"/>
  <c r="AE10" i="31"/>
  <c r="AI10" i="31"/>
  <c r="AB10" i="31"/>
  <c r="AF10" i="31"/>
  <c r="AI175" i="31"/>
  <c r="S175" i="31"/>
  <c r="AE172" i="31"/>
  <c r="O172" i="31"/>
  <c r="AI171" i="31"/>
  <c r="S171" i="31"/>
  <c r="AE168" i="31"/>
  <c r="O168" i="31"/>
  <c r="AI167" i="31"/>
  <c r="S167" i="31"/>
  <c r="AE164" i="31"/>
  <c r="AI163" i="31"/>
  <c r="AE160" i="31"/>
  <c r="AI159" i="31"/>
  <c r="AE156" i="31"/>
  <c r="AI155" i="31"/>
  <c r="AE152" i="31"/>
  <c r="AI151" i="31"/>
  <c r="AE148" i="31"/>
  <c r="AI147" i="31"/>
  <c r="AE144" i="31"/>
  <c r="AE140" i="31"/>
  <c r="AI139" i="31"/>
  <c r="AE136" i="31"/>
  <c r="AI135" i="31"/>
  <c r="AE132" i="31"/>
  <c r="AI131" i="31"/>
  <c r="AC123" i="31"/>
  <c r="AG114" i="31"/>
  <c r="AB160" i="31"/>
  <c r="AF160" i="31"/>
  <c r="AC160" i="31"/>
  <c r="AG160" i="31"/>
  <c r="AD160" i="31"/>
  <c r="AH160" i="31"/>
  <c r="AB148" i="31"/>
  <c r="AF148" i="31"/>
  <c r="AC148" i="31"/>
  <c r="AG148" i="31"/>
  <c r="AD148" i="31"/>
  <c r="AH148" i="31"/>
  <c r="AB136" i="31"/>
  <c r="AF136" i="31"/>
  <c r="AC136" i="31"/>
  <c r="AG136" i="31"/>
  <c r="AD136" i="31"/>
  <c r="AH136" i="31"/>
  <c r="AD128" i="31"/>
  <c r="AH128" i="31"/>
  <c r="AB128" i="31"/>
  <c r="AF128" i="31"/>
  <c r="AC128" i="31"/>
  <c r="AE128" i="31"/>
  <c r="AG128" i="31"/>
  <c r="AD112" i="31"/>
  <c r="AH112" i="31"/>
  <c r="AE112" i="31"/>
  <c r="AI112" i="31"/>
  <c r="AB112" i="31"/>
  <c r="AF112" i="31"/>
  <c r="AC112" i="31"/>
  <c r="AG112" i="31"/>
  <c r="AD100" i="31"/>
  <c r="AH100" i="31"/>
  <c r="AE100" i="31"/>
  <c r="AI100" i="31"/>
  <c r="AB100" i="31"/>
  <c r="AF100" i="31"/>
  <c r="AC100" i="31"/>
  <c r="AG100" i="31"/>
  <c r="AD92" i="31"/>
  <c r="AH92" i="31"/>
  <c r="AE92" i="31"/>
  <c r="AI92" i="31"/>
  <c r="AB92" i="31"/>
  <c r="AF92" i="31"/>
  <c r="AC92" i="31"/>
  <c r="AG92" i="31"/>
  <c r="AE80" i="31"/>
  <c r="AI80" i="31"/>
  <c r="AB80" i="31"/>
  <c r="AF80" i="31"/>
  <c r="AC80" i="31"/>
  <c r="AG80" i="31"/>
  <c r="AH80" i="31"/>
  <c r="AD80" i="31"/>
  <c r="AE68" i="31"/>
  <c r="AI68" i="31"/>
  <c r="AB68" i="31"/>
  <c r="AF68" i="31"/>
  <c r="AC68" i="31"/>
  <c r="AG68" i="31"/>
  <c r="AH68" i="31"/>
  <c r="AB56" i="31"/>
  <c r="AF56" i="31"/>
  <c r="AC56" i="31"/>
  <c r="AG56" i="31"/>
  <c r="AD56" i="31"/>
  <c r="AH56" i="31"/>
  <c r="AE56" i="31"/>
  <c r="AI56" i="31"/>
  <c r="AE44" i="31"/>
  <c r="AI44" i="31"/>
  <c r="AB44" i="31"/>
  <c r="AF44" i="31"/>
  <c r="AC44" i="31"/>
  <c r="AG44" i="31"/>
  <c r="AD44" i="31"/>
  <c r="AH44" i="31"/>
  <c r="AC36" i="31"/>
  <c r="AG36" i="31"/>
  <c r="AD36" i="31"/>
  <c r="AH36" i="31"/>
  <c r="AE36" i="31"/>
  <c r="AI36" i="31"/>
  <c r="AB36" i="31"/>
  <c r="AF36" i="31"/>
  <c r="AD24" i="31"/>
  <c r="AH24" i="31"/>
  <c r="AE24" i="31"/>
  <c r="AI24" i="31"/>
  <c r="AB24" i="31"/>
  <c r="AF24" i="31"/>
  <c r="AG24" i="31"/>
  <c r="AC24" i="31"/>
  <c r="AE16" i="31"/>
  <c r="AI16" i="31"/>
  <c r="AB16" i="31"/>
  <c r="AF16" i="31"/>
  <c r="AC16" i="31"/>
  <c r="AG16" i="31"/>
  <c r="AD16" i="31"/>
  <c r="AH16" i="31"/>
  <c r="AC8" i="31"/>
  <c r="AG8" i="31"/>
  <c r="AD8" i="31"/>
  <c r="AH8" i="31"/>
  <c r="AE8" i="31"/>
  <c r="AI8" i="31"/>
  <c r="AF8" i="31"/>
  <c r="AB8" i="31"/>
  <c r="CC174" i="31"/>
  <c r="CC127" i="31"/>
  <c r="T173" i="31"/>
  <c r="AB173" i="31"/>
  <c r="AF173" i="31"/>
  <c r="Q173" i="31"/>
  <c r="U173" i="31"/>
  <c r="AC173" i="31"/>
  <c r="AG173" i="31"/>
  <c r="BA173" i="31"/>
  <c r="N173" i="31"/>
  <c r="AD173" i="31"/>
  <c r="AH173" i="31"/>
  <c r="BB173" i="31"/>
  <c r="T169" i="31"/>
  <c r="AB169" i="31"/>
  <c r="AF169" i="31"/>
  <c r="Q169" i="31"/>
  <c r="U169" i="31"/>
  <c r="AC169" i="31"/>
  <c r="AG169" i="31"/>
  <c r="BA169" i="31"/>
  <c r="N169" i="31"/>
  <c r="AD169" i="31"/>
  <c r="AH169" i="31"/>
  <c r="BB169" i="31"/>
  <c r="AB165" i="31"/>
  <c r="AF165" i="31"/>
  <c r="AC165" i="31"/>
  <c r="AG165" i="31"/>
  <c r="AD165" i="31"/>
  <c r="AH165" i="31"/>
  <c r="AB161" i="31"/>
  <c r="AF161" i="31"/>
  <c r="AC161" i="31"/>
  <c r="AG161" i="31"/>
  <c r="AD161" i="31"/>
  <c r="AH161" i="31"/>
  <c r="AB157" i="31"/>
  <c r="AF157" i="31"/>
  <c r="AC157" i="31"/>
  <c r="AG157" i="31"/>
  <c r="AD157" i="31"/>
  <c r="AH157" i="31"/>
  <c r="AB153" i="31"/>
  <c r="AF153" i="31"/>
  <c r="AC153" i="31"/>
  <c r="AG153" i="31"/>
  <c r="AD153" i="31"/>
  <c r="AH153" i="31"/>
  <c r="AB149" i="31"/>
  <c r="AF149" i="31"/>
  <c r="AC149" i="31"/>
  <c r="AG149" i="31"/>
  <c r="AD149" i="31"/>
  <c r="AH149" i="31"/>
  <c r="AB145" i="31"/>
  <c r="AF145" i="31"/>
  <c r="AC145" i="31"/>
  <c r="AG145" i="31"/>
  <c r="AD145" i="31"/>
  <c r="AH145" i="31"/>
  <c r="AB141" i="31"/>
  <c r="AF141" i="31"/>
  <c r="AC141" i="31"/>
  <c r="AG141" i="31"/>
  <c r="AD141" i="31"/>
  <c r="AH141" i="31"/>
  <c r="AB137" i="31"/>
  <c r="AF137" i="31"/>
  <c r="AC137" i="31"/>
  <c r="AG137" i="31"/>
  <c r="AD137" i="31"/>
  <c r="AH137" i="31"/>
  <c r="AB133" i="31"/>
  <c r="AF133" i="31"/>
  <c r="AC133" i="31"/>
  <c r="CL133" i="31" s="1"/>
  <c r="AG133" i="31"/>
  <c r="AD133" i="31"/>
  <c r="AB129" i="31"/>
  <c r="AF129" i="31"/>
  <c r="AC129" i="31"/>
  <c r="AG129" i="31"/>
  <c r="AD129" i="31"/>
  <c r="AH129" i="31"/>
  <c r="AD125" i="31"/>
  <c r="AH125" i="31"/>
  <c r="AE125" i="31"/>
  <c r="AI125" i="31"/>
  <c r="AB125" i="31"/>
  <c r="AF125" i="31"/>
  <c r="AC125" i="31"/>
  <c r="AG125" i="31"/>
  <c r="AD121" i="31"/>
  <c r="AH121" i="31"/>
  <c r="AE121" i="31"/>
  <c r="AI121" i="31"/>
  <c r="AB121" i="31"/>
  <c r="AF121" i="31"/>
  <c r="AC121" i="31"/>
  <c r="AG121" i="31"/>
  <c r="AD117" i="31"/>
  <c r="AH117" i="31"/>
  <c r="AE117" i="31"/>
  <c r="AI117" i="31"/>
  <c r="AB117" i="31"/>
  <c r="AF117" i="31"/>
  <c r="AC117" i="31"/>
  <c r="AG117" i="31"/>
  <c r="AD113" i="31"/>
  <c r="AH113" i="31"/>
  <c r="AE113" i="31"/>
  <c r="AI113" i="31"/>
  <c r="AB113" i="31"/>
  <c r="AF113" i="31"/>
  <c r="AC113" i="31"/>
  <c r="AG113" i="31"/>
  <c r="AD109" i="31"/>
  <c r="AH109" i="31"/>
  <c r="AE109" i="31"/>
  <c r="AI109" i="31"/>
  <c r="AB109" i="31"/>
  <c r="AF109" i="31"/>
  <c r="AC109" i="31"/>
  <c r="AG109" i="31"/>
  <c r="AD105" i="31"/>
  <c r="AH105" i="31"/>
  <c r="AE105" i="31"/>
  <c r="AI105" i="31"/>
  <c r="AB105" i="31"/>
  <c r="AF105" i="31"/>
  <c r="AC105" i="31"/>
  <c r="AD101" i="31"/>
  <c r="AH101" i="31"/>
  <c r="AE101" i="31"/>
  <c r="AI101" i="31"/>
  <c r="AB101" i="31"/>
  <c r="AF101" i="31"/>
  <c r="AC101" i="31"/>
  <c r="AG101" i="31"/>
  <c r="AD97" i="31"/>
  <c r="AH97" i="31"/>
  <c r="AE97" i="31"/>
  <c r="AI97" i="31"/>
  <c r="AB97" i="31"/>
  <c r="AF97" i="31"/>
  <c r="AC97" i="31"/>
  <c r="AG97" i="31"/>
  <c r="AD93" i="31"/>
  <c r="AH93" i="31"/>
  <c r="AE93" i="31"/>
  <c r="AI93" i="31"/>
  <c r="AB93" i="31"/>
  <c r="AF93" i="31"/>
  <c r="AC93" i="31"/>
  <c r="AG93" i="31"/>
  <c r="AD89" i="31"/>
  <c r="AH89" i="31"/>
  <c r="AE89" i="31"/>
  <c r="AI89" i="31"/>
  <c r="AB89" i="31"/>
  <c r="AF89" i="31"/>
  <c r="AC89" i="31"/>
  <c r="AE85" i="31"/>
  <c r="AI85" i="31"/>
  <c r="AB85" i="31"/>
  <c r="AF85" i="31"/>
  <c r="AC85" i="31"/>
  <c r="AG85" i="31"/>
  <c r="AD85" i="31"/>
  <c r="AH85" i="31"/>
  <c r="AE81" i="31"/>
  <c r="AI81" i="31"/>
  <c r="AB81" i="31"/>
  <c r="AF81" i="31"/>
  <c r="AC81" i="31"/>
  <c r="AG81" i="31"/>
  <c r="AD81" i="31"/>
  <c r="AH81" i="31"/>
  <c r="AE77" i="31"/>
  <c r="AI77" i="31"/>
  <c r="AB77" i="31"/>
  <c r="AF77" i="31"/>
  <c r="AC77" i="31"/>
  <c r="AG77" i="31"/>
  <c r="AD77" i="31"/>
  <c r="AH77" i="31"/>
  <c r="AE73" i="31"/>
  <c r="AI73" i="31"/>
  <c r="AB73" i="31"/>
  <c r="AF73" i="31"/>
  <c r="AC73" i="31"/>
  <c r="AG73" i="31"/>
  <c r="AD73" i="31"/>
  <c r="AH73" i="31"/>
  <c r="AE69" i="31"/>
  <c r="AI69" i="31"/>
  <c r="AB69" i="31"/>
  <c r="AF69" i="31"/>
  <c r="AC69" i="31"/>
  <c r="AG69" i="31"/>
  <c r="AD69" i="31"/>
  <c r="AH69" i="31"/>
  <c r="AE65" i="31"/>
  <c r="AI65" i="31"/>
  <c r="AB65" i="31"/>
  <c r="AF65" i="31"/>
  <c r="AC65" i="31"/>
  <c r="AG65" i="31"/>
  <c r="AD65" i="31"/>
  <c r="AH65" i="31"/>
  <c r="AB61" i="31"/>
  <c r="AF61" i="31"/>
  <c r="AC61" i="31"/>
  <c r="AG61" i="31"/>
  <c r="AD61" i="31"/>
  <c r="AH61" i="31"/>
  <c r="AI61" i="31"/>
  <c r="AE61" i="31"/>
  <c r="AB57" i="31"/>
  <c r="AF57" i="31"/>
  <c r="AC57" i="31"/>
  <c r="AG57" i="31"/>
  <c r="AD57" i="31"/>
  <c r="AH57" i="31"/>
  <c r="AI57" i="31"/>
  <c r="AE57" i="31"/>
  <c r="AE53" i="31"/>
  <c r="AI53" i="31"/>
  <c r="AB53" i="31"/>
  <c r="AF53" i="31"/>
  <c r="AC53" i="31"/>
  <c r="AH53" i="31"/>
  <c r="AD53" i="31"/>
  <c r="AG53" i="31"/>
  <c r="AE49" i="31"/>
  <c r="AI49" i="31"/>
  <c r="AB49" i="31"/>
  <c r="AF49" i="31"/>
  <c r="AC49" i="31"/>
  <c r="AG49" i="31"/>
  <c r="AD49" i="31"/>
  <c r="AH49" i="31"/>
  <c r="AE45" i="31"/>
  <c r="AI45" i="31"/>
  <c r="AB45" i="31"/>
  <c r="AF45" i="31"/>
  <c r="AC45" i="31"/>
  <c r="AG45" i="31"/>
  <c r="AD45" i="31"/>
  <c r="AH45" i="31"/>
  <c r="AC41" i="31"/>
  <c r="AG41" i="31"/>
  <c r="AD41" i="31"/>
  <c r="AH41" i="31"/>
  <c r="AE41" i="31"/>
  <c r="AI41" i="31"/>
  <c r="AB41" i="31"/>
  <c r="AF41" i="31"/>
  <c r="AC37" i="31"/>
  <c r="AG37" i="31"/>
  <c r="AD37" i="31"/>
  <c r="AH37" i="31"/>
  <c r="AE37" i="31"/>
  <c r="AI37" i="31"/>
  <c r="AB37" i="31"/>
  <c r="AF37" i="31"/>
  <c r="AC33" i="31"/>
  <c r="AG33" i="31"/>
  <c r="AD33" i="31"/>
  <c r="AH33" i="31"/>
  <c r="AE33" i="31"/>
  <c r="AI33" i="31"/>
  <c r="AB33" i="31"/>
  <c r="AF33" i="31"/>
  <c r="AD29" i="31"/>
  <c r="AH29" i="31"/>
  <c r="AE29" i="31"/>
  <c r="AI29" i="31"/>
  <c r="AB29" i="31"/>
  <c r="AF29" i="31"/>
  <c r="AC29" i="31"/>
  <c r="AG29" i="31"/>
  <c r="AD25" i="31"/>
  <c r="AH25" i="31"/>
  <c r="AE25" i="31"/>
  <c r="AI25" i="31"/>
  <c r="AB25" i="31"/>
  <c r="AF25" i="31"/>
  <c r="AC25" i="31"/>
  <c r="AG25" i="31"/>
  <c r="AE21" i="31"/>
  <c r="AI21" i="31"/>
  <c r="AB21" i="31"/>
  <c r="AF21" i="31"/>
  <c r="AC21" i="31"/>
  <c r="AG21" i="31"/>
  <c r="AD21" i="31"/>
  <c r="AH21" i="31"/>
  <c r="AE17" i="31"/>
  <c r="AI17" i="31"/>
  <c r="AB17" i="31"/>
  <c r="AF17" i="31"/>
  <c r="AC17" i="31"/>
  <c r="AG17" i="31"/>
  <c r="AD17" i="31"/>
  <c r="AH17" i="31"/>
  <c r="AD13" i="31"/>
  <c r="AH13" i="31"/>
  <c r="AE13" i="31"/>
  <c r="AI13" i="31"/>
  <c r="AB13" i="31"/>
  <c r="AF13" i="31"/>
  <c r="AC13" i="31"/>
  <c r="AG13" i="31"/>
  <c r="AC9" i="31"/>
  <c r="AG9" i="31"/>
  <c r="AD9" i="31"/>
  <c r="AH9" i="31"/>
  <c r="AE9" i="31"/>
  <c r="AI9" i="31"/>
  <c r="AB9" i="31"/>
  <c r="AF9" i="31"/>
  <c r="AE175" i="31"/>
  <c r="O175" i="31"/>
  <c r="AI174" i="31"/>
  <c r="S174" i="31"/>
  <c r="AE171" i="31"/>
  <c r="O171" i="31"/>
  <c r="AI170" i="31"/>
  <c r="S170" i="31"/>
  <c r="AE167" i="31"/>
  <c r="O167" i="31"/>
  <c r="AI166" i="31"/>
  <c r="S166" i="31"/>
  <c r="AE163" i="31"/>
  <c r="AI162" i="31"/>
  <c r="AE159" i="31"/>
  <c r="AI158" i="31"/>
  <c r="AE155" i="31"/>
  <c r="AI154" i="31"/>
  <c r="AE151" i="31"/>
  <c r="AI150" i="31"/>
  <c r="AE147" i="31"/>
  <c r="AI146" i="31"/>
  <c r="AE143" i="31"/>
  <c r="AI142" i="31"/>
  <c r="AE139" i="31"/>
  <c r="AI138" i="31"/>
  <c r="AE135" i="31"/>
  <c r="AI134" i="31"/>
  <c r="AE131" i="31"/>
  <c r="AI130" i="31"/>
  <c r="AI128" i="31"/>
  <c r="AG126" i="31"/>
  <c r="AC119" i="31"/>
  <c r="AG110" i="31"/>
  <c r="AG89" i="31"/>
  <c r="I171" i="31"/>
  <c r="J167" i="31"/>
  <c r="I173" i="31"/>
  <c r="I169" i="31"/>
  <c r="I172" i="31"/>
  <c r="I168" i="31"/>
  <c r="I174" i="31"/>
  <c r="I170" i="31"/>
  <c r="I166" i="31"/>
  <c r="I28" i="31"/>
  <c r="I167" i="31"/>
  <c r="J175" i="31"/>
  <c r="J171" i="31"/>
  <c r="J174" i="31"/>
  <c r="J170" i="31"/>
  <c r="J166" i="31"/>
  <c r="J173" i="31"/>
  <c r="J169" i="31"/>
  <c r="J172" i="31"/>
  <c r="J168" i="31"/>
  <c r="E5" i="31"/>
  <c r="F175" i="31"/>
  <c r="H175" i="31"/>
  <c r="F171" i="31"/>
  <c r="H171" i="31"/>
  <c r="H167" i="31"/>
  <c r="F174" i="31"/>
  <c r="H174" i="31"/>
  <c r="F170" i="31"/>
  <c r="H170" i="31"/>
  <c r="H166" i="31"/>
  <c r="H173" i="31"/>
  <c r="H169" i="31"/>
  <c r="H172" i="31"/>
  <c r="H168" i="31"/>
  <c r="AB7" i="31"/>
  <c r="AF7" i="31"/>
  <c r="AC7" i="31"/>
  <c r="AG7" i="31"/>
  <c r="AD7" i="31"/>
  <c r="AH7" i="31"/>
  <c r="AE7" i="31"/>
  <c r="AI7" i="31"/>
  <c r="F173" i="31"/>
  <c r="F169" i="31"/>
  <c r="F172" i="31"/>
  <c r="F168" i="31"/>
  <c r="F167" i="31"/>
  <c r="F166" i="31"/>
  <c r="E145" i="31"/>
  <c r="E141" i="31"/>
  <c r="E137" i="31"/>
  <c r="E133" i="31"/>
  <c r="E129" i="31"/>
  <c r="E125" i="31"/>
  <c r="E121" i="31"/>
  <c r="E117" i="31"/>
  <c r="E113" i="31"/>
  <c r="E109" i="31"/>
  <c r="E105" i="31"/>
  <c r="E101" i="31"/>
  <c r="E97" i="31"/>
  <c r="E93" i="31"/>
  <c r="E89" i="31"/>
  <c r="E85" i="31"/>
  <c r="E81" i="31"/>
  <c r="E77" i="31"/>
  <c r="E73" i="31"/>
  <c r="E69" i="31"/>
  <c r="E65" i="31"/>
  <c r="E61" i="31"/>
  <c r="E57" i="31"/>
  <c r="E53" i="31"/>
  <c r="E49" i="31"/>
  <c r="E45" i="31"/>
  <c r="E41" i="31"/>
  <c r="E37" i="31"/>
  <c r="E33" i="31"/>
  <c r="E29" i="31"/>
  <c r="E25" i="31"/>
  <c r="E21" i="31"/>
  <c r="E17" i="31"/>
  <c r="E13" i="31"/>
  <c r="E9" i="31"/>
  <c r="E175" i="31"/>
  <c r="E174" i="31"/>
  <c r="E173" i="31"/>
  <c r="E172" i="31"/>
  <c r="E171" i="31"/>
  <c r="E170" i="31"/>
  <c r="E169" i="31"/>
  <c r="E168" i="31"/>
  <c r="E167" i="31"/>
  <c r="E166" i="31"/>
  <c r="E165" i="31"/>
  <c r="E164" i="31"/>
  <c r="E163" i="31"/>
  <c r="E162" i="31"/>
  <c r="E161" i="31"/>
  <c r="E160" i="31"/>
  <c r="E159" i="31"/>
  <c r="E158" i="31"/>
  <c r="E157" i="31"/>
  <c r="E156" i="31"/>
  <c r="E155" i="31"/>
  <c r="E154" i="31"/>
  <c r="E153" i="31"/>
  <c r="E152" i="31"/>
  <c r="E151" i="31"/>
  <c r="E150" i="31"/>
  <c r="E149" i="31"/>
  <c r="E148" i="31"/>
  <c r="E147" i="31"/>
  <c r="E144" i="31"/>
  <c r="E140" i="31"/>
  <c r="E136" i="31"/>
  <c r="E132" i="31"/>
  <c r="E128" i="31"/>
  <c r="E124" i="31"/>
  <c r="E120" i="31"/>
  <c r="E116" i="31"/>
  <c r="E112" i="31"/>
  <c r="E108" i="31"/>
  <c r="E104" i="31"/>
  <c r="E100" i="31"/>
  <c r="E96" i="31"/>
  <c r="E92" i="31"/>
  <c r="E88" i="31"/>
  <c r="E84" i="31"/>
  <c r="E80" i="31"/>
  <c r="E76" i="31"/>
  <c r="E72" i="31"/>
  <c r="E68" i="31"/>
  <c r="E64" i="31"/>
  <c r="E60" i="31"/>
  <c r="E56" i="31"/>
  <c r="E52" i="31"/>
  <c r="E48" i="31"/>
  <c r="E44" i="31"/>
  <c r="E40" i="31"/>
  <c r="E36" i="31"/>
  <c r="E32" i="31"/>
  <c r="E28" i="31"/>
  <c r="E24" i="31"/>
  <c r="E20" i="31"/>
  <c r="E16" i="31"/>
  <c r="E12" i="31"/>
  <c r="E8" i="31"/>
  <c r="E143" i="31"/>
  <c r="E139" i="31"/>
  <c r="E135" i="31"/>
  <c r="E131" i="31"/>
  <c r="E127" i="31"/>
  <c r="E123" i="31"/>
  <c r="E119" i="31"/>
  <c r="E115" i="31"/>
  <c r="E111" i="31"/>
  <c r="E107" i="31"/>
  <c r="E103" i="31"/>
  <c r="E99" i="31"/>
  <c r="E95" i="31"/>
  <c r="E91" i="31"/>
  <c r="E87" i="31"/>
  <c r="E83" i="31"/>
  <c r="E79" i="31"/>
  <c r="E75" i="31"/>
  <c r="E71" i="31"/>
  <c r="E67" i="31"/>
  <c r="E63" i="31"/>
  <c r="E59" i="31"/>
  <c r="E55" i="31"/>
  <c r="E51" i="31"/>
  <c r="E47" i="31"/>
  <c r="E43" i="31"/>
  <c r="E39" i="31"/>
  <c r="E35" i="31"/>
  <c r="E31" i="31"/>
  <c r="E27" i="31"/>
  <c r="E23" i="31"/>
  <c r="E19" i="31"/>
  <c r="E15" i="31"/>
  <c r="E11" i="31"/>
  <c r="E7" i="31"/>
  <c r="G175" i="31"/>
  <c r="G174" i="31"/>
  <c r="G173" i="31"/>
  <c r="G172" i="31"/>
  <c r="G171" i="31"/>
  <c r="G170" i="31"/>
  <c r="G169" i="31"/>
  <c r="G168" i="31"/>
  <c r="G167" i="31"/>
  <c r="G166" i="31"/>
  <c r="E146" i="31"/>
  <c r="E142" i="31"/>
  <c r="E138" i="31"/>
  <c r="E134" i="31"/>
  <c r="E130" i="31"/>
  <c r="E126" i="31"/>
  <c r="E122" i="31"/>
  <c r="E118" i="31"/>
  <c r="E114" i="31"/>
  <c r="E110" i="31"/>
  <c r="E106" i="31"/>
  <c r="E102" i="31"/>
  <c r="E98" i="31"/>
  <c r="E94" i="31"/>
  <c r="E90" i="31"/>
  <c r="E86" i="31"/>
  <c r="E82" i="31"/>
  <c r="E78" i="31"/>
  <c r="E74" i="31"/>
  <c r="E70" i="31"/>
  <c r="E66" i="31"/>
  <c r="E62" i="31"/>
  <c r="E58" i="31"/>
  <c r="E54" i="31"/>
  <c r="E50" i="31"/>
  <c r="E46" i="31"/>
  <c r="E42" i="31"/>
  <c r="E38" i="31"/>
  <c r="E34" i="31"/>
  <c r="E30" i="31"/>
  <c r="E26" i="31"/>
  <c r="E22" i="31"/>
  <c r="E18" i="31"/>
  <c r="E14" i="31"/>
  <c r="E10" i="31"/>
  <c r="E6" i="31"/>
  <c r="AC6" i="31"/>
  <c r="AG6" i="31"/>
  <c r="AD6" i="31"/>
  <c r="AH6" i="31"/>
  <c r="AE6" i="31"/>
  <c r="AI6" i="31"/>
  <c r="AF6" i="31"/>
  <c r="AB6" i="31"/>
  <c r="B8" i="31"/>
  <c r="D19" i="31"/>
  <c r="D15" i="31"/>
  <c r="D11" i="31"/>
  <c r="D7" i="31"/>
  <c r="B18" i="31"/>
  <c r="B14" i="31"/>
  <c r="B10" i="31"/>
  <c r="B6" i="31"/>
  <c r="D104" i="31"/>
  <c r="B88" i="31"/>
  <c r="B72" i="31"/>
  <c r="B56" i="31"/>
  <c r="D40" i="31"/>
  <c r="B24" i="31"/>
  <c r="AC5" i="31"/>
  <c r="AG5" i="31"/>
  <c r="D147" i="31"/>
  <c r="D143" i="31"/>
  <c r="D139" i="31"/>
  <c r="D135" i="31"/>
  <c r="D131" i="31"/>
  <c r="D127" i="31"/>
  <c r="D123" i="31"/>
  <c r="D119" i="31"/>
  <c r="D115" i="31"/>
  <c r="D111" i="31"/>
  <c r="D107" i="31"/>
  <c r="D103" i="31"/>
  <c r="D99" i="31"/>
  <c r="D95" i="31"/>
  <c r="D91" i="31"/>
  <c r="D87" i="31"/>
  <c r="D83" i="31"/>
  <c r="D79" i="31"/>
  <c r="D75" i="31"/>
  <c r="D71" i="31"/>
  <c r="D67" i="31"/>
  <c r="D63" i="31"/>
  <c r="D59" i="31"/>
  <c r="D55" i="31"/>
  <c r="D51" i="31"/>
  <c r="D47" i="31"/>
  <c r="D43" i="31"/>
  <c r="D39" i="31"/>
  <c r="D35" i="31"/>
  <c r="D31" i="31"/>
  <c r="D27" i="31"/>
  <c r="D23" i="31"/>
  <c r="AD5" i="31"/>
  <c r="AH5" i="31"/>
  <c r="AB5" i="31"/>
  <c r="AF5" i="31"/>
  <c r="D174" i="31"/>
  <c r="B98" i="31"/>
  <c r="B94" i="31"/>
  <c r="B90" i="31"/>
  <c r="B86" i="31"/>
  <c r="B82" i="31"/>
  <c r="B78" i="31"/>
  <c r="B74" i="31"/>
  <c r="B70" i="31"/>
  <c r="B66" i="31"/>
  <c r="B62" i="31"/>
  <c r="B58" i="31"/>
  <c r="B54" i="31"/>
  <c r="B50" i="31"/>
  <c r="B46" i="31"/>
  <c r="B42" i="31"/>
  <c r="B38" i="31"/>
  <c r="B34" i="31"/>
  <c r="B30" i="31"/>
  <c r="B26" i="31"/>
  <c r="B22" i="31"/>
  <c r="AE5" i="31"/>
  <c r="AI5" i="31"/>
  <c r="B97" i="31"/>
  <c r="B93" i="31"/>
  <c r="B89" i="31"/>
  <c r="B85" i="31"/>
  <c r="B81" i="31"/>
  <c r="B77" i="31"/>
  <c r="B73" i="31"/>
  <c r="B69" i="31"/>
  <c r="B65" i="31"/>
  <c r="B61" i="31"/>
  <c r="B57" i="31"/>
  <c r="B53" i="31"/>
  <c r="B49" i="31"/>
  <c r="B45" i="31"/>
  <c r="B41" i="31"/>
  <c r="B37" i="31"/>
  <c r="B33" i="31"/>
  <c r="B29" i="31"/>
  <c r="B25" i="31"/>
  <c r="B21" i="31"/>
  <c r="B17" i="31"/>
  <c r="B13" i="31"/>
  <c r="B9" i="31"/>
  <c r="B5" i="31"/>
  <c r="D175" i="31"/>
  <c r="D171" i="31"/>
  <c r="D167" i="31"/>
  <c r="D163" i="31"/>
  <c r="D159" i="31"/>
  <c r="D155" i="31"/>
  <c r="D151" i="31"/>
  <c r="C172" i="31"/>
  <c r="C164" i="31"/>
  <c r="C160" i="31"/>
  <c r="C156" i="31"/>
  <c r="B152" i="31"/>
  <c r="C148" i="31"/>
  <c r="C144" i="31"/>
  <c r="C140" i="31"/>
  <c r="B136" i="31"/>
  <c r="C132" i="31"/>
  <c r="C128" i="31"/>
  <c r="C124" i="31"/>
  <c r="B120" i="31"/>
  <c r="B116" i="31"/>
  <c r="C116" i="31"/>
  <c r="B112" i="31"/>
  <c r="C112" i="31"/>
  <c r="B108" i="31"/>
  <c r="C108" i="31"/>
  <c r="B100" i="31"/>
  <c r="C100" i="31"/>
  <c r="B96" i="31"/>
  <c r="C96" i="31"/>
  <c r="B92" i="31"/>
  <c r="C92" i="31"/>
  <c r="B84" i="31"/>
  <c r="C84" i="31"/>
  <c r="B80" i="31"/>
  <c r="C80" i="31"/>
  <c r="B76" i="31"/>
  <c r="C76" i="31"/>
  <c r="B68" i="31"/>
  <c r="C68" i="31"/>
  <c r="B64" i="31"/>
  <c r="C64" i="31"/>
  <c r="B60" i="31"/>
  <c r="C60" i="31"/>
  <c r="B52" i="31"/>
  <c r="C52" i="31"/>
  <c r="B48" i="31"/>
  <c r="C48" i="31"/>
  <c r="B44" i="31"/>
  <c r="C44" i="31"/>
  <c r="B36" i="31"/>
  <c r="C36" i="31"/>
  <c r="B32" i="31"/>
  <c r="C32" i="31"/>
  <c r="B28" i="31"/>
  <c r="C28" i="31"/>
  <c r="B20" i="31"/>
  <c r="C20" i="31"/>
  <c r="B16" i="31"/>
  <c r="C16" i="31"/>
  <c r="B12" i="31"/>
  <c r="C12" i="31"/>
  <c r="B168" i="31"/>
  <c r="C152" i="31"/>
  <c r="C88" i="31"/>
  <c r="C24" i="31"/>
  <c r="D164" i="31"/>
  <c r="D148" i="31"/>
  <c r="D132" i="31"/>
  <c r="D116" i="31"/>
  <c r="D100" i="31"/>
  <c r="D84" i="31"/>
  <c r="D68" i="31"/>
  <c r="D52" i="31"/>
  <c r="D36" i="31"/>
  <c r="D20" i="31"/>
  <c r="B104" i="31"/>
  <c r="C136" i="31"/>
  <c r="C72" i="31"/>
  <c r="C8" i="31"/>
  <c r="D160" i="31"/>
  <c r="D144" i="31"/>
  <c r="D128" i="31"/>
  <c r="D112" i="31"/>
  <c r="D96" i="31"/>
  <c r="D80" i="31"/>
  <c r="D64" i="31"/>
  <c r="D48" i="31"/>
  <c r="D32" i="31"/>
  <c r="D16" i="31"/>
  <c r="D170" i="31"/>
  <c r="D166" i="31"/>
  <c r="D162" i="31"/>
  <c r="D158" i="31"/>
  <c r="D154" i="31"/>
  <c r="D150" i="31"/>
  <c r="D146" i="31"/>
  <c r="B142" i="31"/>
  <c r="D142" i="31"/>
  <c r="B138" i="31"/>
  <c r="D138" i="31"/>
  <c r="B134" i="31"/>
  <c r="D134" i="31"/>
  <c r="B130" i="31"/>
  <c r="D130" i="31"/>
  <c r="B126" i="31"/>
  <c r="D126" i="31"/>
  <c r="B122" i="31"/>
  <c r="D122" i="31"/>
  <c r="B118" i="31"/>
  <c r="D118" i="31"/>
  <c r="B114" i="31"/>
  <c r="D114" i="31"/>
  <c r="B110" i="31"/>
  <c r="D110" i="31"/>
  <c r="B106" i="31"/>
  <c r="D106" i="31"/>
  <c r="B102" i="31"/>
  <c r="D102" i="31"/>
  <c r="B40" i="31"/>
  <c r="C120" i="31"/>
  <c r="C56" i="31"/>
  <c r="D172" i="31"/>
  <c r="D156" i="31"/>
  <c r="D140" i="31"/>
  <c r="D124" i="31"/>
  <c r="D108" i="31"/>
  <c r="D92" i="31"/>
  <c r="D76" i="31"/>
  <c r="D60" i="31"/>
  <c r="D44" i="31"/>
  <c r="D28" i="31"/>
  <c r="D12" i="31"/>
  <c r="C173" i="31"/>
  <c r="D173" i="31"/>
  <c r="B169" i="31"/>
  <c r="D169" i="31"/>
  <c r="C165" i="31"/>
  <c r="D165" i="31"/>
  <c r="C161" i="31"/>
  <c r="D161" i="31"/>
  <c r="C157" i="31"/>
  <c r="D157" i="31"/>
  <c r="C153" i="31"/>
  <c r="D153" i="31"/>
  <c r="C149" i="31"/>
  <c r="D149" i="31"/>
  <c r="C145" i="31"/>
  <c r="D145" i="31"/>
  <c r="C141" i="31"/>
  <c r="D141" i="31"/>
  <c r="C137" i="31"/>
  <c r="D137" i="31"/>
  <c r="C133" i="31"/>
  <c r="D133" i="31"/>
  <c r="C129" i="31"/>
  <c r="D129" i="31"/>
  <c r="C125" i="31"/>
  <c r="D125" i="31"/>
  <c r="B121" i="31"/>
  <c r="D121" i="31"/>
  <c r="B117" i="31"/>
  <c r="D117" i="31"/>
  <c r="B113" i="31"/>
  <c r="D113" i="31"/>
  <c r="B109" i="31"/>
  <c r="D109" i="31"/>
  <c r="B105" i="31"/>
  <c r="D105" i="31"/>
  <c r="B101" i="31"/>
  <c r="D101" i="31"/>
  <c r="C168" i="31"/>
  <c r="C104" i="31"/>
  <c r="C40" i="31"/>
  <c r="D168" i="31"/>
  <c r="D152" i="31"/>
  <c r="D136" i="31"/>
  <c r="D120" i="31"/>
  <c r="D88" i="31"/>
  <c r="D72" i="31"/>
  <c r="D56" i="31"/>
  <c r="D24" i="31"/>
  <c r="D8" i="31"/>
  <c r="D98" i="31"/>
  <c r="D94" i="31"/>
  <c r="D90" i="31"/>
  <c r="D86" i="31"/>
  <c r="D82" i="31"/>
  <c r="D78" i="31"/>
  <c r="D74" i="31"/>
  <c r="D70" i="31"/>
  <c r="D66" i="31"/>
  <c r="D62" i="31"/>
  <c r="D58" i="31"/>
  <c r="D54" i="31"/>
  <c r="D50" i="31"/>
  <c r="D46" i="31"/>
  <c r="D42" i="31"/>
  <c r="D38" i="31"/>
  <c r="D34" i="31"/>
  <c r="D30" i="31"/>
  <c r="D26" i="31"/>
  <c r="D22" i="31"/>
  <c r="D18" i="31"/>
  <c r="D14" i="31"/>
  <c r="D10" i="31"/>
  <c r="D6" i="31"/>
  <c r="D97" i="31"/>
  <c r="D93" i="31"/>
  <c r="D89" i="31"/>
  <c r="D85" i="31"/>
  <c r="D81" i="31"/>
  <c r="D77" i="31"/>
  <c r="D73" i="31"/>
  <c r="D69" i="31"/>
  <c r="D65" i="31"/>
  <c r="D61" i="31"/>
  <c r="D57" i="31"/>
  <c r="D53" i="31"/>
  <c r="D49" i="31"/>
  <c r="D45" i="31"/>
  <c r="D41" i="31"/>
  <c r="D37" i="31"/>
  <c r="D33" i="31"/>
  <c r="D29" i="31"/>
  <c r="D25" i="31"/>
  <c r="D21" i="31"/>
  <c r="D17" i="31"/>
  <c r="D13" i="31"/>
  <c r="D9" i="31"/>
  <c r="D5" i="31"/>
  <c r="B175" i="31"/>
  <c r="C175" i="31"/>
  <c r="B171" i="31"/>
  <c r="C171" i="31"/>
  <c r="B167" i="31"/>
  <c r="C167" i="31"/>
  <c r="B163" i="31"/>
  <c r="C163" i="31"/>
  <c r="B159" i="31"/>
  <c r="C159" i="31"/>
  <c r="B155" i="31"/>
  <c r="C155" i="31"/>
  <c r="B151" i="31"/>
  <c r="C151" i="31"/>
  <c r="B147" i="31"/>
  <c r="C147" i="31"/>
  <c r="B143" i="31"/>
  <c r="C143" i="31"/>
  <c r="B139" i="31"/>
  <c r="C139" i="31"/>
  <c r="B135" i="31"/>
  <c r="C135" i="31"/>
  <c r="B131" i="31"/>
  <c r="C131" i="31"/>
  <c r="B127" i="31"/>
  <c r="C127" i="31"/>
  <c r="B123" i="31"/>
  <c r="C123" i="31"/>
  <c r="B119" i="31"/>
  <c r="C119" i="31"/>
  <c r="B115" i="31"/>
  <c r="C115" i="31"/>
  <c r="B111" i="31"/>
  <c r="C111" i="31"/>
  <c r="B107" i="31"/>
  <c r="C107" i="31"/>
  <c r="B103" i="31"/>
  <c r="C103" i="31"/>
  <c r="B99" i="31"/>
  <c r="C99" i="31"/>
  <c r="B95" i="31"/>
  <c r="C95" i="31"/>
  <c r="B91" i="31"/>
  <c r="C91" i="31"/>
  <c r="B87" i="31"/>
  <c r="C87" i="31"/>
  <c r="B83" i="31"/>
  <c r="C83" i="31"/>
  <c r="B79" i="31"/>
  <c r="C79" i="31"/>
  <c r="B75" i="31"/>
  <c r="C75" i="31"/>
  <c r="B71" i="31"/>
  <c r="C71" i="31"/>
  <c r="B67" i="31"/>
  <c r="C67" i="31"/>
  <c r="B63" i="31"/>
  <c r="C63" i="31"/>
  <c r="B59" i="31"/>
  <c r="C59" i="31"/>
  <c r="B55" i="31"/>
  <c r="C55" i="31"/>
  <c r="B51" i="31"/>
  <c r="C51" i="31"/>
  <c r="B47" i="31"/>
  <c r="C47" i="31"/>
  <c r="B43" i="31"/>
  <c r="C43" i="31"/>
  <c r="B39" i="31"/>
  <c r="C39" i="31"/>
  <c r="B35" i="31"/>
  <c r="C35" i="31"/>
  <c r="B31" i="31"/>
  <c r="C31" i="31"/>
  <c r="B27" i="31"/>
  <c r="C27" i="31"/>
  <c r="B23" i="31"/>
  <c r="C23" i="31"/>
  <c r="B19" i="31"/>
  <c r="C19" i="31"/>
  <c r="B15" i="31"/>
  <c r="C15" i="31"/>
  <c r="B11" i="31"/>
  <c r="C11" i="31"/>
  <c r="B7" i="31"/>
  <c r="C7" i="31"/>
  <c r="B174" i="31"/>
  <c r="C174" i="31"/>
  <c r="B170" i="31"/>
  <c r="C170" i="31"/>
  <c r="B166" i="31"/>
  <c r="C166" i="31"/>
  <c r="B162" i="31"/>
  <c r="C162" i="31"/>
  <c r="B158" i="31"/>
  <c r="C158" i="31"/>
  <c r="B154" i="31"/>
  <c r="C154" i="31"/>
  <c r="B150" i="31"/>
  <c r="C150" i="31"/>
  <c r="B146" i="31"/>
  <c r="C146" i="31"/>
  <c r="B164" i="31"/>
  <c r="B148" i="31"/>
  <c r="B132" i="31"/>
  <c r="B160" i="31"/>
  <c r="B144" i="31"/>
  <c r="B128" i="31"/>
  <c r="C142" i="31"/>
  <c r="C138" i="31"/>
  <c r="C134" i="31"/>
  <c r="C130" i="31"/>
  <c r="C126" i="31"/>
  <c r="C122" i="31"/>
  <c r="C118" i="31"/>
  <c r="C114" i="31"/>
  <c r="C110" i="31"/>
  <c r="C106" i="31"/>
  <c r="C102" i="31"/>
  <c r="C98" i="31"/>
  <c r="C94" i="31"/>
  <c r="C90" i="31"/>
  <c r="C86" i="31"/>
  <c r="C82" i="31"/>
  <c r="C78" i="31"/>
  <c r="C74" i="31"/>
  <c r="C70" i="31"/>
  <c r="C66" i="31"/>
  <c r="C62" i="31"/>
  <c r="C58" i="31"/>
  <c r="C54" i="31"/>
  <c r="C50" i="31"/>
  <c r="C46" i="31"/>
  <c r="C42" i="31"/>
  <c r="C38" i="31"/>
  <c r="C34" i="31"/>
  <c r="C30" i="31"/>
  <c r="C26" i="31"/>
  <c r="C22" i="31"/>
  <c r="C18" i="31"/>
  <c r="C14" i="31"/>
  <c r="C10" i="31"/>
  <c r="C6" i="31"/>
  <c r="B172" i="31"/>
  <c r="B156" i="31"/>
  <c r="B140" i="31"/>
  <c r="B124" i="31"/>
  <c r="C169" i="31"/>
  <c r="C121" i="31"/>
  <c r="C117" i="31"/>
  <c r="C113" i="31"/>
  <c r="C109" i="31"/>
  <c r="C105" i="31"/>
  <c r="C101" i="31"/>
  <c r="C97" i="31"/>
  <c r="C93" i="31"/>
  <c r="C89" i="31"/>
  <c r="C85" i="31"/>
  <c r="C81" i="31"/>
  <c r="C77" i="31"/>
  <c r="C73" i="31"/>
  <c r="C69" i="31"/>
  <c r="C65" i="31"/>
  <c r="C61" i="31"/>
  <c r="C57" i="31"/>
  <c r="C53" i="31"/>
  <c r="C49" i="31"/>
  <c r="C45" i="31"/>
  <c r="C41" i="31"/>
  <c r="C37" i="31"/>
  <c r="C33" i="31"/>
  <c r="C29" i="31"/>
  <c r="C25" i="31"/>
  <c r="C21" i="31"/>
  <c r="C17" i="31"/>
  <c r="C13" i="31"/>
  <c r="C9" i="31"/>
  <c r="C5" i="31"/>
  <c r="B173" i="31"/>
  <c r="B165" i="31"/>
  <c r="B161" i="31"/>
  <c r="B157" i="31"/>
  <c r="B153" i="31"/>
  <c r="B149" i="31"/>
  <c r="B145" i="31"/>
  <c r="B141" i="31"/>
  <c r="B137" i="31"/>
  <c r="B133" i="31"/>
  <c r="B129" i="31"/>
  <c r="B125" i="31"/>
  <c r="BM174" i="31" l="1"/>
  <c r="BM169" i="31"/>
  <c r="BM175" i="31"/>
  <c r="CI175" i="31" s="1"/>
  <c r="CR153" i="31"/>
  <c r="DH153" i="31" s="1"/>
  <c r="CP118" i="31"/>
  <c r="AZ175" i="31"/>
  <c r="BD173" i="31"/>
  <c r="BD166" i="31"/>
  <c r="CG145" i="31"/>
  <c r="CE122" i="31"/>
  <c r="BM171" i="31"/>
  <c r="CI171" i="31" s="1"/>
  <c r="BM173" i="31"/>
  <c r="BP173" i="31" s="1"/>
  <c r="BM166" i="31"/>
  <c r="CI166" i="31" s="1"/>
  <c r="BD174" i="31"/>
  <c r="AM174" i="31"/>
  <c r="AU174" i="31" s="1"/>
  <c r="CG173" i="31"/>
  <c r="CG141" i="31"/>
  <c r="CR149" i="31"/>
  <c r="DH149" i="31" s="1"/>
  <c r="CR129" i="31"/>
  <c r="DH129" i="31" s="1"/>
  <c r="CN142" i="31"/>
  <c r="DD142" i="31" s="1"/>
  <c r="BM167" i="31"/>
  <c r="BP167" i="31" s="1"/>
  <c r="BD169" i="31"/>
  <c r="BD170" i="31"/>
  <c r="BD175" i="31"/>
  <c r="BD171" i="31"/>
  <c r="Z170" i="31"/>
  <c r="CC146" i="31"/>
  <c r="BM170" i="31"/>
  <c r="CI170" i="31" s="1"/>
  <c r="CN166" i="31"/>
  <c r="DL166" i="31" s="1"/>
  <c r="DT166" i="31" s="1"/>
  <c r="AM166" i="31"/>
  <c r="AU166" i="31" s="1"/>
  <c r="CG161" i="31"/>
  <c r="BD167" i="31"/>
  <c r="CA98" i="31"/>
  <c r="CB68" i="31"/>
  <c r="CP105" i="31"/>
  <c r="DF105" i="31" s="1"/>
  <c r="CN134" i="31"/>
  <c r="DD134" i="31" s="1"/>
  <c r="CR165" i="31"/>
  <c r="DH165" i="31" s="1"/>
  <c r="P166" i="31"/>
  <c r="Z166" i="31"/>
  <c r="Z174" i="31"/>
  <c r="CG137" i="31"/>
  <c r="CA115" i="31"/>
  <c r="CC170" i="31"/>
  <c r="AM170" i="31"/>
  <c r="AU170" i="31" s="1"/>
  <c r="AB176" i="31"/>
  <c r="P169" i="31"/>
  <c r="CC154" i="31"/>
  <c r="CN138" i="31"/>
  <c r="DD138" i="31" s="1"/>
  <c r="BK175" i="31"/>
  <c r="BN175" i="31" s="1"/>
  <c r="Z169" i="31"/>
  <c r="CC130" i="31"/>
  <c r="CC162" i="31"/>
  <c r="CC158" i="31"/>
  <c r="CN150" i="31"/>
  <c r="DL150" i="31" s="1"/>
  <c r="DT150" i="31" s="1"/>
  <c r="AC176" i="31"/>
  <c r="E176" i="31"/>
  <c r="AF176" i="31"/>
  <c r="AD176" i="31"/>
  <c r="AE176" i="31"/>
  <c r="BI176" i="31"/>
  <c r="AG176" i="31"/>
  <c r="AZ174" i="31"/>
  <c r="BK174" i="31"/>
  <c r="BN174" i="31" s="1"/>
  <c r="CG169" i="31"/>
  <c r="X172" i="31"/>
  <c r="R172" i="31"/>
  <c r="V172" i="31" s="1"/>
  <c r="AA172" i="31" s="1"/>
  <c r="AZ171" i="31"/>
  <c r="BK171" i="31"/>
  <c r="BN171" i="31" s="1"/>
  <c r="BK169" i="31"/>
  <c r="BN169" i="31" s="1"/>
  <c r="BK173" i="31"/>
  <c r="BN173" i="31" s="1"/>
  <c r="CG157" i="31"/>
  <c r="BK168" i="31"/>
  <c r="BN168" i="31" s="1"/>
  <c r="BK170" i="31"/>
  <c r="BN170" i="31" s="1"/>
  <c r="AZ172" i="31"/>
  <c r="BK167" i="31"/>
  <c r="BN167" i="31" s="1"/>
  <c r="AZ173" i="31"/>
  <c r="AZ168" i="31"/>
  <c r="CN131" i="31"/>
  <c r="CC131" i="31"/>
  <c r="CR138" i="31"/>
  <c r="CG138" i="31"/>
  <c r="X174" i="31"/>
  <c r="R174" i="31"/>
  <c r="CQ9" i="31"/>
  <c r="CF9" i="31"/>
  <c r="CP13" i="31"/>
  <c r="CE13" i="31"/>
  <c r="BZ13" i="31"/>
  <c r="AJ13" i="31"/>
  <c r="AR13" i="31" s="1"/>
  <c r="CK13" i="31"/>
  <c r="AJ17" i="31"/>
  <c r="AR17" i="31" s="1"/>
  <c r="CK17" i="31"/>
  <c r="BZ17" i="31"/>
  <c r="CM25" i="31"/>
  <c r="CB25" i="31"/>
  <c r="BZ29" i="31"/>
  <c r="AJ29" i="31"/>
  <c r="AR29" i="31" s="1"/>
  <c r="CK29" i="31"/>
  <c r="CQ33" i="31"/>
  <c r="CF33" i="31"/>
  <c r="CO37" i="31"/>
  <c r="CD37" i="31"/>
  <c r="CG37" i="31"/>
  <c r="CR37" i="31"/>
  <c r="CP37" i="31"/>
  <c r="CE37" i="31"/>
  <c r="CK41" i="31"/>
  <c r="BZ41" i="31"/>
  <c r="AJ41" i="31"/>
  <c r="AR41" i="31" s="1"/>
  <c r="CQ41" i="31"/>
  <c r="CF41" i="31"/>
  <c r="CA45" i="31"/>
  <c r="CL45" i="31"/>
  <c r="CM49" i="31"/>
  <c r="CB49" i="31"/>
  <c r="AJ49" i="31"/>
  <c r="AR49" i="31" s="1"/>
  <c r="CK49" i="31"/>
  <c r="BZ49" i="31"/>
  <c r="CN49" i="31"/>
  <c r="CC49" i="31"/>
  <c r="CE53" i="31"/>
  <c r="CP53" i="31"/>
  <c r="CA53" i="31"/>
  <c r="CL53" i="31"/>
  <c r="CR57" i="31"/>
  <c r="CG57" i="31"/>
  <c r="CF57" i="31"/>
  <c r="CQ57" i="31"/>
  <c r="CO57" i="31"/>
  <c r="CD57" i="31"/>
  <c r="CP61" i="31"/>
  <c r="CE61" i="31"/>
  <c r="AJ65" i="31"/>
  <c r="AR65" i="31" s="1"/>
  <c r="CK65" i="31"/>
  <c r="BZ65" i="31"/>
  <c r="CN65" i="31"/>
  <c r="CC65" i="31"/>
  <c r="CQ69" i="31"/>
  <c r="CF69" i="31"/>
  <c r="CA69" i="31"/>
  <c r="CL69" i="31"/>
  <c r="AJ73" i="31"/>
  <c r="AR73" i="31" s="1"/>
  <c r="CK73" i="31"/>
  <c r="BZ73" i="31"/>
  <c r="CN73" i="31"/>
  <c r="CC73" i="31"/>
  <c r="CQ77" i="31"/>
  <c r="CF77" i="31"/>
  <c r="CA77" i="31"/>
  <c r="CL77" i="31"/>
  <c r="AJ81" i="31"/>
  <c r="AR81" i="31" s="1"/>
  <c r="CK81" i="31"/>
  <c r="BZ81" i="31"/>
  <c r="CN81" i="31"/>
  <c r="CC81" i="31"/>
  <c r="CQ85" i="31"/>
  <c r="CF85" i="31"/>
  <c r="CA85" i="31"/>
  <c r="CL85" i="31"/>
  <c r="CD89" i="31"/>
  <c r="CO89" i="31"/>
  <c r="CR89" i="31"/>
  <c r="CG89" i="31"/>
  <c r="CL93" i="31"/>
  <c r="CA93" i="31"/>
  <c r="CM93" i="31"/>
  <c r="CB93" i="31"/>
  <c r="BZ97" i="31"/>
  <c r="AJ97" i="31"/>
  <c r="AR97" i="31" s="1"/>
  <c r="CK97" i="31"/>
  <c r="CN97" i="31"/>
  <c r="CC97" i="31"/>
  <c r="CL101" i="31"/>
  <c r="CA101" i="31"/>
  <c r="CM101" i="31"/>
  <c r="CB101" i="31"/>
  <c r="CQ105" i="31"/>
  <c r="CF105" i="31"/>
  <c r="CP109" i="31"/>
  <c r="CE109" i="31"/>
  <c r="CQ109" i="31"/>
  <c r="CF109" i="31"/>
  <c r="CP113" i="31"/>
  <c r="CE113" i="31"/>
  <c r="CQ113" i="31"/>
  <c r="CF113" i="31"/>
  <c r="CP117" i="31"/>
  <c r="CE117" i="31"/>
  <c r="CQ117" i="31"/>
  <c r="CF117" i="31"/>
  <c r="CP121" i="31"/>
  <c r="CE121" i="31"/>
  <c r="CQ121" i="31"/>
  <c r="CF121" i="31"/>
  <c r="CP125" i="31"/>
  <c r="CE125" i="31"/>
  <c r="CQ125" i="31"/>
  <c r="CF125" i="31"/>
  <c r="CP129" i="31"/>
  <c r="CE129" i="31"/>
  <c r="CB133" i="31"/>
  <c r="CM133" i="31"/>
  <c r="AJ133" i="31"/>
  <c r="AR133" i="31" s="1"/>
  <c r="CK133" i="31"/>
  <c r="BZ133" i="31"/>
  <c r="CF137" i="31"/>
  <c r="CQ137" i="31"/>
  <c r="AJ137" i="31"/>
  <c r="AR137" i="31" s="1"/>
  <c r="CK137" i="31"/>
  <c r="BZ137" i="31"/>
  <c r="CF141" i="31"/>
  <c r="CQ141" i="31"/>
  <c r="AJ169" i="31"/>
  <c r="AR169" i="31" s="1"/>
  <c r="CK169" i="31"/>
  <c r="BZ169" i="31"/>
  <c r="CF173" i="31"/>
  <c r="CQ173" i="31"/>
  <c r="CA16" i="31"/>
  <c r="CL16" i="31"/>
  <c r="CO16" i="31"/>
  <c r="CD16" i="31"/>
  <c r="CN16" i="31"/>
  <c r="CC16" i="31"/>
  <c r="CP24" i="31"/>
  <c r="CE24" i="31"/>
  <c r="BZ24" i="31"/>
  <c r="AJ24" i="31"/>
  <c r="AR24" i="31" s="1"/>
  <c r="CK24" i="31"/>
  <c r="CN24" i="31"/>
  <c r="CC24" i="31"/>
  <c r="CO68" i="31"/>
  <c r="CD68" i="31"/>
  <c r="CR68" i="31"/>
  <c r="CG68" i="31"/>
  <c r="CM80" i="31"/>
  <c r="CB80" i="31"/>
  <c r="CQ80" i="31"/>
  <c r="CF80" i="31"/>
  <c r="CO148" i="31"/>
  <c r="CD148" i="31"/>
  <c r="CM10" i="31"/>
  <c r="CB10" i="31"/>
  <c r="CO34" i="31"/>
  <c r="CD34" i="31"/>
  <c r="CM34" i="31"/>
  <c r="CB34" i="31"/>
  <c r="CO46" i="31"/>
  <c r="CD46" i="31"/>
  <c r="CR46" i="31"/>
  <c r="CG46" i="31"/>
  <c r="CQ50" i="31"/>
  <c r="CF50" i="31"/>
  <c r="CL62" i="31"/>
  <c r="CA62" i="31"/>
  <c r="CL102" i="31"/>
  <c r="CA102" i="31"/>
  <c r="CQ102" i="31"/>
  <c r="CF102" i="31"/>
  <c r="BZ118" i="31"/>
  <c r="AJ118" i="31"/>
  <c r="AR118" i="31" s="1"/>
  <c r="CK118" i="31"/>
  <c r="CN118" i="31"/>
  <c r="CC118" i="31"/>
  <c r="BZ122" i="31"/>
  <c r="AJ122" i="31"/>
  <c r="AR122" i="31" s="1"/>
  <c r="CK122" i="31"/>
  <c r="CN122" i="31"/>
  <c r="CC122" i="31"/>
  <c r="BZ126" i="31"/>
  <c r="AJ126" i="31"/>
  <c r="AR126" i="31" s="1"/>
  <c r="CK126" i="31"/>
  <c r="CN126" i="31"/>
  <c r="CC126" i="31"/>
  <c r="CB130" i="31"/>
  <c r="CM130" i="31"/>
  <c r="CN17" i="31"/>
  <c r="CC17" i="31"/>
  <c r="CA21" i="31"/>
  <c r="CL21" i="31"/>
  <c r="CN29" i="31"/>
  <c r="CC29" i="31"/>
  <c r="CP126" i="31"/>
  <c r="CE126" i="31"/>
  <c r="CN135" i="31"/>
  <c r="CC135" i="31"/>
  <c r="CR142" i="31"/>
  <c r="CG142" i="31"/>
  <c r="CN151" i="31"/>
  <c r="CC151" i="31"/>
  <c r="CR158" i="31"/>
  <c r="CG158" i="31"/>
  <c r="CN167" i="31"/>
  <c r="CC167" i="31"/>
  <c r="AM167" i="31"/>
  <c r="AU167" i="31" s="1"/>
  <c r="CR174" i="31"/>
  <c r="CG174" i="31"/>
  <c r="CM9" i="31"/>
  <c r="CB9" i="31"/>
  <c r="CQ13" i="31"/>
  <c r="CF13" i="31"/>
  <c r="CM17" i="31"/>
  <c r="CB17" i="31"/>
  <c r="CE17" i="31"/>
  <c r="CP17" i="31"/>
  <c r="CO21" i="31"/>
  <c r="CD21" i="31"/>
  <c r="CR21" i="31"/>
  <c r="CG21" i="31"/>
  <c r="CD25" i="31"/>
  <c r="CO25" i="31"/>
  <c r="CR25" i="31"/>
  <c r="CG25" i="31"/>
  <c r="CQ29" i="31"/>
  <c r="CF29" i="31"/>
  <c r="CM33" i="31"/>
  <c r="CB33" i="31"/>
  <c r="CC37" i="31"/>
  <c r="CN37" i="31"/>
  <c r="CL37" i="31"/>
  <c r="CA37" i="31"/>
  <c r="CM41" i="31"/>
  <c r="CB41" i="31"/>
  <c r="CO45" i="31"/>
  <c r="CD45" i="31"/>
  <c r="CR45" i="31"/>
  <c r="CG45" i="31"/>
  <c r="CQ49" i="31"/>
  <c r="CF49" i="31"/>
  <c r="CE49" i="31"/>
  <c r="CP49" i="31"/>
  <c r="CD53" i="31"/>
  <c r="CO53" i="31"/>
  <c r="CR53" i="31"/>
  <c r="CG53" i="31"/>
  <c r="CN57" i="31"/>
  <c r="CC57" i="31"/>
  <c r="CB57" i="31"/>
  <c r="CM57" i="31"/>
  <c r="AJ57" i="31"/>
  <c r="AR57" i="31" s="1"/>
  <c r="CK57" i="31"/>
  <c r="BZ57" i="31"/>
  <c r="CL61" i="31"/>
  <c r="CA61" i="31"/>
  <c r="CM65" i="31"/>
  <c r="CB65" i="31"/>
  <c r="CE65" i="31"/>
  <c r="CP65" i="31"/>
  <c r="CO69" i="31"/>
  <c r="CD69" i="31"/>
  <c r="CR69" i="31"/>
  <c r="CG69" i="31"/>
  <c r="CM73" i="31"/>
  <c r="CB73" i="31"/>
  <c r="CE73" i="31"/>
  <c r="CP73" i="31"/>
  <c r="CO77" i="31"/>
  <c r="CD77" i="31"/>
  <c r="CR77" i="31"/>
  <c r="CG77" i="31"/>
  <c r="CM81" i="31"/>
  <c r="CB81" i="31"/>
  <c r="CE81" i="31"/>
  <c r="CP81" i="31"/>
  <c r="CO85" i="31"/>
  <c r="CD85" i="31"/>
  <c r="CR85" i="31"/>
  <c r="CG85" i="31"/>
  <c r="BZ89" i="31"/>
  <c r="AJ89" i="31"/>
  <c r="AR89" i="31" s="1"/>
  <c r="CK89" i="31"/>
  <c r="CN89" i="31"/>
  <c r="CC89" i="31"/>
  <c r="CD93" i="31"/>
  <c r="CO93" i="31"/>
  <c r="CR93" i="31"/>
  <c r="CG93" i="31"/>
  <c r="CQ97" i="31"/>
  <c r="CF97" i="31"/>
  <c r="CP101" i="31"/>
  <c r="CE101" i="31"/>
  <c r="CD101" i="31"/>
  <c r="CO101" i="31"/>
  <c r="CR101" i="31"/>
  <c r="CG101" i="31"/>
  <c r="CL105" i="31"/>
  <c r="CA105" i="31"/>
  <c r="CM105" i="31"/>
  <c r="CB105" i="31"/>
  <c r="CM109" i="31"/>
  <c r="CB109" i="31"/>
  <c r="CM113" i="31"/>
  <c r="CB113" i="31"/>
  <c r="CM117" i="31"/>
  <c r="CB117" i="31"/>
  <c r="CM121" i="31"/>
  <c r="CB121" i="31"/>
  <c r="CM125" i="31"/>
  <c r="CB125" i="31"/>
  <c r="CL129" i="31"/>
  <c r="CA129" i="31"/>
  <c r="CP133" i="31"/>
  <c r="CE133" i="31"/>
  <c r="CB137" i="31"/>
  <c r="CM137" i="31"/>
  <c r="CO157" i="31"/>
  <c r="CD157" i="31"/>
  <c r="CL161" i="31"/>
  <c r="CA161" i="31"/>
  <c r="CP165" i="31"/>
  <c r="CE165" i="31"/>
  <c r="CB169" i="31"/>
  <c r="AL169" i="31"/>
  <c r="AT169" i="31" s="1"/>
  <c r="CM169" i="31"/>
  <c r="DH141" i="31"/>
  <c r="DP141" i="31"/>
  <c r="DX141" i="31" s="1"/>
  <c r="DD170" i="31"/>
  <c r="DL170" i="31"/>
  <c r="DT170" i="31" s="1"/>
  <c r="DH173" i="31"/>
  <c r="DP173" i="31"/>
  <c r="DX173" i="31" s="1"/>
  <c r="CK8" i="31"/>
  <c r="BZ8" i="31"/>
  <c r="AJ8" i="31"/>
  <c r="AR8" i="31" s="1"/>
  <c r="CG8" i="31"/>
  <c r="CR8" i="31"/>
  <c r="CP8" i="31"/>
  <c r="CE8" i="31"/>
  <c r="CO56" i="31"/>
  <c r="CD56" i="31"/>
  <c r="CB136" i="31"/>
  <c r="CM136" i="31"/>
  <c r="AJ136" i="31"/>
  <c r="AR136" i="31" s="1"/>
  <c r="CK136" i="31"/>
  <c r="BZ136" i="31"/>
  <c r="CF148" i="31"/>
  <c r="CQ148" i="31"/>
  <c r="CN152" i="31"/>
  <c r="CC152" i="31"/>
  <c r="CN156" i="31"/>
  <c r="CC156" i="31"/>
  <c r="CN168" i="31"/>
  <c r="CC168" i="31"/>
  <c r="AM168" i="31"/>
  <c r="AU168" i="31" s="1"/>
  <c r="CN22" i="31"/>
  <c r="CC22" i="31"/>
  <c r="CR22" i="31"/>
  <c r="CG22" i="31"/>
  <c r="AJ22" i="31"/>
  <c r="AR22" i="31" s="1"/>
  <c r="BZ22" i="31"/>
  <c r="CK22" i="31"/>
  <c r="CD26" i="31"/>
  <c r="CO26" i="31"/>
  <c r="CR26" i="31"/>
  <c r="CG26" i="31"/>
  <c r="CA30" i="31"/>
  <c r="CL30" i="31"/>
  <c r="CQ30" i="31"/>
  <c r="CF30" i="31"/>
  <c r="CM46" i="31"/>
  <c r="CB46" i="31"/>
  <c r="AJ58" i="31"/>
  <c r="AR58" i="31" s="1"/>
  <c r="CK58" i="31"/>
  <c r="BZ58" i="31"/>
  <c r="CL94" i="31"/>
  <c r="CA94" i="31"/>
  <c r="CD94" i="31"/>
  <c r="CO94" i="31"/>
  <c r="CR94" i="31"/>
  <c r="CG94" i="31"/>
  <c r="CM98" i="31"/>
  <c r="CB98" i="31"/>
  <c r="BZ114" i="31"/>
  <c r="AJ114" i="31"/>
  <c r="AR114" i="31" s="1"/>
  <c r="CK114" i="31"/>
  <c r="CN114" i="31"/>
  <c r="CC114" i="31"/>
  <c r="CP89" i="31"/>
  <c r="CE89" i="31"/>
  <c r="CN147" i="31"/>
  <c r="CC147" i="31"/>
  <c r="CR154" i="31"/>
  <c r="CG154" i="31"/>
  <c r="CN163" i="31"/>
  <c r="CC163" i="31"/>
  <c r="CR170" i="31"/>
  <c r="CG170" i="31"/>
  <c r="CK9" i="31"/>
  <c r="BZ9" i="31"/>
  <c r="AJ9" i="31"/>
  <c r="AR9" i="31" s="1"/>
  <c r="CN13" i="31"/>
  <c r="CC13" i="31"/>
  <c r="CQ21" i="31"/>
  <c r="CF21" i="31"/>
  <c r="CK33" i="31"/>
  <c r="BZ33" i="31"/>
  <c r="AJ33" i="31"/>
  <c r="AR33" i="31" s="1"/>
  <c r="X169" i="31"/>
  <c r="X173" i="31"/>
  <c r="CP110" i="31"/>
  <c r="CE110" i="31"/>
  <c r="CL119" i="31"/>
  <c r="CA119" i="31"/>
  <c r="CR130" i="31"/>
  <c r="CG130" i="31"/>
  <c r="CN139" i="31"/>
  <c r="CC139" i="31"/>
  <c r="CR146" i="31"/>
  <c r="CG146" i="31"/>
  <c r="CN155" i="31"/>
  <c r="CC155" i="31"/>
  <c r="CR162" i="31"/>
  <c r="CG162" i="31"/>
  <c r="X166" i="31"/>
  <c r="R166" i="31"/>
  <c r="BD168" i="31"/>
  <c r="BM168" i="31"/>
  <c r="CN171" i="31"/>
  <c r="CC171" i="31"/>
  <c r="AM171" i="31"/>
  <c r="AU171" i="31" s="1"/>
  <c r="CO9" i="31"/>
  <c r="CD9" i="31"/>
  <c r="CG9" i="31"/>
  <c r="CR9" i="31"/>
  <c r="CP9" i="31"/>
  <c r="CE9" i="31"/>
  <c r="CL13" i="31"/>
  <c r="CA13" i="31"/>
  <c r="CM13" i="31"/>
  <c r="CB13" i="31"/>
  <c r="CQ17" i="31"/>
  <c r="CF17" i="31"/>
  <c r="CA17" i="31"/>
  <c r="CL17" i="31"/>
  <c r="AJ21" i="31"/>
  <c r="AR21" i="31" s="1"/>
  <c r="CK21" i="31"/>
  <c r="BZ21" i="31"/>
  <c r="CN21" i="31"/>
  <c r="CC21" i="31"/>
  <c r="CL25" i="31"/>
  <c r="CA25" i="31"/>
  <c r="BZ25" i="31"/>
  <c r="AJ25" i="31"/>
  <c r="AR25" i="31" s="1"/>
  <c r="CK25" i="31"/>
  <c r="CN25" i="31"/>
  <c r="CC25" i="31"/>
  <c r="CL29" i="31"/>
  <c r="CA29" i="31"/>
  <c r="CM29" i="31"/>
  <c r="CB29" i="31"/>
  <c r="CO33" i="31"/>
  <c r="CD33" i="31"/>
  <c r="CG33" i="31"/>
  <c r="CR33" i="31"/>
  <c r="CP33" i="31"/>
  <c r="CE33" i="31"/>
  <c r="CK37" i="31"/>
  <c r="BZ37" i="31"/>
  <c r="AJ37" i="31"/>
  <c r="AR37" i="31" s="1"/>
  <c r="CQ37" i="31"/>
  <c r="CF37" i="31"/>
  <c r="CO41" i="31"/>
  <c r="CD41" i="31"/>
  <c r="CG41" i="31"/>
  <c r="CR41" i="31"/>
  <c r="CP41" i="31"/>
  <c r="CE41" i="31"/>
  <c r="CM45" i="31"/>
  <c r="CB45" i="31"/>
  <c r="AJ45" i="31"/>
  <c r="AR45" i="31" s="1"/>
  <c r="CK45" i="31"/>
  <c r="BZ45" i="31"/>
  <c r="CN45" i="31"/>
  <c r="CC45" i="31"/>
  <c r="CA49" i="31"/>
  <c r="CL49" i="31"/>
  <c r="AJ53" i="31"/>
  <c r="AR53" i="31" s="1"/>
  <c r="BZ53" i="31"/>
  <c r="CK53" i="31"/>
  <c r="CN53" i="31"/>
  <c r="CC53" i="31"/>
  <c r="CP57" i="31"/>
  <c r="CE57" i="31"/>
  <c r="CR61" i="31"/>
  <c r="CG61" i="31"/>
  <c r="CF61" i="31"/>
  <c r="CQ61" i="31"/>
  <c r="CO61" i="31"/>
  <c r="CD61" i="31"/>
  <c r="CQ65" i="31"/>
  <c r="CF65" i="31"/>
  <c r="CA65" i="31"/>
  <c r="CL65" i="31"/>
  <c r="AJ69" i="31"/>
  <c r="AR69" i="31" s="1"/>
  <c r="CK69" i="31"/>
  <c r="BZ69" i="31"/>
  <c r="CN69" i="31"/>
  <c r="CC69" i="31"/>
  <c r="CQ73" i="31"/>
  <c r="CF73" i="31"/>
  <c r="CA73" i="31"/>
  <c r="CL73" i="31"/>
  <c r="AJ77" i="31"/>
  <c r="AR77" i="31" s="1"/>
  <c r="CK77" i="31"/>
  <c r="BZ77" i="31"/>
  <c r="CN77" i="31"/>
  <c r="CC77" i="31"/>
  <c r="CQ81" i="31"/>
  <c r="CF81" i="31"/>
  <c r="CA81" i="31"/>
  <c r="CL81" i="31"/>
  <c r="AJ85" i="31"/>
  <c r="AR85" i="31" s="1"/>
  <c r="CK85" i="31"/>
  <c r="BZ85" i="31"/>
  <c r="CN85" i="31"/>
  <c r="CC85" i="31"/>
  <c r="CQ89" i="31"/>
  <c r="CF89" i="31"/>
  <c r="CP93" i="31"/>
  <c r="CE93" i="31"/>
  <c r="BZ93" i="31"/>
  <c r="AJ93" i="31"/>
  <c r="AR93" i="31" s="1"/>
  <c r="CK93" i="31"/>
  <c r="CN93" i="31"/>
  <c r="CC93" i="31"/>
  <c r="CL97" i="31"/>
  <c r="CA97" i="31"/>
  <c r="CM97" i="31"/>
  <c r="CB97" i="31"/>
  <c r="BZ101" i="31"/>
  <c r="AJ101" i="31"/>
  <c r="AR101" i="31" s="1"/>
  <c r="CK101" i="31"/>
  <c r="CN101" i="31"/>
  <c r="CC101" i="31"/>
  <c r="CD105" i="31"/>
  <c r="CO105" i="31"/>
  <c r="CR105" i="31"/>
  <c r="CG105" i="31"/>
  <c r="CD109" i="31"/>
  <c r="CO109" i="31"/>
  <c r="CR109" i="31"/>
  <c r="CG109" i="31"/>
  <c r="CD113" i="31"/>
  <c r="CO113" i="31"/>
  <c r="CR113" i="31"/>
  <c r="CG113" i="31"/>
  <c r="CD117" i="31"/>
  <c r="CO117" i="31"/>
  <c r="CR117" i="31"/>
  <c r="CG117" i="31"/>
  <c r="CD121" i="31"/>
  <c r="CO121" i="31"/>
  <c r="CR121" i="31"/>
  <c r="CG121" i="31"/>
  <c r="CD125" i="31"/>
  <c r="CO125" i="31"/>
  <c r="CR125" i="31"/>
  <c r="CG125" i="31"/>
  <c r="CF129" i="31"/>
  <c r="CQ129" i="31"/>
  <c r="CL141" i="31"/>
  <c r="CA141" i="31"/>
  <c r="AJ153" i="31"/>
  <c r="AR153" i="31" s="1"/>
  <c r="CK153" i="31"/>
  <c r="BZ153" i="31"/>
  <c r="CF157" i="31"/>
  <c r="CQ157" i="31"/>
  <c r="CQ44" i="31"/>
  <c r="CF44" i="31"/>
  <c r="CA44" i="31"/>
  <c r="CL44" i="31"/>
  <c r="CF56" i="31"/>
  <c r="CQ56" i="31"/>
  <c r="CD112" i="31"/>
  <c r="CO112" i="31"/>
  <c r="CR112" i="31"/>
  <c r="CG112" i="31"/>
  <c r="CP128" i="31"/>
  <c r="CE128" i="31"/>
  <c r="CN128" i="31"/>
  <c r="CC128" i="31"/>
  <c r="CR131" i="31"/>
  <c r="CG131" i="31"/>
  <c r="CM18" i="31"/>
  <c r="CB18" i="31"/>
  <c r="CE18" i="31"/>
  <c r="CP18" i="31"/>
  <c r="CL22" i="31"/>
  <c r="CA22" i="31"/>
  <c r="CL38" i="31"/>
  <c r="CA38" i="31"/>
  <c r="CO42" i="31"/>
  <c r="CD42" i="31"/>
  <c r="CM42" i="31"/>
  <c r="CB42" i="31"/>
  <c r="CL54" i="31"/>
  <c r="CA54" i="31"/>
  <c r="CB58" i="31"/>
  <c r="CM58" i="31"/>
  <c r="CM74" i="31"/>
  <c r="CB74" i="31"/>
  <c r="CE74" i="31"/>
  <c r="CP74" i="31"/>
  <c r="AJ78" i="31"/>
  <c r="AR78" i="31" s="1"/>
  <c r="CK78" i="31"/>
  <c r="BZ78" i="31"/>
  <c r="CN78" i="31"/>
  <c r="CC78" i="31"/>
  <c r="CQ82" i="31"/>
  <c r="CF82" i="31"/>
  <c r="CA82" i="31"/>
  <c r="CL82" i="31"/>
  <c r="AJ86" i="31"/>
  <c r="AR86" i="31" s="1"/>
  <c r="CK86" i="31"/>
  <c r="BZ86" i="31"/>
  <c r="CN86" i="31"/>
  <c r="CC86" i="31"/>
  <c r="CQ90" i="31"/>
  <c r="CF90" i="31"/>
  <c r="BZ110" i="31"/>
  <c r="AJ110" i="31"/>
  <c r="AR110" i="31" s="1"/>
  <c r="CK110" i="31"/>
  <c r="CN110" i="31"/>
  <c r="CC110" i="31"/>
  <c r="CR128" i="31"/>
  <c r="CG128" i="31"/>
  <c r="CR134" i="31"/>
  <c r="CG134" i="31"/>
  <c r="CN143" i="31"/>
  <c r="CC143" i="31"/>
  <c r="CR150" i="31"/>
  <c r="CG150" i="31"/>
  <c r="CN159" i="31"/>
  <c r="CC159" i="31"/>
  <c r="CR166" i="31"/>
  <c r="CG166" i="31"/>
  <c r="X170" i="31"/>
  <c r="R170" i="31"/>
  <c r="BD172" i="31"/>
  <c r="BM172" i="31"/>
  <c r="CN175" i="31"/>
  <c r="AM175" i="31"/>
  <c r="AU175" i="31" s="1"/>
  <c r="CC175" i="31"/>
  <c r="CC9" i="31"/>
  <c r="CN9" i="31"/>
  <c r="CL9" i="31"/>
  <c r="CA9" i="31"/>
  <c r="CD13" i="31"/>
  <c r="CO13" i="31"/>
  <c r="CR13" i="31"/>
  <c r="CG13" i="31"/>
  <c r="CO17" i="31"/>
  <c r="CD17" i="31"/>
  <c r="CR17" i="31"/>
  <c r="CG17" i="31"/>
  <c r="CM21" i="31"/>
  <c r="CB21" i="31"/>
  <c r="CE21" i="31"/>
  <c r="CP21" i="31"/>
  <c r="CP25" i="31"/>
  <c r="CE25" i="31"/>
  <c r="CQ25" i="31"/>
  <c r="CF25" i="31"/>
  <c r="CP29" i="31"/>
  <c r="CE29" i="31"/>
  <c r="CD29" i="31"/>
  <c r="CO29" i="31"/>
  <c r="CR29" i="31"/>
  <c r="CG29" i="31"/>
  <c r="CC33" i="31"/>
  <c r="CN33" i="31"/>
  <c r="CL33" i="31"/>
  <c r="CA33" i="31"/>
  <c r="CM37" i="31"/>
  <c r="CB37" i="31"/>
  <c r="CC41" i="31"/>
  <c r="CN41" i="31"/>
  <c r="CL41" i="31"/>
  <c r="CA41" i="31"/>
  <c r="CQ45" i="31"/>
  <c r="CF45" i="31"/>
  <c r="CE45" i="31"/>
  <c r="CP45" i="31"/>
  <c r="CO49" i="31"/>
  <c r="CD49" i="31"/>
  <c r="CR49" i="31"/>
  <c r="CG49" i="31"/>
  <c r="CM53" i="31"/>
  <c r="CB53" i="31"/>
  <c r="CQ53" i="31"/>
  <c r="CF53" i="31"/>
  <c r="CL57" i="31"/>
  <c r="CA57" i="31"/>
  <c r="CN61" i="31"/>
  <c r="CC61" i="31"/>
  <c r="CB61" i="31"/>
  <c r="CM61" i="31"/>
  <c r="AJ61" i="31"/>
  <c r="AR61" i="31" s="1"/>
  <c r="CK61" i="31"/>
  <c r="BZ61" i="31"/>
  <c r="CO65" i="31"/>
  <c r="CD65" i="31"/>
  <c r="CR65" i="31"/>
  <c r="CG65" i="31"/>
  <c r="CM69" i="31"/>
  <c r="CB69" i="31"/>
  <c r="CE69" i="31"/>
  <c r="CP69" i="31"/>
  <c r="CO73" i="31"/>
  <c r="CD73" i="31"/>
  <c r="CR73" i="31"/>
  <c r="CG73" i="31"/>
  <c r="CM77" i="31"/>
  <c r="CB77" i="31"/>
  <c r="CE77" i="31"/>
  <c r="CP77" i="31"/>
  <c r="CO81" i="31"/>
  <c r="CD81" i="31"/>
  <c r="CR81" i="31"/>
  <c r="CG81" i="31"/>
  <c r="CM85" i="31"/>
  <c r="CB85" i="31"/>
  <c r="CE85" i="31"/>
  <c r="CP85" i="31"/>
  <c r="CL89" i="31"/>
  <c r="CA89" i="31"/>
  <c r="CM89" i="31"/>
  <c r="CB89" i="31"/>
  <c r="CQ93" i="31"/>
  <c r="CF93" i="31"/>
  <c r="CP97" i="31"/>
  <c r="CE97" i="31"/>
  <c r="CD97" i="31"/>
  <c r="CO97" i="31"/>
  <c r="CR97" i="31"/>
  <c r="CG97" i="31"/>
  <c r="CQ101" i="31"/>
  <c r="CF101" i="31"/>
  <c r="BZ105" i="31"/>
  <c r="AJ105" i="31"/>
  <c r="AR105" i="31" s="1"/>
  <c r="CK105" i="31"/>
  <c r="CN105" i="31"/>
  <c r="CC105" i="31"/>
  <c r="CL109" i="31"/>
  <c r="CA109" i="31"/>
  <c r="BZ109" i="31"/>
  <c r="AJ109" i="31"/>
  <c r="AR109" i="31" s="1"/>
  <c r="CK109" i="31"/>
  <c r="CN109" i="31"/>
  <c r="CC109" i="31"/>
  <c r="CL113" i="31"/>
  <c r="CA113" i="31"/>
  <c r="CO137" i="31"/>
  <c r="CD137" i="31"/>
  <c r="CO141" i="31"/>
  <c r="CD141" i="31"/>
  <c r="CL145" i="31"/>
  <c r="CA145" i="31"/>
  <c r="CP149" i="31"/>
  <c r="CE149" i="31"/>
  <c r="CB153" i="31"/>
  <c r="CM153" i="31"/>
  <c r="Z173" i="31"/>
  <c r="R173" i="31"/>
  <c r="AN173" i="31"/>
  <c r="AV173" i="31" s="1"/>
  <c r="CO173" i="31"/>
  <c r="CD173" i="31"/>
  <c r="CK36" i="31"/>
  <c r="BZ36" i="31"/>
  <c r="AJ36" i="31"/>
  <c r="AR36" i="31" s="1"/>
  <c r="CQ36" i="31"/>
  <c r="CF36" i="31"/>
  <c r="CE80" i="31"/>
  <c r="CP80" i="31"/>
  <c r="CM92" i="31"/>
  <c r="CB92" i="31"/>
  <c r="CP100" i="31"/>
  <c r="CE100" i="31"/>
  <c r="CQ100" i="31"/>
  <c r="CF100" i="31"/>
  <c r="CL160" i="31"/>
  <c r="CA160" i="31"/>
  <c r="CL123" i="31"/>
  <c r="CA123" i="31"/>
  <c r="CR159" i="31"/>
  <c r="CG159" i="31"/>
  <c r="CO14" i="31"/>
  <c r="CD14" i="31"/>
  <c r="CR14" i="31"/>
  <c r="CG14" i="31"/>
  <c r="CK38" i="31"/>
  <c r="BZ38" i="31"/>
  <c r="AJ38" i="31"/>
  <c r="AR38" i="31" s="1"/>
  <c r="CC38" i="31"/>
  <c r="CN38" i="31"/>
  <c r="CE50" i="31"/>
  <c r="CP50" i="31"/>
  <c r="CM66" i="31"/>
  <c r="CB66" i="31"/>
  <c r="CE66" i="31"/>
  <c r="CP66" i="31"/>
  <c r="CO70" i="31"/>
  <c r="CD70" i="31"/>
  <c r="CR70" i="31"/>
  <c r="CG70" i="31"/>
  <c r="CL106" i="31"/>
  <c r="CA106" i="31"/>
  <c r="CP106" i="31"/>
  <c r="CE106" i="31"/>
  <c r="BZ106" i="31"/>
  <c r="AJ106" i="31"/>
  <c r="AR106" i="31" s="1"/>
  <c r="CK106" i="31"/>
  <c r="CN106" i="31"/>
  <c r="CC106" i="31"/>
  <c r="AJ130" i="31"/>
  <c r="AR130" i="31" s="1"/>
  <c r="CK130" i="31"/>
  <c r="BZ130" i="31"/>
  <c r="CF134" i="31"/>
  <c r="CQ134" i="31"/>
  <c r="BZ113" i="31"/>
  <c r="AJ113" i="31"/>
  <c r="AR113" i="31" s="1"/>
  <c r="CK113" i="31"/>
  <c r="CN113" i="31"/>
  <c r="CC113" i="31"/>
  <c r="CL117" i="31"/>
  <c r="CA117" i="31"/>
  <c r="BZ117" i="31"/>
  <c r="AJ117" i="31"/>
  <c r="AR117" i="31" s="1"/>
  <c r="CK117" i="31"/>
  <c r="CN117" i="31"/>
  <c r="CC117" i="31"/>
  <c r="CL121" i="31"/>
  <c r="CA121" i="31"/>
  <c r="BZ121" i="31"/>
  <c r="AJ121" i="31"/>
  <c r="AR121" i="31" s="1"/>
  <c r="CK121" i="31"/>
  <c r="CN121" i="31"/>
  <c r="CC121" i="31"/>
  <c r="CL125" i="31"/>
  <c r="CA125" i="31"/>
  <c r="BZ125" i="31"/>
  <c r="AJ125" i="31"/>
  <c r="AR125" i="31" s="1"/>
  <c r="CK125" i="31"/>
  <c r="CN125" i="31"/>
  <c r="CC125" i="31"/>
  <c r="CB129" i="31"/>
  <c r="CM129" i="31"/>
  <c r="AJ129" i="31"/>
  <c r="AR129" i="31" s="1"/>
  <c r="CK129" i="31"/>
  <c r="BZ129" i="31"/>
  <c r="CO133" i="31"/>
  <c r="CD133" i="31"/>
  <c r="CL137" i="31"/>
  <c r="CA137" i="31"/>
  <c r="CP141" i="31"/>
  <c r="CE141" i="31"/>
  <c r="CB145" i="31"/>
  <c r="CM145" i="31"/>
  <c r="AJ145" i="31"/>
  <c r="AR145" i="31" s="1"/>
  <c r="CK145" i="31"/>
  <c r="BZ145" i="31"/>
  <c r="CF149" i="31"/>
  <c r="CQ149" i="31"/>
  <c r="CO149" i="31"/>
  <c r="CD149" i="31"/>
  <c r="CL153" i="31"/>
  <c r="CA153" i="31"/>
  <c r="CP157" i="31"/>
  <c r="CE157" i="31"/>
  <c r="CB161" i="31"/>
  <c r="CM161" i="31"/>
  <c r="AJ161" i="31"/>
  <c r="AR161" i="31" s="1"/>
  <c r="CK161" i="31"/>
  <c r="BZ161" i="31"/>
  <c r="CF165" i="31"/>
  <c r="CQ165" i="31"/>
  <c r="CO165" i="31"/>
  <c r="CD165" i="31"/>
  <c r="AZ169" i="31"/>
  <c r="AK169" i="31"/>
  <c r="AS169" i="31" s="1"/>
  <c r="CL169" i="31"/>
  <c r="CA169" i="31"/>
  <c r="BE169" i="31"/>
  <c r="BF169" i="31"/>
  <c r="AO173" i="31"/>
  <c r="AW173" i="31" s="1"/>
  <c r="CP173" i="31"/>
  <c r="CE173" i="31"/>
  <c r="P173" i="31"/>
  <c r="Y173" i="31"/>
  <c r="DB115" i="31"/>
  <c r="DJ115" i="31"/>
  <c r="DR115" i="31" s="1"/>
  <c r="DD174" i="31"/>
  <c r="DL174" i="31"/>
  <c r="DT174" i="31" s="1"/>
  <c r="CO8" i="31"/>
  <c r="CD8" i="31"/>
  <c r="CQ8" i="31"/>
  <c r="CF8" i="31"/>
  <c r="CQ16" i="31"/>
  <c r="CF16" i="31"/>
  <c r="CM24" i="31"/>
  <c r="CB24" i="31"/>
  <c r="CO36" i="31"/>
  <c r="CD36" i="31"/>
  <c r="CG36" i="31"/>
  <c r="CR36" i="31"/>
  <c r="CP36" i="31"/>
  <c r="CE36" i="31"/>
  <c r="AJ44" i="31"/>
  <c r="AR44" i="31" s="1"/>
  <c r="CK44" i="31"/>
  <c r="BZ44" i="31"/>
  <c r="CN44" i="31"/>
  <c r="CC44" i="31"/>
  <c r="CR56" i="31"/>
  <c r="CG56" i="31"/>
  <c r="CP56" i="31"/>
  <c r="CE56" i="31"/>
  <c r="CQ68" i="31"/>
  <c r="CF68" i="31"/>
  <c r="CE68" i="31"/>
  <c r="CP68" i="31"/>
  <c r="CO80" i="31"/>
  <c r="CD80" i="31"/>
  <c r="CR80" i="31"/>
  <c r="CG80" i="31"/>
  <c r="CL92" i="31"/>
  <c r="CA92" i="31"/>
  <c r="BZ92" i="31"/>
  <c r="AJ92" i="31"/>
  <c r="AR92" i="31" s="1"/>
  <c r="CK92" i="31"/>
  <c r="CN92" i="31"/>
  <c r="CC92" i="31"/>
  <c r="CD100" i="31"/>
  <c r="CO100" i="31"/>
  <c r="CR100" i="31"/>
  <c r="CG100" i="31"/>
  <c r="CP112" i="31"/>
  <c r="CE112" i="31"/>
  <c r="CQ112" i="31"/>
  <c r="CF112" i="31"/>
  <c r="CO128" i="31"/>
  <c r="CD128" i="31"/>
  <c r="CB128" i="31"/>
  <c r="CM128" i="31"/>
  <c r="CL136" i="31"/>
  <c r="CA136" i="31"/>
  <c r="CP148" i="31"/>
  <c r="CE148" i="31"/>
  <c r="CB160" i="31"/>
  <c r="CM160" i="31"/>
  <c r="AJ160" i="31"/>
  <c r="AR160" i="31" s="1"/>
  <c r="CK160" i="31"/>
  <c r="BZ160" i="31"/>
  <c r="CN132" i="31"/>
  <c r="CC132" i="31"/>
  <c r="CR135" i="31"/>
  <c r="CG135" i="31"/>
  <c r="CN148" i="31"/>
  <c r="CC148" i="31"/>
  <c r="CR151" i="31"/>
  <c r="CG151" i="31"/>
  <c r="CR155" i="31"/>
  <c r="CG155" i="31"/>
  <c r="CR167" i="31"/>
  <c r="CG167" i="31"/>
  <c r="X171" i="31"/>
  <c r="R171" i="31"/>
  <c r="X175" i="31"/>
  <c r="R175" i="31"/>
  <c r="CC10" i="31"/>
  <c r="CN10" i="31"/>
  <c r="CL10" i="31"/>
  <c r="CA10" i="31"/>
  <c r="CM14" i="31"/>
  <c r="CB14" i="31"/>
  <c r="CE14" i="31"/>
  <c r="CP14" i="31"/>
  <c r="CO18" i="31"/>
  <c r="CD18" i="31"/>
  <c r="CR18" i="31"/>
  <c r="CG18" i="31"/>
  <c r="CP26" i="31"/>
  <c r="CE26" i="31"/>
  <c r="CQ26" i="31"/>
  <c r="CF26" i="31"/>
  <c r="CD30" i="31"/>
  <c r="CO30" i="31"/>
  <c r="CR30" i="31"/>
  <c r="CG30" i="31"/>
  <c r="CK34" i="31"/>
  <c r="BZ34" i="31"/>
  <c r="AJ34" i="31"/>
  <c r="AR34" i="31" s="1"/>
  <c r="CC34" i="31"/>
  <c r="CN34" i="31"/>
  <c r="CL34" i="31"/>
  <c r="CA34" i="31"/>
  <c r="CO38" i="31"/>
  <c r="CD38" i="31"/>
  <c r="CM38" i="31"/>
  <c r="CB38" i="31"/>
  <c r="CK42" i="31"/>
  <c r="BZ42" i="31"/>
  <c r="AJ42" i="31"/>
  <c r="AR42" i="31" s="1"/>
  <c r="CC42" i="31"/>
  <c r="CN42" i="31"/>
  <c r="CL42" i="31"/>
  <c r="CA42" i="31"/>
  <c r="CQ46" i="31"/>
  <c r="CF46" i="31"/>
  <c r="CE46" i="31"/>
  <c r="CP46" i="31"/>
  <c r="CO50" i="31"/>
  <c r="CD50" i="31"/>
  <c r="CR50" i="31"/>
  <c r="CG50" i="31"/>
  <c r="CB54" i="31"/>
  <c r="CM54" i="31"/>
  <c r="AJ54" i="31"/>
  <c r="AR54" i="31" s="1"/>
  <c r="CK54" i="31"/>
  <c r="BZ54" i="31"/>
  <c r="CL58" i="31"/>
  <c r="CA58" i="31"/>
  <c r="CB62" i="31"/>
  <c r="CM62" i="31"/>
  <c r="AJ62" i="31"/>
  <c r="AR62" i="31" s="1"/>
  <c r="CK62" i="31"/>
  <c r="BZ62" i="31"/>
  <c r="CO66" i="31"/>
  <c r="CD66" i="31"/>
  <c r="CR66" i="31"/>
  <c r="CG66" i="31"/>
  <c r="CM70" i="31"/>
  <c r="CB70" i="31"/>
  <c r="CE70" i="31"/>
  <c r="CP70" i="31"/>
  <c r="CO74" i="31"/>
  <c r="CD74" i="31"/>
  <c r="CR74" i="31"/>
  <c r="CG74" i="31"/>
  <c r="CQ78" i="31"/>
  <c r="CF78" i="31"/>
  <c r="CA78" i="31"/>
  <c r="CL78" i="31"/>
  <c r="AJ82" i="31"/>
  <c r="AR82" i="31" s="1"/>
  <c r="CK82" i="31"/>
  <c r="BZ82" i="31"/>
  <c r="CN82" i="31"/>
  <c r="CC82" i="31"/>
  <c r="CQ86" i="31"/>
  <c r="CF86" i="31"/>
  <c r="CA86" i="31"/>
  <c r="CL86" i="31"/>
  <c r="CD90" i="31"/>
  <c r="CO90" i="31"/>
  <c r="CR90" i="31"/>
  <c r="CG90" i="31"/>
  <c r="CQ94" i="31"/>
  <c r="CF94" i="31"/>
  <c r="CP98" i="31"/>
  <c r="CE98" i="31"/>
  <c r="BZ98" i="31"/>
  <c r="AJ98" i="31"/>
  <c r="AR98" i="31" s="1"/>
  <c r="CK98" i="31"/>
  <c r="CN98" i="31"/>
  <c r="CC98" i="31"/>
  <c r="CD102" i="31"/>
  <c r="CO102" i="31"/>
  <c r="CR102" i="31"/>
  <c r="CG102" i="31"/>
  <c r="CM106" i="31"/>
  <c r="CB106" i="31"/>
  <c r="CL110" i="31"/>
  <c r="CA110" i="31"/>
  <c r="CM110" i="31"/>
  <c r="CB110" i="31"/>
  <c r="CL114" i="31"/>
  <c r="CA114" i="31"/>
  <c r="CM114" i="31"/>
  <c r="CB114" i="31"/>
  <c r="CL118" i="31"/>
  <c r="CA118" i="31"/>
  <c r="CM118" i="31"/>
  <c r="CB118" i="31"/>
  <c r="CL122" i="31"/>
  <c r="CA122" i="31"/>
  <c r="CM122" i="31"/>
  <c r="CB122" i="31"/>
  <c r="CL126" i="31"/>
  <c r="CA126" i="31"/>
  <c r="CM126" i="31"/>
  <c r="CB126" i="31"/>
  <c r="CL130" i="31"/>
  <c r="CA130" i="31"/>
  <c r="CP134" i="31"/>
  <c r="CE134" i="31"/>
  <c r="CB138" i="31"/>
  <c r="CM138" i="31"/>
  <c r="AJ138" i="31"/>
  <c r="AR138" i="31" s="1"/>
  <c r="CK138" i="31"/>
  <c r="BZ138" i="31"/>
  <c r="CF142" i="31"/>
  <c r="CQ142" i="31"/>
  <c r="CO142" i="31"/>
  <c r="CD142" i="31"/>
  <c r="CL146" i="31"/>
  <c r="CA146" i="31"/>
  <c r="CP150" i="31"/>
  <c r="CE150" i="31"/>
  <c r="CB154" i="31"/>
  <c r="CM154" i="31"/>
  <c r="AN174" i="31"/>
  <c r="AV174" i="31" s="1"/>
  <c r="CO174" i="31"/>
  <c r="CD174" i="31"/>
  <c r="CD12" i="31"/>
  <c r="CO12" i="31"/>
  <c r="CR12" i="31"/>
  <c r="CG12" i="31"/>
  <c r="CM20" i="31"/>
  <c r="CB20" i="31"/>
  <c r="CO76" i="31"/>
  <c r="CD76" i="31"/>
  <c r="CR76" i="31"/>
  <c r="CG76" i="31"/>
  <c r="CD88" i="31"/>
  <c r="CO88" i="31"/>
  <c r="CR88" i="31"/>
  <c r="CG88" i="31"/>
  <c r="CP104" i="31"/>
  <c r="CE104" i="31"/>
  <c r="CQ104" i="31"/>
  <c r="CF104" i="31"/>
  <c r="CO164" i="31"/>
  <c r="CD164" i="31"/>
  <c r="AK172" i="31"/>
  <c r="AS172" i="31" s="1"/>
  <c r="CL172" i="31"/>
  <c r="CA172" i="31"/>
  <c r="BE172" i="31"/>
  <c r="BF172" i="31"/>
  <c r="CL111" i="31"/>
  <c r="CA111" i="31"/>
  <c r="CN129" i="31"/>
  <c r="CC129" i="31"/>
  <c r="CN133" i="31"/>
  <c r="CC133" i="31"/>
  <c r="CN137" i="31"/>
  <c r="CC137" i="31"/>
  <c r="CR152" i="31"/>
  <c r="CG152" i="31"/>
  <c r="CR156" i="31"/>
  <c r="CG156" i="31"/>
  <c r="CR160" i="31"/>
  <c r="CG160" i="31"/>
  <c r="CN173" i="31"/>
  <c r="CC173" i="31"/>
  <c r="AM173" i="31"/>
  <c r="AU173" i="31" s="1"/>
  <c r="CQ11" i="31"/>
  <c r="CF11" i="31"/>
  <c r="CQ31" i="31"/>
  <c r="CF31" i="31"/>
  <c r="CA43" i="31"/>
  <c r="CL43" i="31"/>
  <c r="AJ63" i="31"/>
  <c r="AR63" i="31" s="1"/>
  <c r="CK63" i="31"/>
  <c r="BZ63" i="31"/>
  <c r="CP145" i="31"/>
  <c r="CE145" i="31"/>
  <c r="CB149" i="31"/>
  <c r="CM149" i="31"/>
  <c r="AJ149" i="31"/>
  <c r="AR149" i="31" s="1"/>
  <c r="CK149" i="31"/>
  <c r="BZ149" i="31"/>
  <c r="CF153" i="31"/>
  <c r="CQ153" i="31"/>
  <c r="CO153" i="31"/>
  <c r="CD153" i="31"/>
  <c r="CL157" i="31"/>
  <c r="CA157" i="31"/>
  <c r="CP161" i="31"/>
  <c r="CE161" i="31"/>
  <c r="CB165" i="31"/>
  <c r="CM165" i="31"/>
  <c r="AJ165" i="31"/>
  <c r="AR165" i="31" s="1"/>
  <c r="CK165" i="31"/>
  <c r="BZ165" i="31"/>
  <c r="CF169" i="31"/>
  <c r="CQ169" i="31"/>
  <c r="AN169" i="31"/>
  <c r="AV169" i="31" s="1"/>
  <c r="CO169" i="31"/>
  <c r="CD169" i="31"/>
  <c r="AK173" i="31"/>
  <c r="AS173" i="31" s="1"/>
  <c r="CL173" i="31"/>
  <c r="CA173" i="31"/>
  <c r="BE173" i="31"/>
  <c r="BF173" i="31"/>
  <c r="DD127" i="31"/>
  <c r="DL127" i="31"/>
  <c r="DT127" i="31" s="1"/>
  <c r="CM8" i="31"/>
  <c r="CB8" i="31"/>
  <c r="CE16" i="31"/>
  <c r="CP16" i="31"/>
  <c r="CR16" i="31"/>
  <c r="CG16" i="31"/>
  <c r="CL24" i="31"/>
  <c r="CA24" i="31"/>
  <c r="CD24" i="31"/>
  <c r="CO24" i="31"/>
  <c r="CR24" i="31"/>
  <c r="CG24" i="31"/>
  <c r="CC36" i="31"/>
  <c r="CN36" i="31"/>
  <c r="CL36" i="31"/>
  <c r="CA36" i="31"/>
  <c r="CM44" i="31"/>
  <c r="CB44" i="31"/>
  <c r="CE44" i="31"/>
  <c r="CP44" i="31"/>
  <c r="CN56" i="31"/>
  <c r="CC56" i="31"/>
  <c r="CL56" i="31"/>
  <c r="CA56" i="31"/>
  <c r="CA68" i="31"/>
  <c r="CL68" i="31"/>
  <c r="AJ80" i="31"/>
  <c r="AR80" i="31" s="1"/>
  <c r="CK80" i="31"/>
  <c r="BZ80" i="31"/>
  <c r="CN80" i="31"/>
  <c r="CC80" i="31"/>
  <c r="CP92" i="31"/>
  <c r="CE92" i="31"/>
  <c r="CQ92" i="31"/>
  <c r="CF92" i="31"/>
  <c r="CL100" i="31"/>
  <c r="CA100" i="31"/>
  <c r="BZ100" i="31"/>
  <c r="AJ100" i="31"/>
  <c r="AR100" i="31" s="1"/>
  <c r="CK100" i="31"/>
  <c r="CN100" i="31"/>
  <c r="CC100" i="31"/>
  <c r="CM112" i="31"/>
  <c r="CB112" i="31"/>
  <c r="CL128" i="31"/>
  <c r="CA128" i="31"/>
  <c r="AJ128" i="31"/>
  <c r="AR128" i="31" s="1"/>
  <c r="CK128" i="31"/>
  <c r="BZ128" i="31"/>
  <c r="CF136" i="31"/>
  <c r="CQ136" i="31"/>
  <c r="CO136" i="31"/>
  <c r="CD136" i="31"/>
  <c r="CL148" i="31"/>
  <c r="CA148" i="31"/>
  <c r="CP160" i="31"/>
  <c r="CE160" i="31"/>
  <c r="CN136" i="31"/>
  <c r="CC136" i="31"/>
  <c r="CR139" i="31"/>
  <c r="CG139" i="31"/>
  <c r="CN164" i="31"/>
  <c r="CC164" i="31"/>
  <c r="CR171" i="31"/>
  <c r="CG171" i="31"/>
  <c r="CR175" i="31"/>
  <c r="CG175" i="31"/>
  <c r="CK10" i="31"/>
  <c r="BZ10" i="31"/>
  <c r="AJ10" i="31"/>
  <c r="AR10" i="31" s="1"/>
  <c r="CQ10" i="31"/>
  <c r="CF10" i="31"/>
  <c r="CQ14" i="31"/>
  <c r="CF14" i="31"/>
  <c r="CA14" i="31"/>
  <c r="CL14" i="31"/>
  <c r="AJ18" i="31"/>
  <c r="AR18" i="31" s="1"/>
  <c r="CK18" i="31"/>
  <c r="BZ18" i="31"/>
  <c r="CN18" i="31"/>
  <c r="CC18" i="31"/>
  <c r="CQ22" i="31"/>
  <c r="CF22" i="31"/>
  <c r="CD22" i="31"/>
  <c r="CO22" i="31"/>
  <c r="CM26" i="31"/>
  <c r="CB26" i="31"/>
  <c r="CE30" i="31"/>
  <c r="CP30" i="31"/>
  <c r="BZ30" i="31"/>
  <c r="AJ30" i="31"/>
  <c r="AR30" i="31" s="1"/>
  <c r="CK30" i="31"/>
  <c r="CN30" i="31"/>
  <c r="CC30" i="31"/>
  <c r="CQ34" i="31"/>
  <c r="CF34" i="31"/>
  <c r="CG38" i="31"/>
  <c r="CR38" i="31"/>
  <c r="CP38" i="31"/>
  <c r="CE38" i="31"/>
  <c r="CQ42" i="31"/>
  <c r="CF42" i="31"/>
  <c r="CA46" i="31"/>
  <c r="CL46" i="31"/>
  <c r="AJ50" i="31"/>
  <c r="AR50" i="31" s="1"/>
  <c r="CK50" i="31"/>
  <c r="BZ50" i="31"/>
  <c r="CN50" i="31"/>
  <c r="CC50" i="31"/>
  <c r="CR54" i="31"/>
  <c r="CG54" i="31"/>
  <c r="CP54" i="31"/>
  <c r="CE54" i="31"/>
  <c r="CN58" i="31"/>
  <c r="CC58" i="31"/>
  <c r="CF58" i="31"/>
  <c r="CQ58" i="31"/>
  <c r="CO58" i="31"/>
  <c r="CD58" i="31"/>
  <c r="CR62" i="31"/>
  <c r="CG62" i="31"/>
  <c r="CP62" i="31"/>
  <c r="CE62" i="31"/>
  <c r="AJ66" i="31"/>
  <c r="AR66" i="31" s="1"/>
  <c r="CK66" i="31"/>
  <c r="BZ66" i="31"/>
  <c r="CN66" i="31"/>
  <c r="CC66" i="31"/>
  <c r="CQ70" i="31"/>
  <c r="CF70" i="31"/>
  <c r="CA70" i="31"/>
  <c r="CL70" i="31"/>
  <c r="AJ74" i="31"/>
  <c r="AR74" i="31" s="1"/>
  <c r="CK74" i="31"/>
  <c r="BZ74" i="31"/>
  <c r="CN74" i="31"/>
  <c r="CC74" i="31"/>
  <c r="CO78" i="31"/>
  <c r="CD78" i="31"/>
  <c r="CR78" i="31"/>
  <c r="CG78" i="31"/>
  <c r="CM82" i="31"/>
  <c r="CB82" i="31"/>
  <c r="CE82" i="31"/>
  <c r="CP82" i="31"/>
  <c r="CO86" i="31"/>
  <c r="CD86" i="31"/>
  <c r="CR86" i="31"/>
  <c r="CG86" i="31"/>
  <c r="CL90" i="31"/>
  <c r="CA90" i="31"/>
  <c r="CP90" i="31"/>
  <c r="CE90" i="31"/>
  <c r="BZ90" i="31"/>
  <c r="AJ90" i="31"/>
  <c r="AR90" i="31" s="1"/>
  <c r="CK90" i="31"/>
  <c r="CN90" i="31"/>
  <c r="CC90" i="31"/>
  <c r="CM94" i="31"/>
  <c r="CB94" i="31"/>
  <c r="CQ98" i="31"/>
  <c r="CF98" i="31"/>
  <c r="CP102" i="31"/>
  <c r="CE102" i="31"/>
  <c r="BZ102" i="31"/>
  <c r="AJ102" i="31"/>
  <c r="AR102" i="31" s="1"/>
  <c r="CK102" i="31"/>
  <c r="CN102" i="31"/>
  <c r="CC102" i="31"/>
  <c r="CD106" i="31"/>
  <c r="CO106" i="31"/>
  <c r="CR106" i="31"/>
  <c r="CG106" i="31"/>
  <c r="CD110" i="31"/>
  <c r="CO110" i="31"/>
  <c r="CR110" i="31"/>
  <c r="CG110" i="31"/>
  <c r="CD114" i="31"/>
  <c r="CO114" i="31"/>
  <c r="CR114" i="31"/>
  <c r="CG114" i="31"/>
  <c r="CD118" i="31"/>
  <c r="CO118" i="31"/>
  <c r="CR118" i="31"/>
  <c r="CG118" i="31"/>
  <c r="CD122" i="31"/>
  <c r="CO122" i="31"/>
  <c r="CR122" i="31"/>
  <c r="CG122" i="31"/>
  <c r="CD126" i="31"/>
  <c r="CO126" i="31"/>
  <c r="CR126" i="31"/>
  <c r="CG126" i="31"/>
  <c r="CF130" i="31"/>
  <c r="CQ130" i="31"/>
  <c r="CO130" i="31"/>
  <c r="CD130" i="31"/>
  <c r="CL134" i="31"/>
  <c r="CA134" i="31"/>
  <c r="CP138" i="31"/>
  <c r="CE138" i="31"/>
  <c r="CB142" i="31"/>
  <c r="CM142" i="31"/>
  <c r="AJ142" i="31"/>
  <c r="AR142" i="31" s="1"/>
  <c r="CK142" i="31"/>
  <c r="BZ142" i="31"/>
  <c r="CF146" i="31"/>
  <c r="CQ146" i="31"/>
  <c r="CL158" i="31"/>
  <c r="CA158" i="31"/>
  <c r="CP162" i="31"/>
  <c r="CE162" i="31"/>
  <c r="CB166" i="31"/>
  <c r="AL166" i="31"/>
  <c r="AT166" i="31" s="1"/>
  <c r="CM166" i="31"/>
  <c r="AJ166" i="31"/>
  <c r="AR166" i="31" s="1"/>
  <c r="CK166" i="31"/>
  <c r="BZ166" i="31"/>
  <c r="AJ170" i="31"/>
  <c r="AR170" i="31" s="1"/>
  <c r="CK170" i="31"/>
  <c r="BZ170" i="31"/>
  <c r="CF174" i="31"/>
  <c r="CQ174" i="31"/>
  <c r="DH161" i="31"/>
  <c r="DP161" i="31"/>
  <c r="DX161" i="31" s="1"/>
  <c r="CE64" i="31"/>
  <c r="CP64" i="31"/>
  <c r="AJ152" i="31"/>
  <c r="AR152" i="31" s="1"/>
  <c r="CK152" i="31"/>
  <c r="BZ152" i="31"/>
  <c r="CF164" i="31"/>
  <c r="CQ164" i="31"/>
  <c r="CO19" i="31"/>
  <c r="CD19" i="31"/>
  <c r="CR19" i="31"/>
  <c r="CG19" i="31"/>
  <c r="CD23" i="31"/>
  <c r="CO23" i="31"/>
  <c r="CR23" i="31"/>
  <c r="CG23" i="31"/>
  <c r="CD27" i="31"/>
  <c r="CO27" i="31"/>
  <c r="CQ27" i="31"/>
  <c r="CF27" i="31"/>
  <c r="CK43" i="31"/>
  <c r="AJ43" i="31"/>
  <c r="AR43" i="31" s="1"/>
  <c r="BZ43" i="31"/>
  <c r="CO43" i="31"/>
  <c r="CD43" i="31"/>
  <c r="CL59" i="31"/>
  <c r="CA59" i="31"/>
  <c r="CG63" i="31"/>
  <c r="CR63" i="31"/>
  <c r="CB63" i="31"/>
  <c r="CM63" i="31"/>
  <c r="CO75" i="31"/>
  <c r="CD75" i="31"/>
  <c r="CR75" i="31"/>
  <c r="CG75" i="31"/>
  <c r="CO134" i="31"/>
  <c r="CD134" i="31"/>
  <c r="CL138" i="31"/>
  <c r="CA138" i="31"/>
  <c r="CP142" i="31"/>
  <c r="CE142" i="31"/>
  <c r="CB146" i="31"/>
  <c r="CM146" i="31"/>
  <c r="AJ146" i="31"/>
  <c r="AR146" i="31" s="1"/>
  <c r="CK146" i="31"/>
  <c r="BZ146" i="31"/>
  <c r="CO154" i="31"/>
  <c r="CD154" i="31"/>
  <c r="CO158" i="31"/>
  <c r="CD158" i="31"/>
  <c r="CL162" i="31"/>
  <c r="CA162" i="31"/>
  <c r="AO166" i="31"/>
  <c r="AW166" i="31" s="1"/>
  <c r="CP166" i="31"/>
  <c r="CE166" i="31"/>
  <c r="Y166" i="31"/>
  <c r="CB170" i="31"/>
  <c r="AL170" i="31"/>
  <c r="AT170" i="31" s="1"/>
  <c r="CM170" i="31"/>
  <c r="DH145" i="31"/>
  <c r="DP145" i="31"/>
  <c r="DX145" i="31" s="1"/>
  <c r="CM48" i="31"/>
  <c r="CB48" i="31"/>
  <c r="CE48" i="31"/>
  <c r="CP48" i="31"/>
  <c r="CO52" i="31"/>
  <c r="CD52" i="31"/>
  <c r="CR52" i="31"/>
  <c r="CG52" i="31"/>
  <c r="CM64" i="31"/>
  <c r="CB64" i="31"/>
  <c r="CQ64" i="31"/>
  <c r="CF64" i="31"/>
  <c r="CP140" i="31"/>
  <c r="CE140" i="31"/>
  <c r="CB152" i="31"/>
  <c r="CM152" i="31"/>
  <c r="CM15" i="31"/>
  <c r="CB15" i="31"/>
  <c r="CE15" i="31"/>
  <c r="CP15" i="31"/>
  <c r="CL35" i="31"/>
  <c r="CA35" i="31"/>
  <c r="CK39" i="31"/>
  <c r="BZ39" i="31"/>
  <c r="AJ39" i="31"/>
  <c r="AR39" i="31" s="1"/>
  <c r="CM39" i="31"/>
  <c r="CB39" i="31"/>
  <c r="AJ55" i="31"/>
  <c r="AR55" i="31" s="1"/>
  <c r="CK55" i="31"/>
  <c r="BZ55" i="31"/>
  <c r="CN59" i="31"/>
  <c r="CC59" i="31"/>
  <c r="CE71" i="31"/>
  <c r="CP71" i="31"/>
  <c r="CO129" i="31"/>
  <c r="CD129" i="31"/>
  <c r="CA133" i="31"/>
  <c r="CP137" i="31"/>
  <c r="CE137" i="31"/>
  <c r="CB141" i="31"/>
  <c r="CM141" i="31"/>
  <c r="AJ141" i="31"/>
  <c r="AR141" i="31" s="1"/>
  <c r="CK141" i="31"/>
  <c r="BZ141" i="31"/>
  <c r="CF145" i="31"/>
  <c r="CQ145" i="31"/>
  <c r="CO145" i="31"/>
  <c r="CD145" i="31"/>
  <c r="CL149" i="31"/>
  <c r="CA149" i="31"/>
  <c r="CP153" i="31"/>
  <c r="CE153" i="31"/>
  <c r="CB157" i="31"/>
  <c r="CM157" i="31"/>
  <c r="AJ157" i="31"/>
  <c r="AR157" i="31" s="1"/>
  <c r="CK157" i="31"/>
  <c r="BZ157" i="31"/>
  <c r="CF161" i="31"/>
  <c r="CQ161" i="31"/>
  <c r="CO161" i="31"/>
  <c r="CD161" i="31"/>
  <c r="CL165" i="31"/>
  <c r="CA165" i="31"/>
  <c r="BP169" i="31"/>
  <c r="CI169" i="31"/>
  <c r="R169" i="31"/>
  <c r="AO169" i="31"/>
  <c r="AW169" i="31" s="1"/>
  <c r="CP169" i="31"/>
  <c r="CE169" i="31"/>
  <c r="Y169" i="31"/>
  <c r="CB173" i="31"/>
  <c r="AL173" i="31"/>
  <c r="AT173" i="31" s="1"/>
  <c r="CM173" i="31"/>
  <c r="AJ173" i="31"/>
  <c r="AR173" i="31" s="1"/>
  <c r="CK173" i="31"/>
  <c r="BZ173" i="31"/>
  <c r="DF122" i="31"/>
  <c r="DN122" i="31"/>
  <c r="DV122" i="31" s="1"/>
  <c r="DD154" i="31"/>
  <c r="DL154" i="31"/>
  <c r="DT154" i="31" s="1"/>
  <c r="CC8" i="31"/>
  <c r="CN8" i="31"/>
  <c r="CL8" i="31"/>
  <c r="CA8" i="31"/>
  <c r="CM16" i="31"/>
  <c r="CB16" i="31"/>
  <c r="AJ16" i="31"/>
  <c r="AR16" i="31" s="1"/>
  <c r="CK16" i="31"/>
  <c r="BZ16" i="31"/>
  <c r="CQ24" i="31"/>
  <c r="CF24" i="31"/>
  <c r="CM36" i="31"/>
  <c r="CB36" i="31"/>
  <c r="CO44" i="31"/>
  <c r="CD44" i="31"/>
  <c r="CR44" i="31"/>
  <c r="CG44" i="31"/>
  <c r="CB56" i="31"/>
  <c r="CM56" i="31"/>
  <c r="AJ56" i="31"/>
  <c r="AR56" i="31" s="1"/>
  <c r="CK56" i="31"/>
  <c r="BZ56" i="31"/>
  <c r="AJ68" i="31"/>
  <c r="AR68" i="31" s="1"/>
  <c r="CK68" i="31"/>
  <c r="BZ68" i="31"/>
  <c r="CN68" i="31"/>
  <c r="CC68" i="31"/>
  <c r="CA80" i="31"/>
  <c r="CL80" i="31"/>
  <c r="CD92" i="31"/>
  <c r="CO92" i="31"/>
  <c r="CR92" i="31"/>
  <c r="CG92" i="31"/>
  <c r="CM100" i="31"/>
  <c r="CB100" i="31"/>
  <c r="CL112" i="31"/>
  <c r="CA112" i="31"/>
  <c r="BZ112" i="31"/>
  <c r="AJ112" i="31"/>
  <c r="AR112" i="31" s="1"/>
  <c r="CK112" i="31"/>
  <c r="CN112" i="31"/>
  <c r="CC112" i="31"/>
  <c r="CF128" i="31"/>
  <c r="CQ128" i="31"/>
  <c r="CP136" i="31"/>
  <c r="CE136" i="31"/>
  <c r="CB148" i="31"/>
  <c r="CM148" i="31"/>
  <c r="AJ148" i="31"/>
  <c r="AR148" i="31" s="1"/>
  <c r="CK148" i="31"/>
  <c r="BZ148" i="31"/>
  <c r="CF160" i="31"/>
  <c r="CQ160" i="31"/>
  <c r="CO160" i="31"/>
  <c r="CD160" i="31"/>
  <c r="CP114" i="31"/>
  <c r="CE114" i="31"/>
  <c r="CN140" i="31"/>
  <c r="CC140" i="31"/>
  <c r="CN144" i="31"/>
  <c r="CC144" i="31"/>
  <c r="CR147" i="31"/>
  <c r="CG147" i="31"/>
  <c r="CN160" i="31"/>
  <c r="CC160" i="31"/>
  <c r="CR163" i="31"/>
  <c r="CG163" i="31"/>
  <c r="X167" i="31"/>
  <c r="R167" i="31"/>
  <c r="CN172" i="31"/>
  <c r="CC172" i="31"/>
  <c r="AM172" i="31"/>
  <c r="AU172" i="31" s="1"/>
  <c r="CO10" i="31"/>
  <c r="CD10" i="31"/>
  <c r="CG10" i="31"/>
  <c r="CR10" i="31"/>
  <c r="CP10" i="31"/>
  <c r="CE10" i="31"/>
  <c r="AJ14" i="31"/>
  <c r="AR14" i="31" s="1"/>
  <c r="CK14" i="31"/>
  <c r="BZ14" i="31"/>
  <c r="CN14" i="31"/>
  <c r="CC14" i="31"/>
  <c r="CQ18" i="31"/>
  <c r="CF18" i="31"/>
  <c r="CA18" i="31"/>
  <c r="CL18" i="31"/>
  <c r="CP22" i="31"/>
  <c r="CE22" i="31"/>
  <c r="CM22" i="31"/>
  <c r="CB22" i="31"/>
  <c r="CL26" i="31"/>
  <c r="CA26" i="31"/>
  <c r="BZ26" i="31"/>
  <c r="AJ26" i="31"/>
  <c r="AR26" i="31" s="1"/>
  <c r="CK26" i="31"/>
  <c r="CN26" i="31"/>
  <c r="CC26" i="31"/>
  <c r="CM30" i="31"/>
  <c r="CB30" i="31"/>
  <c r="CG34" i="31"/>
  <c r="CR34" i="31"/>
  <c r="CP34" i="31"/>
  <c r="CE34" i="31"/>
  <c r="CQ38" i="31"/>
  <c r="CF38" i="31"/>
  <c r="CG42" i="31"/>
  <c r="CR42" i="31"/>
  <c r="CP42" i="31"/>
  <c r="CE42" i="31"/>
  <c r="AJ46" i="31"/>
  <c r="AR46" i="31" s="1"/>
  <c r="CK46" i="31"/>
  <c r="BZ46" i="31"/>
  <c r="CN46" i="31"/>
  <c r="CC46" i="31"/>
  <c r="CM50" i="31"/>
  <c r="CB50" i="31"/>
  <c r="CA50" i="31"/>
  <c r="CL50" i="31"/>
  <c r="CN54" i="31"/>
  <c r="CC54" i="31"/>
  <c r="CF54" i="31"/>
  <c r="CQ54" i="31"/>
  <c r="CO54" i="31"/>
  <c r="CD54" i="31"/>
  <c r="CR58" i="31"/>
  <c r="CG58" i="31"/>
  <c r="CP58" i="31"/>
  <c r="CE58" i="31"/>
  <c r="CN62" i="31"/>
  <c r="CC62" i="31"/>
  <c r="CF62" i="31"/>
  <c r="CQ62" i="31"/>
  <c r="CO62" i="31"/>
  <c r="CD62" i="31"/>
  <c r="CQ66" i="31"/>
  <c r="CF66" i="31"/>
  <c r="CA66" i="31"/>
  <c r="CL66" i="31"/>
  <c r="AJ70" i="31"/>
  <c r="AR70" i="31" s="1"/>
  <c r="CK70" i="31"/>
  <c r="BZ70" i="31"/>
  <c r="CN70" i="31"/>
  <c r="CC70" i="31"/>
  <c r="CQ74" i="31"/>
  <c r="CF74" i="31"/>
  <c r="CA74" i="31"/>
  <c r="CL74" i="31"/>
  <c r="CM78" i="31"/>
  <c r="CB78" i="31"/>
  <c r="CE78" i="31"/>
  <c r="CP78" i="31"/>
  <c r="CO82" i="31"/>
  <c r="CD82" i="31"/>
  <c r="CR82" i="31"/>
  <c r="CG82" i="31"/>
  <c r="CM86" i="31"/>
  <c r="CB86" i="31"/>
  <c r="CE86" i="31"/>
  <c r="CP86" i="31"/>
  <c r="CM90" i="31"/>
  <c r="CB90" i="31"/>
  <c r="CP94" i="31"/>
  <c r="CE94" i="31"/>
  <c r="BZ94" i="31"/>
  <c r="AJ94" i="31"/>
  <c r="AR94" i="31" s="1"/>
  <c r="CK94" i="31"/>
  <c r="CN94" i="31"/>
  <c r="CC94" i="31"/>
  <c r="CD98" i="31"/>
  <c r="CO98" i="31"/>
  <c r="CR98" i="31"/>
  <c r="CG98" i="31"/>
  <c r="CM102" i="31"/>
  <c r="CB102" i="31"/>
  <c r="CQ106" i="31"/>
  <c r="CF106" i="31"/>
  <c r="CQ110" i="31"/>
  <c r="CF110" i="31"/>
  <c r="CQ114" i="31"/>
  <c r="CF114" i="31"/>
  <c r="CQ118" i="31"/>
  <c r="CF118" i="31"/>
  <c r="CQ122" i="31"/>
  <c r="CF122" i="31"/>
  <c r="CQ126" i="31"/>
  <c r="CF126" i="31"/>
  <c r="CP130" i="31"/>
  <c r="CE130" i="31"/>
  <c r="CB134" i="31"/>
  <c r="CM134" i="31"/>
  <c r="AJ134" i="31"/>
  <c r="AR134" i="31" s="1"/>
  <c r="CK134" i="31"/>
  <c r="BZ134" i="31"/>
  <c r="CF138" i="31"/>
  <c r="CQ138" i="31"/>
  <c r="CO138" i="31"/>
  <c r="CD138" i="31"/>
  <c r="CL142" i="31"/>
  <c r="CA142" i="31"/>
  <c r="CP146" i="31"/>
  <c r="CE146" i="31"/>
  <c r="CB150" i="31"/>
  <c r="CM150" i="31"/>
  <c r="AJ150" i="31"/>
  <c r="AR150" i="31" s="1"/>
  <c r="CK150" i="31"/>
  <c r="BZ150" i="31"/>
  <c r="CF154" i="31"/>
  <c r="CQ154" i="31"/>
  <c r="AJ154" i="31"/>
  <c r="AR154" i="31" s="1"/>
  <c r="CK154" i="31"/>
  <c r="BZ154" i="31"/>
  <c r="CF158" i="31"/>
  <c r="CQ158" i="31"/>
  <c r="BP174" i="31"/>
  <c r="CI174" i="31"/>
  <c r="CO20" i="31"/>
  <c r="CD20" i="31"/>
  <c r="CR20" i="31"/>
  <c r="CG20" i="31"/>
  <c r="CD28" i="31"/>
  <c r="AN28" i="31"/>
  <c r="AV28" i="31" s="1"/>
  <c r="CO28" i="31"/>
  <c r="CR28" i="31"/>
  <c r="CG28" i="31"/>
  <c r="CC40" i="31"/>
  <c r="CN40" i="31"/>
  <c r="CL40" i="31"/>
  <c r="CA40" i="31"/>
  <c r="CD116" i="31"/>
  <c r="CO116" i="31"/>
  <c r="CR116" i="31"/>
  <c r="CG116" i="31"/>
  <c r="CP124" i="31"/>
  <c r="CE124" i="31"/>
  <c r="CQ124" i="31"/>
  <c r="CF124" i="31"/>
  <c r="CL11" i="31"/>
  <c r="CA11" i="31"/>
  <c r="CC35" i="31"/>
  <c r="CN35" i="31"/>
  <c r="CM47" i="31"/>
  <c r="CB47" i="31"/>
  <c r="CE47" i="31"/>
  <c r="CP47" i="31"/>
  <c r="CO51" i="31"/>
  <c r="CD51" i="31"/>
  <c r="CR51" i="31"/>
  <c r="CG51" i="31"/>
  <c r="CR55" i="31"/>
  <c r="CG55" i="31"/>
  <c r="CB55" i="31"/>
  <c r="CM55" i="31"/>
  <c r="CO67" i="31"/>
  <c r="CD67" i="31"/>
  <c r="CR67" i="31"/>
  <c r="CG67" i="31"/>
  <c r="CQ71" i="31"/>
  <c r="CF71" i="31"/>
  <c r="CE79" i="31"/>
  <c r="CP79" i="31"/>
  <c r="CO83" i="31"/>
  <c r="CD83" i="31"/>
  <c r="CR83" i="31"/>
  <c r="CG83" i="31"/>
  <c r="CQ87" i="31"/>
  <c r="CF87" i="31"/>
  <c r="CE87" i="31"/>
  <c r="CP87" i="31"/>
  <c r="CP91" i="31"/>
  <c r="CE91" i="31"/>
  <c r="CQ91" i="31"/>
  <c r="CF91" i="31"/>
  <c r="CD95" i="31"/>
  <c r="CO95" i="31"/>
  <c r="CR95" i="31"/>
  <c r="CG95" i="31"/>
  <c r="CP99" i="31"/>
  <c r="CE99" i="31"/>
  <c r="CQ99" i="31"/>
  <c r="CF99" i="31"/>
  <c r="CD103" i="31"/>
  <c r="CO103" i="31"/>
  <c r="CR103" i="31"/>
  <c r="CG103" i="31"/>
  <c r="CF107" i="31"/>
  <c r="CQ107" i="31"/>
  <c r="CM111" i="31"/>
  <c r="CB111" i="31"/>
  <c r="CD115" i="31"/>
  <c r="CO115" i="31"/>
  <c r="CR115" i="31"/>
  <c r="CG115" i="31"/>
  <c r="CP119" i="31"/>
  <c r="CE119" i="31"/>
  <c r="BZ119" i="31"/>
  <c r="AJ119" i="31"/>
  <c r="AR119" i="31" s="1"/>
  <c r="CK119" i="31"/>
  <c r="CN119" i="31"/>
  <c r="CC119" i="31"/>
  <c r="CQ123" i="31"/>
  <c r="CF123" i="31"/>
  <c r="CF127" i="31"/>
  <c r="CQ127" i="31"/>
  <c r="CP131" i="31"/>
  <c r="CE131" i="31"/>
  <c r="CB135" i="31"/>
  <c r="CM135" i="31"/>
  <c r="AJ135" i="31"/>
  <c r="AR135" i="31" s="1"/>
  <c r="CK135" i="31"/>
  <c r="BZ135" i="31"/>
  <c r="CF139" i="31"/>
  <c r="CQ139" i="31"/>
  <c r="CO139" i="31"/>
  <c r="CD139" i="31"/>
  <c r="CL143" i="31"/>
  <c r="CA143" i="31"/>
  <c r="CP147" i="31"/>
  <c r="CE147" i="31"/>
  <c r="CB151" i="31"/>
  <c r="CM151" i="31"/>
  <c r="AJ151" i="31"/>
  <c r="AR151" i="31" s="1"/>
  <c r="CK151" i="31"/>
  <c r="BZ151" i="31"/>
  <c r="CF155" i="31"/>
  <c r="CQ155" i="31"/>
  <c r="CO155" i="31"/>
  <c r="CD155" i="31"/>
  <c r="CL159" i="31"/>
  <c r="CA159" i="31"/>
  <c r="CP163" i="31"/>
  <c r="CE163" i="31"/>
  <c r="CB167" i="31"/>
  <c r="AL167" i="31"/>
  <c r="AT167" i="31" s="1"/>
  <c r="CM167" i="31"/>
  <c r="AJ167" i="31"/>
  <c r="AR167" i="31" s="1"/>
  <c r="CK167" i="31"/>
  <c r="BZ167" i="31"/>
  <c r="CF171" i="31"/>
  <c r="CQ171" i="31"/>
  <c r="Z171" i="31"/>
  <c r="AN171" i="31"/>
  <c r="AV171" i="31" s="1"/>
  <c r="CO171" i="31"/>
  <c r="CD171" i="31"/>
  <c r="Z175" i="31"/>
  <c r="AN175" i="31"/>
  <c r="AV175" i="31" s="1"/>
  <c r="CD175" i="31"/>
  <c r="CO175" i="31"/>
  <c r="DH157" i="31"/>
  <c r="DP157" i="31"/>
  <c r="DX157" i="31" s="1"/>
  <c r="DH169" i="31"/>
  <c r="DP169" i="31"/>
  <c r="DX169" i="31" s="1"/>
  <c r="CQ32" i="31"/>
  <c r="CF32" i="31"/>
  <c r="CP32" i="31"/>
  <c r="CE32" i="31"/>
  <c r="CF60" i="31"/>
  <c r="CQ60" i="31"/>
  <c r="CO60" i="31"/>
  <c r="CD60" i="31"/>
  <c r="CA72" i="31"/>
  <c r="CL72" i="31"/>
  <c r="AJ84" i="31"/>
  <c r="AR84" i="31" s="1"/>
  <c r="CK84" i="31"/>
  <c r="BZ84" i="31"/>
  <c r="CN84" i="31"/>
  <c r="CC84" i="31"/>
  <c r="CL96" i="31"/>
  <c r="CA96" i="31"/>
  <c r="BZ96" i="31"/>
  <c r="AJ96" i="31"/>
  <c r="AR96" i="31" s="1"/>
  <c r="CK96" i="31"/>
  <c r="CN96" i="31"/>
  <c r="CC96" i="31"/>
  <c r="CM108" i="31"/>
  <c r="CB108" i="31"/>
  <c r="CP120" i="31"/>
  <c r="CE120" i="31"/>
  <c r="CQ120" i="31"/>
  <c r="CF120" i="31"/>
  <c r="CP132" i="31"/>
  <c r="CE132" i="31"/>
  <c r="CB144" i="31"/>
  <c r="CM144" i="31"/>
  <c r="AJ144" i="31"/>
  <c r="AR144" i="31" s="1"/>
  <c r="CK144" i="31"/>
  <c r="BZ144" i="31"/>
  <c r="CF156" i="31"/>
  <c r="CQ156" i="31"/>
  <c r="CO156" i="31"/>
  <c r="CD156" i="31"/>
  <c r="AK168" i="31"/>
  <c r="AS168" i="31" s="1"/>
  <c r="CL168" i="31"/>
  <c r="CA168" i="31"/>
  <c r="BE168" i="31"/>
  <c r="BF168" i="31"/>
  <c r="CO146" i="31"/>
  <c r="CD146" i="31"/>
  <c r="CL150" i="31"/>
  <c r="CA150" i="31"/>
  <c r="CP154" i="31"/>
  <c r="CE154" i="31"/>
  <c r="CB158" i="31"/>
  <c r="CM158" i="31"/>
  <c r="AJ158" i="31"/>
  <c r="AR158" i="31" s="1"/>
  <c r="CK158" i="31"/>
  <c r="BZ158" i="31"/>
  <c r="CF162" i="31"/>
  <c r="CQ162" i="31"/>
  <c r="CO162" i="31"/>
  <c r="CD162" i="31"/>
  <c r="AZ166" i="31"/>
  <c r="AK166" i="31"/>
  <c r="AS166" i="31" s="1"/>
  <c r="CL166" i="31"/>
  <c r="CA166" i="31"/>
  <c r="BE166" i="31"/>
  <c r="BF166" i="31"/>
  <c r="AO170" i="31"/>
  <c r="AW170" i="31" s="1"/>
  <c r="CP170" i="31"/>
  <c r="CE170" i="31"/>
  <c r="P170" i="31"/>
  <c r="Y170" i="31"/>
  <c r="CB174" i="31"/>
  <c r="AL174" i="31"/>
  <c r="AT174" i="31" s="1"/>
  <c r="CM174" i="31"/>
  <c r="AJ174" i="31"/>
  <c r="AR174" i="31" s="1"/>
  <c r="CK174" i="31"/>
  <c r="BZ174" i="31"/>
  <c r="CL12" i="31"/>
  <c r="CA12" i="31"/>
  <c r="BZ12" i="31"/>
  <c r="AJ12" i="31"/>
  <c r="AR12" i="31" s="1"/>
  <c r="CK12" i="31"/>
  <c r="CN12" i="31"/>
  <c r="CC12" i="31"/>
  <c r="AJ20" i="31"/>
  <c r="AR20" i="31" s="1"/>
  <c r="CK20" i="31"/>
  <c r="BZ20" i="31"/>
  <c r="CN20" i="31"/>
  <c r="CC20" i="31"/>
  <c r="CL28" i="31"/>
  <c r="CA28" i="31"/>
  <c r="BZ28" i="31"/>
  <c r="AJ28" i="31"/>
  <c r="AR28" i="31" s="1"/>
  <c r="CK28" i="31"/>
  <c r="CN28" i="31"/>
  <c r="CC28" i="31"/>
  <c r="CK40" i="31"/>
  <c r="BZ40" i="31"/>
  <c r="AJ40" i="31"/>
  <c r="AR40" i="31" s="1"/>
  <c r="CQ40" i="31"/>
  <c r="CF40" i="31"/>
  <c r="CQ48" i="31"/>
  <c r="CF48" i="31"/>
  <c r="CA48" i="31"/>
  <c r="CL48" i="31"/>
  <c r="AJ52" i="31"/>
  <c r="AR52" i="31" s="1"/>
  <c r="CK52" i="31"/>
  <c r="BZ52" i="31"/>
  <c r="CN52" i="31"/>
  <c r="CC52" i="31"/>
  <c r="CA64" i="31"/>
  <c r="CL64" i="31"/>
  <c r="CO64" i="31"/>
  <c r="CD64" i="31"/>
  <c r="CR64" i="31"/>
  <c r="CG64" i="31"/>
  <c r="AJ76" i="31"/>
  <c r="AR76" i="31" s="1"/>
  <c r="CK76" i="31"/>
  <c r="BZ76" i="31"/>
  <c r="CN76" i="31"/>
  <c r="CC76" i="31"/>
  <c r="CL88" i="31"/>
  <c r="CA88" i="31"/>
  <c r="BZ88" i="31"/>
  <c r="AJ88" i="31"/>
  <c r="AR88" i="31" s="1"/>
  <c r="CK88" i="31"/>
  <c r="CN88" i="31"/>
  <c r="CC88" i="31"/>
  <c r="CM104" i="31"/>
  <c r="CB104" i="31"/>
  <c r="CL116" i="31"/>
  <c r="CA116" i="31"/>
  <c r="BZ116" i="31"/>
  <c r="AJ116" i="31"/>
  <c r="AR116" i="31" s="1"/>
  <c r="CK116" i="31"/>
  <c r="CN116" i="31"/>
  <c r="CC116" i="31"/>
  <c r="CM124" i="31"/>
  <c r="CB124" i="31"/>
  <c r="CL140" i="31"/>
  <c r="CA140" i="31"/>
  <c r="CP152" i="31"/>
  <c r="CE152" i="31"/>
  <c r="CB164" i="31"/>
  <c r="CM164" i="31"/>
  <c r="AJ164" i="31"/>
  <c r="AR164" i="31" s="1"/>
  <c r="CK164" i="31"/>
  <c r="BZ164" i="31"/>
  <c r="CF172" i="31"/>
  <c r="CQ172" i="31"/>
  <c r="BK172" i="31"/>
  <c r="BN172" i="31" s="1"/>
  <c r="Z172" i="31"/>
  <c r="AN172" i="31"/>
  <c r="AV172" i="31" s="1"/>
  <c r="CO172" i="31"/>
  <c r="CD172" i="31"/>
  <c r="CR140" i="31"/>
  <c r="CG140" i="31"/>
  <c r="CR144" i="31"/>
  <c r="CG144" i="31"/>
  <c r="CR148" i="31"/>
  <c r="CG148" i="31"/>
  <c r="CN165" i="31"/>
  <c r="CC165" i="31"/>
  <c r="CN169" i="31"/>
  <c r="CC169" i="31"/>
  <c r="AM169" i="31"/>
  <c r="AU169" i="31" s="1"/>
  <c r="BP175" i="31"/>
  <c r="CR11" i="31"/>
  <c r="CG11" i="31"/>
  <c r="CQ15" i="31"/>
  <c r="CF15" i="31"/>
  <c r="CA15" i="31"/>
  <c r="CL15" i="31"/>
  <c r="CM19" i="31"/>
  <c r="CB19" i="31"/>
  <c r="AJ19" i="31"/>
  <c r="AR19" i="31" s="1"/>
  <c r="CK19" i="31"/>
  <c r="BZ19" i="31"/>
  <c r="CN19" i="31"/>
  <c r="CC19" i="31"/>
  <c r="CP23" i="31"/>
  <c r="CE23" i="31"/>
  <c r="BZ23" i="31"/>
  <c r="AJ23" i="31"/>
  <c r="AR23" i="31" s="1"/>
  <c r="CK23" i="31"/>
  <c r="CN23" i="31"/>
  <c r="CC23" i="31"/>
  <c r="AJ27" i="31"/>
  <c r="AR27" i="31" s="1"/>
  <c r="BZ27" i="31"/>
  <c r="CK27" i="31"/>
  <c r="CM27" i="31"/>
  <c r="CB27" i="31"/>
  <c r="CO35" i="31"/>
  <c r="CD35" i="31"/>
  <c r="CQ35" i="31"/>
  <c r="CF35" i="31"/>
  <c r="CG39" i="31"/>
  <c r="CR39" i="31"/>
  <c r="CP39" i="31"/>
  <c r="CE39" i="31"/>
  <c r="CQ47" i="31"/>
  <c r="CF47" i="31"/>
  <c r="CA47" i="31"/>
  <c r="CL47" i="31"/>
  <c r="AJ51" i="31"/>
  <c r="AR51" i="31" s="1"/>
  <c r="CK51" i="31"/>
  <c r="BZ51" i="31"/>
  <c r="CN51" i="31"/>
  <c r="CC51" i="31"/>
  <c r="CP55" i="31"/>
  <c r="CE55" i="31"/>
  <c r="CF59" i="31"/>
  <c r="CQ59" i="31"/>
  <c r="CO59" i="31"/>
  <c r="CD59" i="31"/>
  <c r="CP63" i="31"/>
  <c r="CE63" i="31"/>
  <c r="CM67" i="31"/>
  <c r="CB67" i="31"/>
  <c r="AJ67" i="31"/>
  <c r="AR67" i="31" s="1"/>
  <c r="CK67" i="31"/>
  <c r="BZ67" i="31"/>
  <c r="CN67" i="31"/>
  <c r="CC67" i="31"/>
  <c r="CA71" i="31"/>
  <c r="CL71" i="31"/>
  <c r="CM75" i="31"/>
  <c r="CB75" i="31"/>
  <c r="AJ75" i="31"/>
  <c r="AR75" i="31" s="1"/>
  <c r="CK75" i="31"/>
  <c r="BZ75" i="31"/>
  <c r="CN75" i="31"/>
  <c r="CC75" i="31"/>
  <c r="CQ79" i="31"/>
  <c r="CF79" i="31"/>
  <c r="CA79" i="31"/>
  <c r="CL79" i="31"/>
  <c r="CM83" i="31"/>
  <c r="CB83" i="31"/>
  <c r="AJ83" i="31"/>
  <c r="AR83" i="31" s="1"/>
  <c r="CK83" i="31"/>
  <c r="BZ83" i="31"/>
  <c r="CN83" i="31"/>
  <c r="CC83" i="31"/>
  <c r="CA87" i="31"/>
  <c r="CL87" i="31"/>
  <c r="CM91" i="31"/>
  <c r="CB91" i="31"/>
  <c r="CL95" i="31"/>
  <c r="CA95" i="31"/>
  <c r="BZ95" i="31"/>
  <c r="AJ95" i="31"/>
  <c r="AR95" i="31" s="1"/>
  <c r="CK95" i="31"/>
  <c r="CN95" i="31"/>
  <c r="CC95" i="31"/>
  <c r="CM99" i="31"/>
  <c r="CB99" i="31"/>
  <c r="CL103" i="31"/>
  <c r="CA103" i="31"/>
  <c r="BZ103" i="31"/>
  <c r="AJ103" i="31"/>
  <c r="AR103" i="31" s="1"/>
  <c r="CK103" i="31"/>
  <c r="CN103" i="31"/>
  <c r="CC103" i="31"/>
  <c r="CD107" i="31"/>
  <c r="CO107" i="31"/>
  <c r="CB107" i="31"/>
  <c r="CM107" i="31"/>
  <c r="CD111" i="31"/>
  <c r="CO111" i="31"/>
  <c r="CR111" i="31"/>
  <c r="CG111" i="31"/>
  <c r="CP115" i="31"/>
  <c r="CE115" i="31"/>
  <c r="BZ115" i="31"/>
  <c r="AJ115" i="31"/>
  <c r="AR115" i="31" s="1"/>
  <c r="CK115" i="31"/>
  <c r="CN115" i="31"/>
  <c r="CC115" i="31"/>
  <c r="CQ119" i="31"/>
  <c r="CF119" i="31"/>
  <c r="CM123" i="31"/>
  <c r="CB123" i="31"/>
  <c r="CR127" i="31"/>
  <c r="CG127" i="31"/>
  <c r="CB127" i="31"/>
  <c r="CM127" i="31"/>
  <c r="CL131" i="31"/>
  <c r="CA131" i="31"/>
  <c r="CP135" i="31"/>
  <c r="CE135" i="31"/>
  <c r="CB139" i="31"/>
  <c r="CM139" i="31"/>
  <c r="AJ139" i="31"/>
  <c r="AR139" i="31" s="1"/>
  <c r="CK139" i="31"/>
  <c r="BZ139" i="31"/>
  <c r="CO143" i="31"/>
  <c r="CD143" i="31"/>
  <c r="CL147" i="31"/>
  <c r="CA147" i="31"/>
  <c r="CP151" i="31"/>
  <c r="CE151" i="31"/>
  <c r="CB155" i="31"/>
  <c r="CM155" i="31"/>
  <c r="AJ155" i="31"/>
  <c r="AR155" i="31" s="1"/>
  <c r="CK155" i="31"/>
  <c r="BZ155" i="31"/>
  <c r="CF159" i="31"/>
  <c r="CQ159" i="31"/>
  <c r="CO159" i="31"/>
  <c r="CD159" i="31"/>
  <c r="CL163" i="31"/>
  <c r="CA163" i="31"/>
  <c r="AO167" i="31"/>
  <c r="AW167" i="31" s="1"/>
  <c r="CP167" i="31"/>
  <c r="CE167" i="31"/>
  <c r="P167" i="31"/>
  <c r="Y167" i="31"/>
  <c r="CB171" i="31"/>
  <c r="AL171" i="31"/>
  <c r="AT171" i="31" s="1"/>
  <c r="CM171" i="31"/>
  <c r="AJ171" i="31"/>
  <c r="AR171" i="31" s="1"/>
  <c r="CK171" i="31"/>
  <c r="BZ171" i="31"/>
  <c r="CF175" i="31"/>
  <c r="CQ175" i="31"/>
  <c r="AJ175" i="31"/>
  <c r="AR175" i="31" s="1"/>
  <c r="BZ175" i="31"/>
  <c r="CK175" i="31"/>
  <c r="CG32" i="31"/>
  <c r="CR32" i="31"/>
  <c r="CR60" i="31"/>
  <c r="CG60" i="31"/>
  <c r="CB60" i="31"/>
  <c r="CM60" i="31"/>
  <c r="AJ60" i="31"/>
  <c r="AR60" i="31" s="1"/>
  <c r="CK60" i="31"/>
  <c r="BZ60" i="31"/>
  <c r="CM72" i="31"/>
  <c r="CB72" i="31"/>
  <c r="CO72" i="31"/>
  <c r="CD72" i="31"/>
  <c r="CR72" i="31"/>
  <c r="CG72" i="31"/>
  <c r="CM84" i="31"/>
  <c r="CB84" i="31"/>
  <c r="CQ84" i="31"/>
  <c r="CF84" i="31"/>
  <c r="CE84" i="31"/>
  <c r="CP84" i="31"/>
  <c r="CP96" i="31"/>
  <c r="CE96" i="31"/>
  <c r="CQ96" i="31"/>
  <c r="CF96" i="31"/>
  <c r="CL108" i="31"/>
  <c r="CA108" i="31"/>
  <c r="CM120" i="31"/>
  <c r="CB120" i="31"/>
  <c r="CL132" i="31"/>
  <c r="CA132" i="31"/>
  <c r="CP144" i="31"/>
  <c r="CE144" i="31"/>
  <c r="CB156" i="31"/>
  <c r="CM156" i="31"/>
  <c r="AJ156" i="31"/>
  <c r="AR156" i="31" s="1"/>
  <c r="CK156" i="31"/>
  <c r="BZ156" i="31"/>
  <c r="CF168" i="31"/>
  <c r="CQ168" i="31"/>
  <c r="Z168" i="31"/>
  <c r="AN168" i="31"/>
  <c r="AV168" i="31" s="1"/>
  <c r="CO168" i="31"/>
  <c r="CD168" i="31"/>
  <c r="DC68" i="31"/>
  <c r="DK68" i="31"/>
  <c r="DS68" i="31" s="1"/>
  <c r="CF150" i="31"/>
  <c r="CQ150" i="31"/>
  <c r="CO150" i="31"/>
  <c r="CD150" i="31"/>
  <c r="CL154" i="31"/>
  <c r="CA154" i="31"/>
  <c r="CP158" i="31"/>
  <c r="CE158" i="31"/>
  <c r="CB162" i="31"/>
  <c r="CM162" i="31"/>
  <c r="AJ162" i="31"/>
  <c r="AR162" i="31" s="1"/>
  <c r="CK162" i="31"/>
  <c r="BZ162" i="31"/>
  <c r="CF166" i="31"/>
  <c r="CQ166" i="31"/>
  <c r="BK166" i="31"/>
  <c r="BN166" i="31" s="1"/>
  <c r="AN166" i="31"/>
  <c r="AV166" i="31" s="1"/>
  <c r="CO166" i="31"/>
  <c r="CD166" i="31"/>
  <c r="AZ170" i="31"/>
  <c r="AK170" i="31"/>
  <c r="AS170" i="31" s="1"/>
  <c r="CL170" i="31"/>
  <c r="CA170" i="31"/>
  <c r="BE170" i="31"/>
  <c r="BF170" i="31"/>
  <c r="AO174" i="31"/>
  <c r="AW174" i="31" s="1"/>
  <c r="CP174" i="31"/>
  <c r="CE174" i="31"/>
  <c r="P174" i="31"/>
  <c r="Y174" i="31"/>
  <c r="DD146" i="31"/>
  <c r="DL146" i="31"/>
  <c r="DT146" i="31" s="1"/>
  <c r="DD162" i="31"/>
  <c r="DL162" i="31"/>
  <c r="DT162" i="31" s="1"/>
  <c r="CP12" i="31"/>
  <c r="CE12" i="31"/>
  <c r="CQ12" i="31"/>
  <c r="CF12" i="31"/>
  <c r="CQ20" i="31"/>
  <c r="CF20" i="31"/>
  <c r="CE20" i="31"/>
  <c r="CP20" i="31"/>
  <c r="CP28" i="31"/>
  <c r="CE28" i="31"/>
  <c r="CQ28" i="31"/>
  <c r="CF28" i="31"/>
  <c r="CM40" i="31"/>
  <c r="CB40" i="31"/>
  <c r="CO48" i="31"/>
  <c r="CD48" i="31"/>
  <c r="CR48" i="31"/>
  <c r="CG48" i="31"/>
  <c r="CM52" i="31"/>
  <c r="CB52" i="31"/>
  <c r="CE52" i="31"/>
  <c r="CP52" i="31"/>
  <c r="AJ64" i="31"/>
  <c r="AR64" i="31" s="1"/>
  <c r="CK64" i="31"/>
  <c r="BZ64" i="31"/>
  <c r="CN64" i="31"/>
  <c r="CC64" i="31"/>
  <c r="CQ76" i="31"/>
  <c r="CF76" i="31"/>
  <c r="CE76" i="31"/>
  <c r="CP76" i="31"/>
  <c r="CP88" i="31"/>
  <c r="CE88" i="31"/>
  <c r="CQ88" i="31"/>
  <c r="CF88" i="31"/>
  <c r="CD104" i="31"/>
  <c r="CO104" i="31"/>
  <c r="CR104" i="31"/>
  <c r="CG104" i="31"/>
  <c r="CP116" i="31"/>
  <c r="CE116" i="31"/>
  <c r="CQ116" i="31"/>
  <c r="CF116" i="31"/>
  <c r="CD124" i="31"/>
  <c r="CO124" i="31"/>
  <c r="CR124" i="31"/>
  <c r="CG124" i="31"/>
  <c r="CF140" i="31"/>
  <c r="CQ140" i="31"/>
  <c r="CO140" i="31"/>
  <c r="CD140" i="31"/>
  <c r="CL152" i="31"/>
  <c r="CA152" i="31"/>
  <c r="CP164" i="31"/>
  <c r="CE164" i="31"/>
  <c r="CB172" i="31"/>
  <c r="AL172" i="31"/>
  <c r="AT172" i="31" s="1"/>
  <c r="CM172" i="31"/>
  <c r="AJ172" i="31"/>
  <c r="AR172" i="31" s="1"/>
  <c r="CK172" i="31"/>
  <c r="BZ172" i="31"/>
  <c r="CR132" i="31"/>
  <c r="CG132" i="31"/>
  <c r="CR136" i="31"/>
  <c r="CG136" i="31"/>
  <c r="CN153" i="31"/>
  <c r="CC153" i="31"/>
  <c r="CN157" i="31"/>
  <c r="CC157" i="31"/>
  <c r="CN161" i="31"/>
  <c r="CC161" i="31"/>
  <c r="X168" i="31"/>
  <c r="CR172" i="31"/>
  <c r="CG172" i="31"/>
  <c r="CM11" i="31"/>
  <c r="CB11" i="31"/>
  <c r="BZ11" i="31"/>
  <c r="AJ11" i="31"/>
  <c r="AR11" i="31" s="1"/>
  <c r="CK11" i="31"/>
  <c r="CN11" i="31"/>
  <c r="CC11" i="31"/>
  <c r="CO15" i="31"/>
  <c r="CD15" i="31"/>
  <c r="CR15" i="31"/>
  <c r="CG15" i="31"/>
  <c r="CQ19" i="31"/>
  <c r="CF19" i="31"/>
  <c r="CE19" i="31"/>
  <c r="CP19" i="31"/>
  <c r="CQ23" i="31"/>
  <c r="CF23" i="31"/>
  <c r="CL27" i="31"/>
  <c r="CA27" i="31"/>
  <c r="CR27" i="31"/>
  <c r="CG27" i="31"/>
  <c r="CE31" i="31"/>
  <c r="CP31" i="31"/>
  <c r="CM31" i="31"/>
  <c r="CB31" i="31"/>
  <c r="CA31" i="31"/>
  <c r="CL31" i="31"/>
  <c r="CO31" i="31"/>
  <c r="CD31" i="31"/>
  <c r="CR31" i="31"/>
  <c r="CG31" i="31"/>
  <c r="CK35" i="31"/>
  <c r="BZ35" i="31"/>
  <c r="AJ35" i="31"/>
  <c r="AR35" i="31" s="1"/>
  <c r="CM35" i="31"/>
  <c r="CB35" i="31"/>
  <c r="CC39" i="31"/>
  <c r="CN39" i="31"/>
  <c r="CL39" i="31"/>
  <c r="CA39" i="31"/>
  <c r="CQ43" i="31"/>
  <c r="CF43" i="31"/>
  <c r="CG43" i="31"/>
  <c r="CR43" i="31"/>
  <c r="CM43" i="31"/>
  <c r="CB43" i="31"/>
  <c r="CO47" i="31"/>
  <c r="CD47" i="31"/>
  <c r="CR47" i="31"/>
  <c r="CG47" i="31"/>
  <c r="CM51" i="31"/>
  <c r="CB51" i="31"/>
  <c r="CE51" i="31"/>
  <c r="CP51" i="31"/>
  <c r="CN55" i="31"/>
  <c r="CC55" i="31"/>
  <c r="CL55" i="31"/>
  <c r="CA55" i="31"/>
  <c r="CR59" i="31"/>
  <c r="CG59" i="31"/>
  <c r="CB59" i="31"/>
  <c r="CM59" i="31"/>
  <c r="AJ59" i="31"/>
  <c r="AR59" i="31" s="1"/>
  <c r="CK59" i="31"/>
  <c r="BZ59" i="31"/>
  <c r="CC63" i="31"/>
  <c r="CN63" i="31"/>
  <c r="CL63" i="31"/>
  <c r="CA63" i="31"/>
  <c r="CQ67" i="31"/>
  <c r="CF67" i="31"/>
  <c r="CE67" i="31"/>
  <c r="CP67" i="31"/>
  <c r="CO71" i="31"/>
  <c r="CD71" i="31"/>
  <c r="CR71" i="31"/>
  <c r="CG71" i="31"/>
  <c r="CQ75" i="31"/>
  <c r="CF75" i="31"/>
  <c r="CE75" i="31"/>
  <c r="CP75" i="31"/>
  <c r="CO79" i="31"/>
  <c r="CD79" i="31"/>
  <c r="CR79" i="31"/>
  <c r="CG79" i="31"/>
  <c r="CQ83" i="31"/>
  <c r="CF83" i="31"/>
  <c r="CE83" i="31"/>
  <c r="CP83" i="31"/>
  <c r="CD87" i="31"/>
  <c r="CO87" i="31"/>
  <c r="CR87" i="31"/>
  <c r="CG87" i="31"/>
  <c r="CD91" i="31"/>
  <c r="CO91" i="31"/>
  <c r="CR91" i="31"/>
  <c r="CG91" i="31"/>
  <c r="CP95" i="31"/>
  <c r="CE95" i="31"/>
  <c r="CQ95" i="31"/>
  <c r="CF95" i="31"/>
  <c r="CD99" i="31"/>
  <c r="CO99" i="31"/>
  <c r="CR99" i="31"/>
  <c r="CG99" i="31"/>
  <c r="CP103" i="31"/>
  <c r="CE103" i="31"/>
  <c r="CQ103" i="31"/>
  <c r="CF103" i="31"/>
  <c r="CP107" i="31"/>
  <c r="CE107" i="31"/>
  <c r="CR107" i="31"/>
  <c r="CG107" i="31"/>
  <c r="BZ107" i="31"/>
  <c r="AJ107" i="31"/>
  <c r="AR107" i="31" s="1"/>
  <c r="CK107" i="31"/>
  <c r="CP111" i="31"/>
  <c r="CE111" i="31"/>
  <c r="BZ111" i="31"/>
  <c r="AJ111" i="31"/>
  <c r="AR111" i="31" s="1"/>
  <c r="CK111" i="31"/>
  <c r="CN111" i="31"/>
  <c r="CC111" i="31"/>
  <c r="CQ115" i="31"/>
  <c r="CF115" i="31"/>
  <c r="CM119" i="31"/>
  <c r="CB119" i="31"/>
  <c r="CD123" i="31"/>
  <c r="CO123" i="31"/>
  <c r="CR123" i="31"/>
  <c r="CG123" i="31"/>
  <c r="CL127" i="31"/>
  <c r="CA127" i="31"/>
  <c r="CD127" i="31"/>
  <c r="CO127" i="31"/>
  <c r="CF131" i="31"/>
  <c r="CQ131" i="31"/>
  <c r="CO131" i="31"/>
  <c r="CD131" i="31"/>
  <c r="CL135" i="31"/>
  <c r="CA135" i="31"/>
  <c r="CP139" i="31"/>
  <c r="CE139" i="31"/>
  <c r="CB143" i="31"/>
  <c r="CM143" i="31"/>
  <c r="AJ143" i="31"/>
  <c r="AR143" i="31" s="1"/>
  <c r="CK143" i="31"/>
  <c r="BZ143" i="31"/>
  <c r="CF147" i="31"/>
  <c r="CQ147" i="31"/>
  <c r="CO147" i="31"/>
  <c r="CD147" i="31"/>
  <c r="CL151" i="31"/>
  <c r="CA151" i="31"/>
  <c r="CP155" i="31"/>
  <c r="CE155" i="31"/>
  <c r="CB159" i="31"/>
  <c r="CM159" i="31"/>
  <c r="AJ159" i="31"/>
  <c r="AR159" i="31" s="1"/>
  <c r="CK159" i="31"/>
  <c r="BZ159" i="31"/>
  <c r="CF163" i="31"/>
  <c r="CQ163" i="31"/>
  <c r="CO163" i="31"/>
  <c r="CD163" i="31"/>
  <c r="AZ167" i="31"/>
  <c r="AK167" i="31"/>
  <c r="AS167" i="31" s="1"/>
  <c r="CL167" i="31"/>
  <c r="CA167" i="31"/>
  <c r="BE167" i="31"/>
  <c r="BF167" i="31"/>
  <c r="AO171" i="31"/>
  <c r="AW171" i="31" s="1"/>
  <c r="CP171" i="31"/>
  <c r="CE171" i="31"/>
  <c r="P171" i="31"/>
  <c r="Y171" i="31"/>
  <c r="CB175" i="31"/>
  <c r="AL175" i="31"/>
  <c r="AT175" i="31" s="1"/>
  <c r="CM175" i="31"/>
  <c r="AO175" i="31"/>
  <c r="AW175" i="31" s="1"/>
  <c r="CP175" i="31"/>
  <c r="CE175" i="31"/>
  <c r="P175" i="31"/>
  <c r="Y175" i="31"/>
  <c r="DD158" i="31"/>
  <c r="DL158" i="31"/>
  <c r="DT158" i="31" s="1"/>
  <c r="CO32" i="31"/>
  <c r="CD32" i="31"/>
  <c r="CC32" i="31"/>
  <c r="CN32" i="31"/>
  <c r="CP60" i="31"/>
  <c r="CE60" i="31"/>
  <c r="AJ72" i="31"/>
  <c r="AR72" i="31" s="1"/>
  <c r="CK72" i="31"/>
  <c r="BZ72" i="31"/>
  <c r="CN72" i="31"/>
  <c r="CC72" i="31"/>
  <c r="CA84" i="31"/>
  <c r="CL84" i="31"/>
  <c r="CM96" i="31"/>
  <c r="CB96" i="31"/>
  <c r="CR108" i="31"/>
  <c r="CG108" i="31"/>
  <c r="BZ108" i="31"/>
  <c r="AJ108" i="31"/>
  <c r="AR108" i="31" s="1"/>
  <c r="CK108" i="31"/>
  <c r="CD120" i="31"/>
  <c r="CO120" i="31"/>
  <c r="CR120" i="31"/>
  <c r="CG120" i="31"/>
  <c r="CF132" i="31"/>
  <c r="CQ132" i="31"/>
  <c r="CO132" i="31"/>
  <c r="CD132" i="31"/>
  <c r="CL144" i="31"/>
  <c r="CA144" i="31"/>
  <c r="CP156" i="31"/>
  <c r="CE156" i="31"/>
  <c r="CB168" i="31"/>
  <c r="AL168" i="31"/>
  <c r="AT168" i="31" s="1"/>
  <c r="CM168" i="31"/>
  <c r="AJ168" i="31"/>
  <c r="AR168" i="31" s="1"/>
  <c r="CK168" i="31"/>
  <c r="BZ168" i="31"/>
  <c r="DF118" i="31"/>
  <c r="DN118" i="31"/>
  <c r="DV118" i="31" s="1"/>
  <c r="CF170" i="31"/>
  <c r="CQ170" i="31"/>
  <c r="AN170" i="31"/>
  <c r="AV170" i="31" s="1"/>
  <c r="CO170" i="31"/>
  <c r="CD170" i="31"/>
  <c r="AK174" i="31"/>
  <c r="AS174" i="31" s="1"/>
  <c r="CL174" i="31"/>
  <c r="CA174" i="31"/>
  <c r="BE174" i="31"/>
  <c r="BF174" i="31"/>
  <c r="DD130" i="31"/>
  <c r="DL130" i="31"/>
  <c r="DT130" i="31" s="1"/>
  <c r="CM12" i="31"/>
  <c r="CB12" i="31"/>
  <c r="CA20" i="31"/>
  <c r="CL20" i="31"/>
  <c r="CM28" i="31"/>
  <c r="CB28" i="31"/>
  <c r="CO40" i="31"/>
  <c r="CD40" i="31"/>
  <c r="CG40" i="31"/>
  <c r="CR40" i="31"/>
  <c r="CP40" i="31"/>
  <c r="CE40" i="31"/>
  <c r="AJ48" i="31"/>
  <c r="AR48" i="31" s="1"/>
  <c r="CK48" i="31"/>
  <c r="BZ48" i="31"/>
  <c r="CN48" i="31"/>
  <c r="CC48" i="31"/>
  <c r="CQ52" i="31"/>
  <c r="CF52" i="31"/>
  <c r="CA52" i="31"/>
  <c r="CL52" i="31"/>
  <c r="CM76" i="31"/>
  <c r="CB76" i="31"/>
  <c r="CA76" i="31"/>
  <c r="CL76" i="31"/>
  <c r="CM88" i="31"/>
  <c r="CB88" i="31"/>
  <c r="CL104" i="31"/>
  <c r="CA104" i="31"/>
  <c r="BZ104" i="31"/>
  <c r="AJ104" i="31"/>
  <c r="AR104" i="31" s="1"/>
  <c r="CK104" i="31"/>
  <c r="CN104" i="31"/>
  <c r="CC104" i="31"/>
  <c r="CM116" i="31"/>
  <c r="CB116" i="31"/>
  <c r="CL124" i="31"/>
  <c r="CA124" i="31"/>
  <c r="BZ124" i="31"/>
  <c r="AJ124" i="31"/>
  <c r="AR124" i="31" s="1"/>
  <c r="CK124" i="31"/>
  <c r="CN124" i="31"/>
  <c r="CC124" i="31"/>
  <c r="CB140" i="31"/>
  <c r="CM140" i="31"/>
  <c r="AJ140" i="31"/>
  <c r="AR140" i="31" s="1"/>
  <c r="CK140" i="31"/>
  <c r="BZ140" i="31"/>
  <c r="CF152" i="31"/>
  <c r="CQ152" i="31"/>
  <c r="CO152" i="31"/>
  <c r="CD152" i="31"/>
  <c r="CL164" i="31"/>
  <c r="CA164" i="31"/>
  <c r="AO172" i="31"/>
  <c r="AW172" i="31" s="1"/>
  <c r="CP172" i="31"/>
  <c r="CE172" i="31"/>
  <c r="P172" i="31"/>
  <c r="Y172" i="31"/>
  <c r="CN141" i="31"/>
  <c r="CC141" i="31"/>
  <c r="CN145" i="31"/>
  <c r="CC145" i="31"/>
  <c r="CN149" i="31"/>
  <c r="CC149" i="31"/>
  <c r="CR164" i="31"/>
  <c r="CG164" i="31"/>
  <c r="CR168" i="31"/>
  <c r="CG168" i="31"/>
  <c r="CD11" i="31"/>
  <c r="CO11" i="31"/>
  <c r="CP11" i="31"/>
  <c r="CE11" i="31"/>
  <c r="AJ15" i="31"/>
  <c r="AR15" i="31" s="1"/>
  <c r="CK15" i="31"/>
  <c r="BZ15" i="31"/>
  <c r="CN15" i="31"/>
  <c r="CC15" i="31"/>
  <c r="CA19" i="31"/>
  <c r="CL19" i="31"/>
  <c r="CL23" i="31"/>
  <c r="CA23" i="31"/>
  <c r="CM23" i="31"/>
  <c r="CB23" i="31"/>
  <c r="CP27" i="31"/>
  <c r="CE27" i="31"/>
  <c r="CN27" i="31"/>
  <c r="CC27" i="31"/>
  <c r="AJ31" i="31"/>
  <c r="AR31" i="31" s="1"/>
  <c r="BZ31" i="31"/>
  <c r="CK31" i="31"/>
  <c r="CN31" i="31"/>
  <c r="CC31" i="31"/>
  <c r="CG35" i="31"/>
  <c r="CR35" i="31"/>
  <c r="CP35" i="31"/>
  <c r="CE35" i="31"/>
  <c r="CO39" i="31"/>
  <c r="CD39" i="31"/>
  <c r="CQ39" i="31"/>
  <c r="CF39" i="31"/>
  <c r="CC43" i="31"/>
  <c r="CN43" i="31"/>
  <c r="CE43" i="31"/>
  <c r="CP43" i="31"/>
  <c r="AJ47" i="31"/>
  <c r="AR47" i="31" s="1"/>
  <c r="CK47" i="31"/>
  <c r="BZ47" i="31"/>
  <c r="CN47" i="31"/>
  <c r="CC47" i="31"/>
  <c r="CQ51" i="31"/>
  <c r="CF51" i="31"/>
  <c r="CA51" i="31"/>
  <c r="CL51" i="31"/>
  <c r="CF55" i="31"/>
  <c r="CQ55" i="31"/>
  <c r="CO55" i="31"/>
  <c r="CD55" i="31"/>
  <c r="CP59" i="31"/>
  <c r="CE59" i="31"/>
  <c r="CF63" i="31"/>
  <c r="CQ63" i="31"/>
  <c r="CO63" i="31"/>
  <c r="CD63" i="31"/>
  <c r="CA67" i="31"/>
  <c r="CL67" i="31"/>
  <c r="CM71" i="31"/>
  <c r="CB71" i="31"/>
  <c r="AJ71" i="31"/>
  <c r="AR71" i="31" s="1"/>
  <c r="CK71" i="31"/>
  <c r="BZ71" i="31"/>
  <c r="CN71" i="31"/>
  <c r="CC71" i="31"/>
  <c r="CA75" i="31"/>
  <c r="CL75" i="31"/>
  <c r="CM79" i="31"/>
  <c r="CB79" i="31"/>
  <c r="AJ79" i="31"/>
  <c r="AR79" i="31" s="1"/>
  <c r="CK79" i="31"/>
  <c r="BZ79" i="31"/>
  <c r="CN79" i="31"/>
  <c r="CC79" i="31"/>
  <c r="CA83" i="31"/>
  <c r="CL83" i="31"/>
  <c r="CM87" i="31"/>
  <c r="CB87" i="31"/>
  <c r="AJ87" i="31"/>
  <c r="AR87" i="31" s="1"/>
  <c r="BZ87" i="31"/>
  <c r="CK87" i="31"/>
  <c r="CN87" i="31"/>
  <c r="CC87" i="31"/>
  <c r="CL91" i="31"/>
  <c r="CA91" i="31"/>
  <c r="BZ91" i="31"/>
  <c r="AJ91" i="31"/>
  <c r="AR91" i="31" s="1"/>
  <c r="CK91" i="31"/>
  <c r="CN91" i="31"/>
  <c r="CC91" i="31"/>
  <c r="CM95" i="31"/>
  <c r="CB95" i="31"/>
  <c r="CL99" i="31"/>
  <c r="CA99" i="31"/>
  <c r="BZ99" i="31"/>
  <c r="AJ99" i="31"/>
  <c r="AR99" i="31" s="1"/>
  <c r="CK99" i="31"/>
  <c r="CN99" i="31"/>
  <c r="CC99" i="31"/>
  <c r="CM103" i="31"/>
  <c r="CB103" i="31"/>
  <c r="CN107" i="31"/>
  <c r="CC107" i="31"/>
  <c r="CL107" i="31"/>
  <c r="CA107" i="31"/>
  <c r="CQ111" i="31"/>
  <c r="CF111" i="31"/>
  <c r="CM115" i="31"/>
  <c r="CB115" i="31"/>
  <c r="CD119" i="31"/>
  <c r="CO119" i="31"/>
  <c r="CR119" i="31"/>
  <c r="CG119" i="31"/>
  <c r="CP123" i="31"/>
  <c r="CE123" i="31"/>
  <c r="BZ123" i="31"/>
  <c r="AJ123" i="31"/>
  <c r="AR123" i="31" s="1"/>
  <c r="CK123" i="31"/>
  <c r="CN123" i="31"/>
  <c r="CC123" i="31"/>
  <c r="CP127" i="31"/>
  <c r="CE127" i="31"/>
  <c r="BZ127" i="31"/>
  <c r="AJ127" i="31"/>
  <c r="AR127" i="31" s="1"/>
  <c r="CK127" i="31"/>
  <c r="CB131" i="31"/>
  <c r="CM131" i="31"/>
  <c r="AJ131" i="31"/>
  <c r="AR131" i="31" s="1"/>
  <c r="CK131" i="31"/>
  <c r="BZ131" i="31"/>
  <c r="CF135" i="31"/>
  <c r="CQ135" i="31"/>
  <c r="CO135" i="31"/>
  <c r="CD135" i="31"/>
  <c r="CL139" i="31"/>
  <c r="CA139" i="31"/>
  <c r="CP143" i="31"/>
  <c r="CE143" i="31"/>
  <c r="CB147" i="31"/>
  <c r="CM147" i="31"/>
  <c r="AJ147" i="31"/>
  <c r="AR147" i="31" s="1"/>
  <c r="CK147" i="31"/>
  <c r="BZ147" i="31"/>
  <c r="CF151" i="31"/>
  <c r="CQ151" i="31"/>
  <c r="CO151" i="31"/>
  <c r="CD151" i="31"/>
  <c r="CL155" i="31"/>
  <c r="CA155" i="31"/>
  <c r="CP159" i="31"/>
  <c r="CE159" i="31"/>
  <c r="CB163" i="31"/>
  <c r="CM163" i="31"/>
  <c r="AJ163" i="31"/>
  <c r="AR163" i="31" s="1"/>
  <c r="CK163" i="31"/>
  <c r="BZ163" i="31"/>
  <c r="CF167" i="31"/>
  <c r="CQ167" i="31"/>
  <c r="Z167" i="31"/>
  <c r="AN167" i="31"/>
  <c r="AV167" i="31" s="1"/>
  <c r="CO167" i="31"/>
  <c r="CD167" i="31"/>
  <c r="AK171" i="31"/>
  <c r="AS171" i="31" s="1"/>
  <c r="CL171" i="31"/>
  <c r="CA171" i="31"/>
  <c r="BE171" i="31"/>
  <c r="BF171" i="31"/>
  <c r="AK175" i="31"/>
  <c r="AS175" i="31" s="1"/>
  <c r="CL175" i="31"/>
  <c r="CA175" i="31"/>
  <c r="BE175" i="31"/>
  <c r="BF175" i="31"/>
  <c r="DH137" i="31"/>
  <c r="DP137" i="31"/>
  <c r="DX137" i="31" s="1"/>
  <c r="CM32" i="31"/>
  <c r="CB32" i="31"/>
  <c r="CL32" i="31"/>
  <c r="CA32" i="31"/>
  <c r="AJ32" i="31"/>
  <c r="AR32" i="31" s="1"/>
  <c r="CK32" i="31"/>
  <c r="BZ32" i="31"/>
  <c r="CN60" i="31"/>
  <c r="CC60" i="31"/>
  <c r="CL60" i="31"/>
  <c r="CA60" i="31"/>
  <c r="CQ72" i="31"/>
  <c r="CF72" i="31"/>
  <c r="CE72" i="31"/>
  <c r="CP72" i="31"/>
  <c r="CO84" i="31"/>
  <c r="CD84" i="31"/>
  <c r="CR84" i="31"/>
  <c r="CG84" i="31"/>
  <c r="CD96" i="31"/>
  <c r="CO96" i="31"/>
  <c r="CR96" i="31"/>
  <c r="CG96" i="31"/>
  <c r="CP108" i="31"/>
  <c r="CE108" i="31"/>
  <c r="CD108" i="31"/>
  <c r="CO108" i="31"/>
  <c r="CN108" i="31"/>
  <c r="CC108" i="31"/>
  <c r="CQ108" i="31"/>
  <c r="CF108" i="31"/>
  <c r="CL120" i="31"/>
  <c r="CA120" i="31"/>
  <c r="BZ120" i="31"/>
  <c r="AJ120" i="31"/>
  <c r="AR120" i="31" s="1"/>
  <c r="CK120" i="31"/>
  <c r="CN120" i="31"/>
  <c r="CC120" i="31"/>
  <c r="CB132" i="31"/>
  <c r="CM132" i="31"/>
  <c r="AJ132" i="31"/>
  <c r="AR132" i="31" s="1"/>
  <c r="CK132" i="31"/>
  <c r="BZ132" i="31"/>
  <c r="CF144" i="31"/>
  <c r="CQ144" i="31"/>
  <c r="CO144" i="31"/>
  <c r="CD144" i="31"/>
  <c r="CL156" i="31"/>
  <c r="CA156" i="31"/>
  <c r="R168" i="31"/>
  <c r="AO168" i="31"/>
  <c r="AW168" i="31" s="1"/>
  <c r="CP168" i="31"/>
  <c r="CE168" i="31"/>
  <c r="P168" i="31"/>
  <c r="Y168" i="31"/>
  <c r="DB98" i="31"/>
  <c r="DJ98" i="31"/>
  <c r="DR98" i="31" s="1"/>
  <c r="K169" i="31"/>
  <c r="AP169" i="31" s="1"/>
  <c r="AX169" i="31" s="1"/>
  <c r="K172" i="31"/>
  <c r="AP172" i="31" s="1"/>
  <c r="AX172" i="31" s="1"/>
  <c r="CO7" i="31"/>
  <c r="CD7" i="31"/>
  <c r="K167" i="31"/>
  <c r="AP167" i="31" s="1"/>
  <c r="AX167" i="31" s="1"/>
  <c r="CN7" i="31"/>
  <c r="CC7" i="31"/>
  <c r="CP7" i="31"/>
  <c r="CE7" i="31"/>
  <c r="AJ7" i="31"/>
  <c r="AR7" i="31" s="1"/>
  <c r="CK7" i="31"/>
  <c r="BZ7" i="31"/>
  <c r="K174" i="31"/>
  <c r="AP174" i="31" s="1"/>
  <c r="AX174" i="31" s="1"/>
  <c r="K166" i="31"/>
  <c r="AP166" i="31" s="1"/>
  <c r="AX166" i="31" s="1"/>
  <c r="K173" i="31"/>
  <c r="AP173" i="31" s="1"/>
  <c r="AX173" i="31" s="1"/>
  <c r="CF7" i="31"/>
  <c r="CQ7" i="31"/>
  <c r="CL7" i="31"/>
  <c r="CA7" i="31"/>
  <c r="K168" i="31"/>
  <c r="AP168" i="31" s="1"/>
  <c r="AX168" i="31" s="1"/>
  <c r="CR7" i="31"/>
  <c r="CG7" i="31"/>
  <c r="CB7" i="31"/>
  <c r="CM7" i="31"/>
  <c r="K170" i="31"/>
  <c r="AP170" i="31" s="1"/>
  <c r="AX170" i="31" s="1"/>
  <c r="K171" i="31"/>
  <c r="AP171" i="31" s="1"/>
  <c r="AX171" i="31" s="1"/>
  <c r="K175" i="31"/>
  <c r="AP175" i="31" s="1"/>
  <c r="AX175" i="31" s="1"/>
  <c r="CK6" i="31"/>
  <c r="BZ6" i="31"/>
  <c r="AJ6" i="31"/>
  <c r="AR6" i="31" s="1"/>
  <c r="CG6" i="31"/>
  <c r="CR6" i="31"/>
  <c r="CQ6" i="31"/>
  <c r="CF6" i="31"/>
  <c r="CP6" i="31"/>
  <c r="CE6" i="31"/>
  <c r="CM6" i="31"/>
  <c r="CB6" i="31"/>
  <c r="CL6" i="31"/>
  <c r="CA6" i="31"/>
  <c r="CO6" i="31"/>
  <c r="CD6" i="31"/>
  <c r="CC6" i="31"/>
  <c r="CN6" i="31"/>
  <c r="CN5" i="31"/>
  <c r="CC5" i="31"/>
  <c r="B176" i="31"/>
  <c r="CO5" i="31"/>
  <c r="CD5" i="31"/>
  <c r="CQ5" i="31"/>
  <c r="CF5" i="31"/>
  <c r="AJ5" i="31"/>
  <c r="CK5" i="31"/>
  <c r="BZ5" i="31"/>
  <c r="CM5" i="31"/>
  <c r="CB5" i="31"/>
  <c r="CE5" i="31"/>
  <c r="CP5" i="31"/>
  <c r="CR5" i="31"/>
  <c r="CG5" i="31"/>
  <c r="CA5" i="31"/>
  <c r="CL5" i="31"/>
  <c r="DP153" i="31" l="1"/>
  <c r="DX153" i="31" s="1"/>
  <c r="BP171" i="31"/>
  <c r="BP166" i="31"/>
  <c r="DP129" i="31"/>
  <c r="DX129" i="31" s="1"/>
  <c r="CI173" i="31"/>
  <c r="DP149" i="31"/>
  <c r="DX149" i="31" s="1"/>
  <c r="CI167" i="31"/>
  <c r="DD166" i="31"/>
  <c r="BP170" i="31"/>
  <c r="DL134" i="31"/>
  <c r="DT134" i="31" s="1"/>
  <c r="DL142" i="31"/>
  <c r="DT142" i="31" s="1"/>
  <c r="DP165" i="31"/>
  <c r="DX165" i="31" s="1"/>
  <c r="DN105" i="31"/>
  <c r="DV105" i="31" s="1"/>
  <c r="DD150" i="31"/>
  <c r="W172" i="31"/>
  <c r="DL138" i="31"/>
  <c r="DT138" i="31" s="1"/>
  <c r="CE176" i="31"/>
  <c r="CB176" i="31"/>
  <c r="AJ176" i="31"/>
  <c r="AR176" i="31" s="1"/>
  <c r="CN176" i="31"/>
  <c r="DD176" i="31" s="1"/>
  <c r="BQ173" i="31"/>
  <c r="CJ173" i="31"/>
  <c r="BQ171" i="31"/>
  <c r="CJ171" i="31"/>
  <c r="BQ174" i="31"/>
  <c r="CJ174" i="31"/>
  <c r="BQ167" i="31"/>
  <c r="CJ167" i="31"/>
  <c r="BQ166" i="31"/>
  <c r="CJ166" i="31"/>
  <c r="BQ169" i="31"/>
  <c r="CJ169" i="31"/>
  <c r="CL176" i="31"/>
  <c r="DB176" i="31" s="1"/>
  <c r="CM176" i="31"/>
  <c r="DC176" i="31" s="1"/>
  <c r="BZ176" i="31"/>
  <c r="CD176" i="31"/>
  <c r="BQ168" i="31"/>
  <c r="CJ168" i="31"/>
  <c r="CA176" i="31"/>
  <c r="CP176" i="31"/>
  <c r="DF176" i="31" s="1"/>
  <c r="CK176" i="31"/>
  <c r="DA176" i="31" s="1"/>
  <c r="CO176" i="31"/>
  <c r="DE176" i="31" s="1"/>
  <c r="CC176" i="31"/>
  <c r="BQ175" i="31"/>
  <c r="CJ175" i="31"/>
  <c r="BQ170" i="31"/>
  <c r="CJ170" i="31"/>
  <c r="BQ172" i="31"/>
  <c r="CJ172" i="31"/>
  <c r="L174" i="31"/>
  <c r="AQ174" i="31" s="1"/>
  <c r="AY174" i="31" s="1"/>
  <c r="DF168" i="31"/>
  <c r="DN168" i="31"/>
  <c r="DV168" i="31" s="1"/>
  <c r="DB156" i="31"/>
  <c r="DJ156" i="31"/>
  <c r="DR156" i="31" s="1"/>
  <c r="DC132" i="31"/>
  <c r="DK132" i="31"/>
  <c r="DS132" i="31" s="1"/>
  <c r="DB120" i="31"/>
  <c r="DJ120" i="31"/>
  <c r="DR120" i="31" s="1"/>
  <c r="DE108" i="31"/>
  <c r="DM108" i="31"/>
  <c r="DU108" i="31" s="1"/>
  <c r="DH96" i="31"/>
  <c r="DP96" i="31"/>
  <c r="DX96" i="31" s="1"/>
  <c r="DG72" i="31"/>
  <c r="DO72" i="31"/>
  <c r="DW72" i="31" s="1"/>
  <c r="DC32" i="31"/>
  <c r="DK32" i="31"/>
  <c r="DS32" i="31" s="1"/>
  <c r="BL175" i="31"/>
  <c r="BC175" i="31"/>
  <c r="DB175" i="31"/>
  <c r="DJ175" i="31"/>
  <c r="DR175" i="31" s="1"/>
  <c r="DB155" i="31"/>
  <c r="DJ155" i="31"/>
  <c r="DR155" i="31" s="1"/>
  <c r="DK147" i="31"/>
  <c r="DS147" i="31" s="1"/>
  <c r="DC147" i="31"/>
  <c r="DE135" i="31"/>
  <c r="DM135" i="31"/>
  <c r="DU135" i="31" s="1"/>
  <c r="DA127" i="31"/>
  <c r="DI127" i="31"/>
  <c r="DQ127" i="31" s="1"/>
  <c r="DG111" i="31"/>
  <c r="DO111" i="31"/>
  <c r="DW111" i="31" s="1"/>
  <c r="DC103" i="31"/>
  <c r="DK103" i="31"/>
  <c r="DS103" i="31" s="1"/>
  <c r="DB99" i="31"/>
  <c r="DJ99" i="31"/>
  <c r="DR99" i="31" s="1"/>
  <c r="DD87" i="31"/>
  <c r="DL87" i="31"/>
  <c r="DT87" i="31" s="1"/>
  <c r="DA71" i="31"/>
  <c r="DI71" i="31"/>
  <c r="DQ71" i="31" s="1"/>
  <c r="DC71" i="31"/>
  <c r="DK71" i="31"/>
  <c r="DS71" i="31" s="1"/>
  <c r="DF59" i="31"/>
  <c r="DN59" i="31"/>
  <c r="DV59" i="31" s="1"/>
  <c r="DG55" i="31"/>
  <c r="DO55" i="31"/>
  <c r="DW55" i="31" s="1"/>
  <c r="DD47" i="31"/>
  <c r="DL47" i="31"/>
  <c r="DT47" i="31" s="1"/>
  <c r="DE39" i="31"/>
  <c r="DM39" i="31"/>
  <c r="DU39" i="31" s="1"/>
  <c r="DD27" i="31"/>
  <c r="DL27" i="31"/>
  <c r="DT27" i="31" s="1"/>
  <c r="DF27" i="31"/>
  <c r="DN27" i="31"/>
  <c r="DV27" i="31" s="1"/>
  <c r="DB23" i="31"/>
  <c r="DJ23" i="31"/>
  <c r="DR23" i="31" s="1"/>
  <c r="DH168" i="31"/>
  <c r="DP168" i="31"/>
  <c r="DX168" i="31" s="1"/>
  <c r="DD149" i="31"/>
  <c r="DL149" i="31"/>
  <c r="DT149" i="31" s="1"/>
  <c r="DC116" i="31"/>
  <c r="DK116" i="31"/>
  <c r="DS116" i="31" s="1"/>
  <c r="DB104" i="31"/>
  <c r="DJ104" i="31"/>
  <c r="DR104" i="31" s="1"/>
  <c r="DJ76" i="31"/>
  <c r="DR76" i="31" s="1"/>
  <c r="DB76" i="31"/>
  <c r="DA48" i="31"/>
  <c r="DI48" i="31"/>
  <c r="DQ48" i="31" s="1"/>
  <c r="DF40" i="31"/>
  <c r="DN40" i="31"/>
  <c r="DV40" i="31" s="1"/>
  <c r="DH40" i="31"/>
  <c r="DP40" i="31"/>
  <c r="DX40" i="31" s="1"/>
  <c r="DB144" i="31"/>
  <c r="DJ144" i="31"/>
  <c r="DR144" i="31" s="1"/>
  <c r="DE132" i="31"/>
  <c r="DM132" i="31"/>
  <c r="DU132" i="31" s="1"/>
  <c r="DO132" i="31"/>
  <c r="DW132" i="31" s="1"/>
  <c r="DG132" i="31"/>
  <c r="DJ84" i="31"/>
  <c r="DR84" i="31" s="1"/>
  <c r="DB84" i="31"/>
  <c r="DA72" i="31"/>
  <c r="DI72" i="31"/>
  <c r="DQ72" i="31" s="1"/>
  <c r="DC159" i="31"/>
  <c r="DK159" i="31"/>
  <c r="DS159" i="31" s="1"/>
  <c r="DB135" i="31"/>
  <c r="DJ135" i="31"/>
  <c r="DR135" i="31" s="1"/>
  <c r="DE131" i="31"/>
  <c r="DM131" i="31"/>
  <c r="DU131" i="31" s="1"/>
  <c r="DG131" i="31"/>
  <c r="DO131" i="31"/>
  <c r="DW131" i="31" s="1"/>
  <c r="DE127" i="31"/>
  <c r="DM127" i="31"/>
  <c r="DU127" i="31" s="1"/>
  <c r="DG115" i="31"/>
  <c r="DO115" i="31"/>
  <c r="DW115" i="31" s="1"/>
  <c r="DI111" i="31"/>
  <c r="DQ111" i="31" s="1"/>
  <c r="DA111" i="31"/>
  <c r="DH107" i="31"/>
  <c r="DP107" i="31"/>
  <c r="DX107" i="31" s="1"/>
  <c r="DF103" i="31"/>
  <c r="DN103" i="31"/>
  <c r="DV103" i="31" s="1"/>
  <c r="DF95" i="31"/>
  <c r="DN95" i="31"/>
  <c r="DV95" i="31" s="1"/>
  <c r="DE79" i="31"/>
  <c r="DM79" i="31"/>
  <c r="DU79" i="31" s="1"/>
  <c r="DE71" i="31"/>
  <c r="DM71" i="31"/>
  <c r="DU71" i="31" s="1"/>
  <c r="DD63" i="31"/>
  <c r="DL63" i="31"/>
  <c r="DT63" i="31" s="1"/>
  <c r="DA59" i="31"/>
  <c r="DI59" i="31"/>
  <c r="DQ59" i="31" s="1"/>
  <c r="DD55" i="31"/>
  <c r="DL55" i="31"/>
  <c r="DT55" i="31" s="1"/>
  <c r="DF51" i="31"/>
  <c r="DN51" i="31"/>
  <c r="DV51" i="31" s="1"/>
  <c r="DH43" i="31"/>
  <c r="DP43" i="31"/>
  <c r="DX43" i="31" s="1"/>
  <c r="DB31" i="31"/>
  <c r="DJ31" i="31"/>
  <c r="DR31" i="31" s="1"/>
  <c r="DE15" i="31"/>
  <c r="DM15" i="31"/>
  <c r="DU15" i="31" s="1"/>
  <c r="DD11" i="31"/>
  <c r="DL11" i="31"/>
  <c r="DT11" i="31" s="1"/>
  <c r="DC11" i="31"/>
  <c r="DK11" i="31"/>
  <c r="DS11" i="31" s="1"/>
  <c r="DH136" i="31"/>
  <c r="DP136" i="31"/>
  <c r="DX136" i="31" s="1"/>
  <c r="DB152" i="31"/>
  <c r="DJ152" i="31"/>
  <c r="DR152" i="31" s="1"/>
  <c r="DE140" i="31"/>
  <c r="DM140" i="31"/>
  <c r="DU140" i="31" s="1"/>
  <c r="DG140" i="31"/>
  <c r="DO140" i="31"/>
  <c r="DW140" i="31" s="1"/>
  <c r="DH124" i="31"/>
  <c r="DP124" i="31"/>
  <c r="DX124" i="31" s="1"/>
  <c r="DF88" i="31"/>
  <c r="DN88" i="31"/>
  <c r="DV88" i="31" s="1"/>
  <c r="DN76" i="31"/>
  <c r="DV76" i="31" s="1"/>
  <c r="DF76" i="31"/>
  <c r="DE48" i="31"/>
  <c r="DM48" i="31"/>
  <c r="DU48" i="31" s="1"/>
  <c r="DC40" i="31"/>
  <c r="DK40" i="31"/>
  <c r="DS40" i="31" s="1"/>
  <c r="DG12" i="31"/>
  <c r="DO12" i="31"/>
  <c r="DW12" i="31" s="1"/>
  <c r="DB154" i="31"/>
  <c r="DJ154" i="31"/>
  <c r="DR154" i="31" s="1"/>
  <c r="DE150" i="31"/>
  <c r="DM150" i="31"/>
  <c r="DU150" i="31" s="1"/>
  <c r="DO168" i="31"/>
  <c r="DW168" i="31" s="1"/>
  <c r="DG168" i="31"/>
  <c r="DA156" i="31"/>
  <c r="DI156" i="31"/>
  <c r="DQ156" i="31" s="1"/>
  <c r="DF144" i="31"/>
  <c r="DN144" i="31"/>
  <c r="DV144" i="31" s="1"/>
  <c r="DF96" i="31"/>
  <c r="DN96" i="31"/>
  <c r="DV96" i="31" s="1"/>
  <c r="DN84" i="31"/>
  <c r="DV84" i="31" s="1"/>
  <c r="DF84" i="31"/>
  <c r="DC84" i="31"/>
  <c r="DK84" i="31"/>
  <c r="DS84" i="31" s="1"/>
  <c r="DG175" i="31"/>
  <c r="DO175" i="31"/>
  <c r="DW175" i="31" s="1"/>
  <c r="DA171" i="31"/>
  <c r="DI171" i="31"/>
  <c r="DQ171" i="31" s="1"/>
  <c r="DF167" i="31"/>
  <c r="DN167" i="31"/>
  <c r="DV167" i="31" s="1"/>
  <c r="DK139" i="31"/>
  <c r="DS139" i="31" s="1"/>
  <c r="DC139" i="31"/>
  <c r="DC127" i="31"/>
  <c r="DK127" i="31"/>
  <c r="DS127" i="31" s="1"/>
  <c r="DG119" i="31"/>
  <c r="DO119" i="31"/>
  <c r="DW119" i="31" s="1"/>
  <c r="DI115" i="31"/>
  <c r="DQ115" i="31" s="1"/>
  <c r="DA115" i="31"/>
  <c r="DE107" i="31"/>
  <c r="DM107" i="31"/>
  <c r="DU107" i="31" s="1"/>
  <c r="DD103" i="31"/>
  <c r="DL103" i="31"/>
  <c r="DT103" i="31" s="1"/>
  <c r="DD95" i="31"/>
  <c r="DL95" i="31"/>
  <c r="DT95" i="31" s="1"/>
  <c r="DB87" i="31"/>
  <c r="DJ87" i="31"/>
  <c r="DR87" i="31" s="1"/>
  <c r="DB79" i="31"/>
  <c r="DJ79" i="31"/>
  <c r="DR79" i="31" s="1"/>
  <c r="DD75" i="31"/>
  <c r="DL75" i="31"/>
  <c r="DT75" i="31" s="1"/>
  <c r="DI27" i="31"/>
  <c r="DQ27" i="31" s="1"/>
  <c r="DA27" i="31"/>
  <c r="DD23" i="31"/>
  <c r="DL23" i="31"/>
  <c r="DT23" i="31" s="1"/>
  <c r="DA19" i="31"/>
  <c r="DI19" i="31"/>
  <c r="DQ19" i="31" s="1"/>
  <c r="DC19" i="31"/>
  <c r="DK19" i="31"/>
  <c r="DS19" i="31" s="1"/>
  <c r="DG15" i="31"/>
  <c r="DO15" i="31"/>
  <c r="DW15" i="31" s="1"/>
  <c r="DD165" i="31"/>
  <c r="DL165" i="31"/>
  <c r="DT165" i="31" s="1"/>
  <c r="DB140" i="31"/>
  <c r="DJ140" i="31"/>
  <c r="DR140" i="31" s="1"/>
  <c r="DC124" i="31"/>
  <c r="DK124" i="31"/>
  <c r="DS124" i="31" s="1"/>
  <c r="DI116" i="31"/>
  <c r="DQ116" i="31" s="1"/>
  <c r="DA116" i="31"/>
  <c r="DC104" i="31"/>
  <c r="DK104" i="31"/>
  <c r="DS104" i="31" s="1"/>
  <c r="DA88" i="31"/>
  <c r="DI88" i="31"/>
  <c r="DQ88" i="31" s="1"/>
  <c r="DD76" i="31"/>
  <c r="DL76" i="31"/>
  <c r="DT76" i="31" s="1"/>
  <c r="DJ64" i="31"/>
  <c r="DR64" i="31" s="1"/>
  <c r="DB64" i="31"/>
  <c r="DD52" i="31"/>
  <c r="DL52" i="31"/>
  <c r="DT52" i="31" s="1"/>
  <c r="DG48" i="31"/>
  <c r="DO48" i="31"/>
  <c r="DW48" i="31" s="1"/>
  <c r="DG40" i="31"/>
  <c r="DO40" i="31"/>
  <c r="DW40" i="31" s="1"/>
  <c r="DD28" i="31"/>
  <c r="DL28" i="31"/>
  <c r="DT28" i="31" s="1"/>
  <c r="DA20" i="31"/>
  <c r="DI20" i="31"/>
  <c r="DQ20" i="31" s="1"/>
  <c r="DD12" i="31"/>
  <c r="DL12" i="31"/>
  <c r="DT12" i="31" s="1"/>
  <c r="DK174" i="31"/>
  <c r="DS174" i="31" s="1"/>
  <c r="DC174" i="31"/>
  <c r="DG162" i="31"/>
  <c r="DO162" i="31"/>
  <c r="DW162" i="31" s="1"/>
  <c r="DA158" i="31"/>
  <c r="DI158" i="31"/>
  <c r="DQ158" i="31" s="1"/>
  <c r="DG120" i="31"/>
  <c r="DO120" i="31"/>
  <c r="DW120" i="31" s="1"/>
  <c r="DA96" i="31"/>
  <c r="DI96" i="31"/>
  <c r="DQ96" i="31" s="1"/>
  <c r="DE60" i="31"/>
  <c r="DM60" i="31"/>
  <c r="DU60" i="31" s="1"/>
  <c r="DF32" i="31"/>
  <c r="DN32" i="31"/>
  <c r="DV32" i="31" s="1"/>
  <c r="DE171" i="31"/>
  <c r="DM171" i="31"/>
  <c r="DU171" i="31" s="1"/>
  <c r="DG155" i="31"/>
  <c r="DO155" i="31"/>
  <c r="DW155" i="31" s="1"/>
  <c r="DA151" i="31"/>
  <c r="DI151" i="31"/>
  <c r="DQ151" i="31" s="1"/>
  <c r="DF147" i="31"/>
  <c r="DN147" i="31"/>
  <c r="DV147" i="31" s="1"/>
  <c r="DE103" i="31"/>
  <c r="DM103" i="31"/>
  <c r="DU103" i="31" s="1"/>
  <c r="DG99" i="31"/>
  <c r="DO99" i="31"/>
  <c r="DW99" i="31" s="1"/>
  <c r="DE95" i="31"/>
  <c r="DM95" i="31"/>
  <c r="DU95" i="31" s="1"/>
  <c r="DG91" i="31"/>
  <c r="DO91" i="31"/>
  <c r="DW91" i="31" s="1"/>
  <c r="DE83" i="31"/>
  <c r="DM83" i="31"/>
  <c r="DU83" i="31" s="1"/>
  <c r="DH51" i="31"/>
  <c r="DP51" i="31"/>
  <c r="DX51" i="31" s="1"/>
  <c r="DL35" i="31"/>
  <c r="DT35" i="31" s="1"/>
  <c r="DD35" i="31"/>
  <c r="DF124" i="31"/>
  <c r="DN124" i="31"/>
  <c r="DV124" i="31" s="1"/>
  <c r="DH116" i="31"/>
  <c r="DP116" i="31"/>
  <c r="DX116" i="31" s="1"/>
  <c r="DD40" i="31"/>
  <c r="DL40" i="31"/>
  <c r="DT40" i="31" s="1"/>
  <c r="DG158" i="31"/>
  <c r="DO158" i="31"/>
  <c r="DW158" i="31" s="1"/>
  <c r="DA154" i="31"/>
  <c r="DI154" i="31"/>
  <c r="DQ154" i="31" s="1"/>
  <c r="DK150" i="31"/>
  <c r="DS150" i="31" s="1"/>
  <c r="DC150" i="31"/>
  <c r="DK134" i="31"/>
  <c r="DS134" i="31" s="1"/>
  <c r="DC134" i="31"/>
  <c r="DG118" i="31"/>
  <c r="DO118" i="31"/>
  <c r="DW118" i="31" s="1"/>
  <c r="DG106" i="31"/>
  <c r="DO106" i="31"/>
  <c r="DW106" i="31" s="1"/>
  <c r="DH98" i="31"/>
  <c r="DP98" i="31"/>
  <c r="DX98" i="31" s="1"/>
  <c r="DD94" i="31"/>
  <c r="DL94" i="31"/>
  <c r="DT94" i="31" s="1"/>
  <c r="DC86" i="31"/>
  <c r="DK86" i="31"/>
  <c r="DS86" i="31" s="1"/>
  <c r="DD70" i="31"/>
  <c r="DL70" i="31"/>
  <c r="DT70" i="31" s="1"/>
  <c r="DG66" i="31"/>
  <c r="DO66" i="31"/>
  <c r="DW66" i="31" s="1"/>
  <c r="DG62" i="31"/>
  <c r="DO62" i="31"/>
  <c r="DW62" i="31" s="1"/>
  <c r="DE54" i="31"/>
  <c r="DM54" i="31"/>
  <c r="DU54" i="31" s="1"/>
  <c r="DA46" i="31"/>
  <c r="DI46" i="31"/>
  <c r="DQ46" i="31" s="1"/>
  <c r="DF42" i="31"/>
  <c r="DN42" i="31"/>
  <c r="DV42" i="31" s="1"/>
  <c r="DP34" i="31"/>
  <c r="DX34" i="31" s="1"/>
  <c r="DH34" i="31"/>
  <c r="DC30" i="31"/>
  <c r="DK30" i="31"/>
  <c r="DS30" i="31" s="1"/>
  <c r="DA26" i="31"/>
  <c r="DI26" i="31"/>
  <c r="DQ26" i="31" s="1"/>
  <c r="DG18" i="31"/>
  <c r="DO18" i="31"/>
  <c r="DW18" i="31" s="1"/>
  <c r="DP10" i="31"/>
  <c r="DX10" i="31" s="1"/>
  <c r="DH10" i="31"/>
  <c r="DD172" i="31"/>
  <c r="DL172" i="31"/>
  <c r="DT172" i="31" s="1"/>
  <c r="DD160" i="31"/>
  <c r="DL160" i="31"/>
  <c r="DT160" i="31" s="1"/>
  <c r="DE160" i="31"/>
  <c r="DM160" i="31"/>
  <c r="DU160" i="31" s="1"/>
  <c r="DC148" i="31"/>
  <c r="DK148" i="31"/>
  <c r="DS148" i="31" s="1"/>
  <c r="DC100" i="31"/>
  <c r="DK100" i="31"/>
  <c r="DS100" i="31" s="1"/>
  <c r="DA56" i="31"/>
  <c r="DI56" i="31"/>
  <c r="DQ56" i="31" s="1"/>
  <c r="DE44" i="31"/>
  <c r="DM44" i="31"/>
  <c r="DU44" i="31" s="1"/>
  <c r="DG24" i="31"/>
  <c r="DO24" i="31"/>
  <c r="DW24" i="31" s="1"/>
  <c r="DB8" i="31"/>
  <c r="DJ8" i="31"/>
  <c r="DR8" i="31" s="1"/>
  <c r="DF169" i="31"/>
  <c r="DN169" i="31"/>
  <c r="DV169" i="31" s="1"/>
  <c r="DO161" i="31"/>
  <c r="DW161" i="31" s="1"/>
  <c r="DG161" i="31"/>
  <c r="DA157" i="31"/>
  <c r="DI157" i="31"/>
  <c r="DQ157" i="31" s="1"/>
  <c r="DO145" i="31"/>
  <c r="DW145" i="31" s="1"/>
  <c r="DG145" i="31"/>
  <c r="DA141" i="31"/>
  <c r="DI141" i="31"/>
  <c r="DQ141" i="31" s="1"/>
  <c r="DB133" i="31"/>
  <c r="DJ133" i="31"/>
  <c r="DR133" i="31" s="1"/>
  <c r="DE129" i="31"/>
  <c r="DM129" i="31"/>
  <c r="DU129" i="31" s="1"/>
  <c r="DC39" i="31"/>
  <c r="DK39" i="31"/>
  <c r="DS39" i="31" s="1"/>
  <c r="DB35" i="31"/>
  <c r="DJ35" i="31"/>
  <c r="DR35" i="31" s="1"/>
  <c r="DH52" i="31"/>
  <c r="DP52" i="31"/>
  <c r="DX52" i="31" s="1"/>
  <c r="DB162" i="31"/>
  <c r="DJ162" i="31"/>
  <c r="DR162" i="31" s="1"/>
  <c r="DF142" i="31"/>
  <c r="DN142" i="31"/>
  <c r="DV142" i="31" s="1"/>
  <c r="DH75" i="31"/>
  <c r="DP75" i="31"/>
  <c r="DX75" i="31" s="1"/>
  <c r="DC63" i="31"/>
  <c r="DK63" i="31"/>
  <c r="DS63" i="31" s="1"/>
  <c r="DE27" i="31"/>
  <c r="DM27" i="31"/>
  <c r="DU27" i="31" s="1"/>
  <c r="DM23" i="31"/>
  <c r="DU23" i="31" s="1"/>
  <c r="DE23" i="31"/>
  <c r="DH19" i="31"/>
  <c r="DP19" i="31"/>
  <c r="DX19" i="31" s="1"/>
  <c r="DK166" i="31"/>
  <c r="DS166" i="31" s="1"/>
  <c r="DC166" i="31"/>
  <c r="DG146" i="31"/>
  <c r="DO146" i="31"/>
  <c r="DW146" i="31" s="1"/>
  <c r="DA142" i="31"/>
  <c r="DI142" i="31"/>
  <c r="DQ142" i="31" s="1"/>
  <c r="DB134" i="31"/>
  <c r="DJ134" i="31"/>
  <c r="DR134" i="31" s="1"/>
  <c r="DH122" i="31"/>
  <c r="DP122" i="31"/>
  <c r="DX122" i="31" s="1"/>
  <c r="DH110" i="31"/>
  <c r="DP110" i="31"/>
  <c r="DX110" i="31" s="1"/>
  <c r="DI102" i="31"/>
  <c r="DQ102" i="31" s="1"/>
  <c r="DA102" i="31"/>
  <c r="DC94" i="31"/>
  <c r="DK94" i="31"/>
  <c r="DS94" i="31" s="1"/>
  <c r="DI90" i="31"/>
  <c r="DQ90" i="31" s="1"/>
  <c r="DA90" i="31"/>
  <c r="DB90" i="31"/>
  <c r="DJ90" i="31"/>
  <c r="DR90" i="31" s="1"/>
  <c r="DH78" i="31"/>
  <c r="DP78" i="31"/>
  <c r="DX78" i="31" s="1"/>
  <c r="DA74" i="31"/>
  <c r="DI74" i="31"/>
  <c r="DQ74" i="31" s="1"/>
  <c r="DB70" i="31"/>
  <c r="DJ70" i="31"/>
  <c r="DR70" i="31" s="1"/>
  <c r="DG58" i="31"/>
  <c r="DO58" i="31"/>
  <c r="DW58" i="31" s="1"/>
  <c r="DG42" i="31"/>
  <c r="DO42" i="31"/>
  <c r="DW42" i="31" s="1"/>
  <c r="DP38" i="31"/>
  <c r="DX38" i="31" s="1"/>
  <c r="DH38" i="31"/>
  <c r="DD30" i="31"/>
  <c r="DL30" i="31"/>
  <c r="DT30" i="31" s="1"/>
  <c r="DH171" i="31"/>
  <c r="DP171" i="31"/>
  <c r="DX171" i="31" s="1"/>
  <c r="DF160" i="31"/>
  <c r="DN160" i="31"/>
  <c r="DV160" i="31" s="1"/>
  <c r="DB148" i="31"/>
  <c r="DJ148" i="31"/>
  <c r="DR148" i="31" s="1"/>
  <c r="DE136" i="31"/>
  <c r="DM136" i="31"/>
  <c r="DU136" i="31" s="1"/>
  <c r="DG92" i="31"/>
  <c r="DO92" i="31"/>
  <c r="DW92" i="31" s="1"/>
  <c r="DA80" i="31"/>
  <c r="DI80" i="31"/>
  <c r="DQ80" i="31" s="1"/>
  <c r="DJ68" i="31"/>
  <c r="DR68" i="31" s="1"/>
  <c r="DB68" i="31"/>
  <c r="DB56" i="31"/>
  <c r="DJ56" i="31"/>
  <c r="DR56" i="31" s="1"/>
  <c r="DB36" i="31"/>
  <c r="DJ36" i="31"/>
  <c r="DR36" i="31" s="1"/>
  <c r="DH16" i="31"/>
  <c r="DP16" i="31"/>
  <c r="DX16" i="31" s="1"/>
  <c r="DO169" i="31"/>
  <c r="DW169" i="31" s="1"/>
  <c r="DG169" i="31"/>
  <c r="DA165" i="31"/>
  <c r="DI165" i="31"/>
  <c r="DQ165" i="31" s="1"/>
  <c r="DF161" i="31"/>
  <c r="DN161" i="31"/>
  <c r="DV161" i="31" s="1"/>
  <c r="DO153" i="31"/>
  <c r="DW153" i="31" s="1"/>
  <c r="DG153" i="31"/>
  <c r="DA149" i="31"/>
  <c r="DI149" i="31"/>
  <c r="DQ149" i="31" s="1"/>
  <c r="DF145" i="31"/>
  <c r="DN145" i="31"/>
  <c r="DV145" i="31" s="1"/>
  <c r="DH152" i="31"/>
  <c r="DP152" i="31"/>
  <c r="DX152" i="31" s="1"/>
  <c r="DD129" i="31"/>
  <c r="DL129" i="31"/>
  <c r="DT129" i="31" s="1"/>
  <c r="DE164" i="31"/>
  <c r="DM164" i="31"/>
  <c r="DU164" i="31" s="1"/>
  <c r="DE88" i="31"/>
  <c r="DM88" i="31"/>
  <c r="DU88" i="31" s="1"/>
  <c r="DH76" i="31"/>
  <c r="DP76" i="31"/>
  <c r="DX76" i="31" s="1"/>
  <c r="DF150" i="31"/>
  <c r="DN150" i="31"/>
  <c r="DV150" i="31" s="1"/>
  <c r="DE142" i="31"/>
  <c r="DM142" i="31"/>
  <c r="DU142" i="31" s="1"/>
  <c r="DK138" i="31"/>
  <c r="DS138" i="31" s="1"/>
  <c r="DC138" i="31"/>
  <c r="DH102" i="31"/>
  <c r="DP102" i="31"/>
  <c r="DX102" i="31" s="1"/>
  <c r="DD98" i="31"/>
  <c r="DL98" i="31"/>
  <c r="DT98" i="31" s="1"/>
  <c r="DH90" i="31"/>
  <c r="DP90" i="31"/>
  <c r="DX90" i="31" s="1"/>
  <c r="DB86" i="31"/>
  <c r="DJ86" i="31"/>
  <c r="DR86" i="31" s="1"/>
  <c r="DE74" i="31"/>
  <c r="DM74" i="31"/>
  <c r="DU74" i="31" s="1"/>
  <c r="DC70" i="31"/>
  <c r="DK70" i="31"/>
  <c r="DS70" i="31" s="1"/>
  <c r="DA54" i="31"/>
  <c r="DI54" i="31"/>
  <c r="DQ54" i="31" s="1"/>
  <c r="DH50" i="31"/>
  <c r="DP50" i="31"/>
  <c r="DX50" i="31" s="1"/>
  <c r="DL42" i="31"/>
  <c r="DT42" i="31" s="1"/>
  <c r="DD42" i="31"/>
  <c r="DF26" i="31"/>
  <c r="DN26" i="31"/>
  <c r="DV26" i="31" s="1"/>
  <c r="DH18" i="31"/>
  <c r="DP18" i="31"/>
  <c r="DX18" i="31" s="1"/>
  <c r="V175" i="31"/>
  <c r="AA175" i="31" s="1"/>
  <c r="W175" i="31"/>
  <c r="DH151" i="31"/>
  <c r="DP151" i="31"/>
  <c r="DX151" i="31" s="1"/>
  <c r="DF112" i="31"/>
  <c r="DN112" i="31"/>
  <c r="DV112" i="31" s="1"/>
  <c r="DE100" i="31"/>
  <c r="DM100" i="31"/>
  <c r="DU100" i="31" s="1"/>
  <c r="DD92" i="31"/>
  <c r="DL92" i="31"/>
  <c r="DT92" i="31" s="1"/>
  <c r="DN68" i="31"/>
  <c r="DV68" i="31" s="1"/>
  <c r="DF68" i="31"/>
  <c r="DH36" i="31"/>
  <c r="DP36" i="31"/>
  <c r="DX36" i="31" s="1"/>
  <c r="DD121" i="31"/>
  <c r="DL121" i="31"/>
  <c r="DT121" i="31" s="1"/>
  <c r="DB117" i="31"/>
  <c r="DJ117" i="31"/>
  <c r="DR117" i="31" s="1"/>
  <c r="DG134" i="31"/>
  <c r="DO134" i="31"/>
  <c r="DW134" i="31" s="1"/>
  <c r="DA130" i="31"/>
  <c r="DI130" i="31"/>
  <c r="DQ130" i="31" s="1"/>
  <c r="DF106" i="31"/>
  <c r="DN106" i="31"/>
  <c r="DV106" i="31" s="1"/>
  <c r="DE70" i="31"/>
  <c r="DM70" i="31"/>
  <c r="DU70" i="31" s="1"/>
  <c r="DC66" i="31"/>
  <c r="DK66" i="31"/>
  <c r="DS66" i="31" s="1"/>
  <c r="DH14" i="31"/>
  <c r="DP14" i="31"/>
  <c r="DX14" i="31" s="1"/>
  <c r="DB123" i="31"/>
  <c r="DJ123" i="31"/>
  <c r="DR123" i="31" s="1"/>
  <c r="DF100" i="31"/>
  <c r="DN100" i="31"/>
  <c r="DV100" i="31" s="1"/>
  <c r="DF149" i="31"/>
  <c r="DN149" i="31"/>
  <c r="DV149" i="31" s="1"/>
  <c r="DH81" i="31"/>
  <c r="DP81" i="31"/>
  <c r="DX81" i="31" s="1"/>
  <c r="DC77" i="31"/>
  <c r="DK77" i="31"/>
  <c r="DS77" i="31" s="1"/>
  <c r="DH65" i="31"/>
  <c r="DP65" i="31"/>
  <c r="DX65" i="31" s="1"/>
  <c r="DG53" i="31"/>
  <c r="DO53" i="31"/>
  <c r="DW53" i="31" s="1"/>
  <c r="DN45" i="31"/>
  <c r="DV45" i="31" s="1"/>
  <c r="DF45" i="31"/>
  <c r="DF25" i="31"/>
  <c r="DN25" i="31"/>
  <c r="DV25" i="31" s="1"/>
  <c r="DF21" i="31"/>
  <c r="DN21" i="31"/>
  <c r="DV21" i="31" s="1"/>
  <c r="DE13" i="31"/>
  <c r="DM13" i="31"/>
  <c r="DU13" i="31" s="1"/>
  <c r="DD175" i="31"/>
  <c r="DL175" i="31"/>
  <c r="DT175" i="31" s="1"/>
  <c r="DD143" i="31"/>
  <c r="DL143" i="31"/>
  <c r="DT143" i="31" s="1"/>
  <c r="DA86" i="31"/>
  <c r="DI86" i="31"/>
  <c r="DQ86" i="31" s="1"/>
  <c r="DB82" i="31"/>
  <c r="DJ82" i="31"/>
  <c r="DR82" i="31" s="1"/>
  <c r="DC74" i="31"/>
  <c r="DK74" i="31"/>
  <c r="DS74" i="31" s="1"/>
  <c r="DE42" i="31"/>
  <c r="DM42" i="31"/>
  <c r="DU42" i="31" s="1"/>
  <c r="DB22" i="31"/>
  <c r="DJ22" i="31"/>
  <c r="DR22" i="31" s="1"/>
  <c r="DF18" i="31"/>
  <c r="DN18" i="31"/>
  <c r="DV18" i="31" s="1"/>
  <c r="DE112" i="31"/>
  <c r="DM112" i="31"/>
  <c r="DU112" i="31" s="1"/>
  <c r="DB44" i="31"/>
  <c r="DJ44" i="31"/>
  <c r="DR44" i="31" s="1"/>
  <c r="DE121" i="31"/>
  <c r="DM121" i="31"/>
  <c r="DU121" i="31" s="1"/>
  <c r="DH113" i="31"/>
  <c r="DP113" i="31"/>
  <c r="DX113" i="31" s="1"/>
  <c r="DM105" i="31"/>
  <c r="DU105" i="31" s="1"/>
  <c r="DE105" i="31"/>
  <c r="DA101" i="31"/>
  <c r="DI101" i="31"/>
  <c r="DQ101" i="31" s="1"/>
  <c r="DC97" i="31"/>
  <c r="DK97" i="31"/>
  <c r="DS97" i="31" s="1"/>
  <c r="DF93" i="31"/>
  <c r="DN93" i="31"/>
  <c r="DV93" i="31" s="1"/>
  <c r="DA85" i="31"/>
  <c r="DI85" i="31"/>
  <c r="DQ85" i="31" s="1"/>
  <c r="DJ81" i="31"/>
  <c r="DR81" i="31" s="1"/>
  <c r="DB81" i="31"/>
  <c r="DA69" i="31"/>
  <c r="DI69" i="31"/>
  <c r="DQ69" i="31" s="1"/>
  <c r="DJ65" i="31"/>
  <c r="DR65" i="31" s="1"/>
  <c r="DB65" i="31"/>
  <c r="DH61" i="31"/>
  <c r="DP61" i="31"/>
  <c r="DX61" i="31" s="1"/>
  <c r="DF57" i="31"/>
  <c r="DN57" i="31"/>
  <c r="DV57" i="31" s="1"/>
  <c r="DD53" i="31"/>
  <c r="DL53" i="31"/>
  <c r="DT53" i="31" s="1"/>
  <c r="DA45" i="31"/>
  <c r="DI45" i="31"/>
  <c r="DQ45" i="31" s="1"/>
  <c r="DC45" i="31"/>
  <c r="DK45" i="31"/>
  <c r="DS45" i="31" s="1"/>
  <c r="DA37" i="31"/>
  <c r="DI37" i="31"/>
  <c r="DQ37" i="31" s="1"/>
  <c r="DI25" i="31"/>
  <c r="DQ25" i="31" s="1"/>
  <c r="DA25" i="31"/>
  <c r="DD21" i="31"/>
  <c r="DL21" i="31"/>
  <c r="DT21" i="31" s="1"/>
  <c r="DG17" i="31"/>
  <c r="DO17" i="31"/>
  <c r="DW17" i="31" s="1"/>
  <c r="DB13" i="31"/>
  <c r="DJ13" i="31"/>
  <c r="DR13" i="31" s="1"/>
  <c r="DD155" i="31"/>
  <c r="DL155" i="31"/>
  <c r="DT155" i="31" s="1"/>
  <c r="DB119" i="31"/>
  <c r="DJ119" i="31"/>
  <c r="DR119" i="31" s="1"/>
  <c r="DH170" i="31"/>
  <c r="DP170" i="31"/>
  <c r="DX170" i="31" s="1"/>
  <c r="DF89" i="31"/>
  <c r="DN89" i="31"/>
  <c r="DV89" i="31" s="1"/>
  <c r="DG30" i="31"/>
  <c r="DO30" i="31"/>
  <c r="DW30" i="31" s="1"/>
  <c r="DE26" i="31"/>
  <c r="DM26" i="31"/>
  <c r="DU26" i="31" s="1"/>
  <c r="DE157" i="31"/>
  <c r="DM157" i="31"/>
  <c r="DU157" i="31" s="1"/>
  <c r="DC137" i="31"/>
  <c r="DK137" i="31"/>
  <c r="DS137" i="31" s="1"/>
  <c r="DB129" i="31"/>
  <c r="DJ129" i="31"/>
  <c r="DR129" i="31" s="1"/>
  <c r="DC121" i="31"/>
  <c r="DK121" i="31"/>
  <c r="DS121" i="31" s="1"/>
  <c r="DC105" i="31"/>
  <c r="DK105" i="31"/>
  <c r="DS105" i="31" s="1"/>
  <c r="DH101" i="31"/>
  <c r="DP101" i="31"/>
  <c r="DX101" i="31" s="1"/>
  <c r="DF101" i="31"/>
  <c r="DN101" i="31"/>
  <c r="DV101" i="31" s="1"/>
  <c r="DH93" i="31"/>
  <c r="DP93" i="31"/>
  <c r="DX93" i="31" s="1"/>
  <c r="DD89" i="31"/>
  <c r="DL89" i="31"/>
  <c r="DT89" i="31" s="1"/>
  <c r="DA57" i="31"/>
  <c r="DI57" i="31"/>
  <c r="DQ57" i="31" s="1"/>
  <c r="DD57" i="31"/>
  <c r="DL57" i="31"/>
  <c r="DT57" i="31" s="1"/>
  <c r="DE53" i="31"/>
  <c r="DM53" i="31"/>
  <c r="DU53" i="31" s="1"/>
  <c r="DN49" i="31"/>
  <c r="DV49" i="31" s="1"/>
  <c r="DF49" i="31"/>
  <c r="DD37" i="31"/>
  <c r="DL37" i="31"/>
  <c r="DT37" i="31" s="1"/>
  <c r="DC33" i="31"/>
  <c r="DK33" i="31"/>
  <c r="DS33" i="31" s="1"/>
  <c r="DH25" i="31"/>
  <c r="DP25" i="31"/>
  <c r="DX25" i="31" s="1"/>
  <c r="DC9" i="31"/>
  <c r="DK9" i="31"/>
  <c r="DS9" i="31" s="1"/>
  <c r="DD151" i="31"/>
  <c r="DL151" i="31"/>
  <c r="DT151" i="31" s="1"/>
  <c r="DA126" i="31"/>
  <c r="DI126" i="31"/>
  <c r="DQ126" i="31" s="1"/>
  <c r="DD118" i="31"/>
  <c r="DL118" i="31"/>
  <c r="DT118" i="31" s="1"/>
  <c r="DG102" i="31"/>
  <c r="DO102" i="31"/>
  <c r="DW102" i="31" s="1"/>
  <c r="DB62" i="31"/>
  <c r="DJ62" i="31"/>
  <c r="DR62" i="31" s="1"/>
  <c r="DG50" i="31"/>
  <c r="DO50" i="31"/>
  <c r="DW50" i="31" s="1"/>
  <c r="DC34" i="31"/>
  <c r="DK34" i="31"/>
  <c r="DS34" i="31" s="1"/>
  <c r="DC10" i="31"/>
  <c r="DK10" i="31"/>
  <c r="DS10" i="31" s="1"/>
  <c r="DG80" i="31"/>
  <c r="DO80" i="31"/>
  <c r="DW80" i="31" s="1"/>
  <c r="DE68" i="31"/>
  <c r="DM68" i="31"/>
  <c r="DU68" i="31" s="1"/>
  <c r="DF24" i="31"/>
  <c r="DN24" i="31"/>
  <c r="DV24" i="31" s="1"/>
  <c r="DO141" i="31"/>
  <c r="DW141" i="31" s="1"/>
  <c r="DG141" i="31"/>
  <c r="DA137" i="31"/>
  <c r="DI137" i="31"/>
  <c r="DQ137" i="31" s="1"/>
  <c r="DC133" i="31"/>
  <c r="DK133" i="31"/>
  <c r="DS133" i="31" s="1"/>
  <c r="DG125" i="31"/>
  <c r="DO125" i="31"/>
  <c r="DW125" i="31" s="1"/>
  <c r="DF121" i="31"/>
  <c r="DN121" i="31"/>
  <c r="DV121" i="31" s="1"/>
  <c r="DG109" i="31"/>
  <c r="DO109" i="31"/>
  <c r="DW109" i="31" s="1"/>
  <c r="DD97" i="31"/>
  <c r="DL97" i="31"/>
  <c r="DT97" i="31" s="1"/>
  <c r="DB93" i="31"/>
  <c r="DJ93" i="31"/>
  <c r="DR93" i="31" s="1"/>
  <c r="DH89" i="31"/>
  <c r="DP89" i="31"/>
  <c r="DX89" i="31" s="1"/>
  <c r="DG85" i="31"/>
  <c r="DO85" i="31"/>
  <c r="DW85" i="31" s="1"/>
  <c r="DD73" i="31"/>
  <c r="DL73" i="31"/>
  <c r="DT73" i="31" s="1"/>
  <c r="DG69" i="31"/>
  <c r="DO69" i="31"/>
  <c r="DW69" i="31" s="1"/>
  <c r="DO57" i="31"/>
  <c r="DW57" i="31" s="1"/>
  <c r="DG57" i="31"/>
  <c r="DF53" i="31"/>
  <c r="DN53" i="31"/>
  <c r="DV53" i="31" s="1"/>
  <c r="DA41" i="31"/>
  <c r="DI41" i="31"/>
  <c r="DQ41" i="31" s="1"/>
  <c r="DA17" i="31"/>
  <c r="DI17" i="31"/>
  <c r="DQ17" i="31" s="1"/>
  <c r="V174" i="31"/>
  <c r="AA174" i="31" s="1"/>
  <c r="W174" i="31"/>
  <c r="DD120" i="31"/>
  <c r="DL120" i="31"/>
  <c r="DT120" i="31" s="1"/>
  <c r="DF108" i="31"/>
  <c r="DN108" i="31"/>
  <c r="DV108" i="31" s="1"/>
  <c r="DE84" i="31"/>
  <c r="DM84" i="31"/>
  <c r="DU84" i="31" s="1"/>
  <c r="DA32" i="31"/>
  <c r="DI32" i="31"/>
  <c r="DQ32" i="31" s="1"/>
  <c r="DB32" i="31"/>
  <c r="DJ32" i="31"/>
  <c r="DR32" i="31" s="1"/>
  <c r="DG167" i="31"/>
  <c r="DO167" i="31"/>
  <c r="DW167" i="31" s="1"/>
  <c r="DA163" i="31"/>
  <c r="DI163" i="31"/>
  <c r="DQ163" i="31" s="1"/>
  <c r="DF159" i="31"/>
  <c r="DN159" i="31"/>
  <c r="DV159" i="31" s="1"/>
  <c r="DB139" i="31"/>
  <c r="DJ139" i="31"/>
  <c r="DR139" i="31" s="1"/>
  <c r="DC131" i="31"/>
  <c r="DK131" i="31"/>
  <c r="DS131" i="31" s="1"/>
  <c r="DF127" i="31"/>
  <c r="DN127" i="31"/>
  <c r="DV127" i="31" s="1"/>
  <c r="DI123" i="31"/>
  <c r="DQ123" i="31" s="1"/>
  <c r="DA123" i="31"/>
  <c r="DH119" i="31"/>
  <c r="DP119" i="31"/>
  <c r="DX119" i="31" s="1"/>
  <c r="DD99" i="31"/>
  <c r="DL99" i="31"/>
  <c r="DT99" i="31" s="1"/>
  <c r="DI91" i="31"/>
  <c r="DQ91" i="31" s="1"/>
  <c r="DA91" i="31"/>
  <c r="DB75" i="31"/>
  <c r="DJ75" i="31"/>
  <c r="DR75" i="31" s="1"/>
  <c r="DD71" i="31"/>
  <c r="DL71" i="31"/>
  <c r="DT71" i="31" s="1"/>
  <c r="DE55" i="31"/>
  <c r="DM55" i="31"/>
  <c r="DU55" i="31" s="1"/>
  <c r="DJ51" i="31"/>
  <c r="DR51" i="31" s="1"/>
  <c r="DB51" i="31"/>
  <c r="DL43" i="31"/>
  <c r="DT43" i="31" s="1"/>
  <c r="DD43" i="31"/>
  <c r="DH35" i="31"/>
  <c r="DP35" i="31"/>
  <c r="DX35" i="31" s="1"/>
  <c r="DD31" i="31"/>
  <c r="DL31" i="31"/>
  <c r="DT31" i="31" s="1"/>
  <c r="DE11" i="31"/>
  <c r="DM11" i="31"/>
  <c r="DU11" i="31" s="1"/>
  <c r="DG152" i="31"/>
  <c r="DO152" i="31"/>
  <c r="DW152" i="31" s="1"/>
  <c r="DA140" i="31"/>
  <c r="DI140" i="31"/>
  <c r="DQ140" i="31" s="1"/>
  <c r="DI124" i="31"/>
  <c r="DQ124" i="31" s="1"/>
  <c r="DA124" i="31"/>
  <c r="DD104" i="31"/>
  <c r="DL104" i="31"/>
  <c r="DT104" i="31" s="1"/>
  <c r="DC76" i="31"/>
  <c r="DK76" i="31"/>
  <c r="DS76" i="31" s="1"/>
  <c r="DD48" i="31"/>
  <c r="DL48" i="31"/>
  <c r="DT48" i="31" s="1"/>
  <c r="DE40" i="31"/>
  <c r="DM40" i="31"/>
  <c r="DU40" i="31" s="1"/>
  <c r="DJ20" i="31"/>
  <c r="DR20" i="31" s="1"/>
  <c r="DB20" i="31"/>
  <c r="DC12" i="31"/>
  <c r="DK12" i="31"/>
  <c r="DS12" i="31" s="1"/>
  <c r="DE170" i="31"/>
  <c r="DM170" i="31"/>
  <c r="DU170" i="31" s="1"/>
  <c r="DA168" i="31"/>
  <c r="DI168" i="31"/>
  <c r="DQ168" i="31" s="1"/>
  <c r="DF156" i="31"/>
  <c r="DN156" i="31"/>
  <c r="DV156" i="31" s="1"/>
  <c r="DH120" i="31"/>
  <c r="DP120" i="31"/>
  <c r="DX120" i="31" s="1"/>
  <c r="DD72" i="31"/>
  <c r="DL72" i="31"/>
  <c r="DT72" i="31" s="1"/>
  <c r="DF60" i="31"/>
  <c r="DN60" i="31"/>
  <c r="DV60" i="31" s="1"/>
  <c r="DD32" i="31"/>
  <c r="DL32" i="31"/>
  <c r="DT32" i="31" s="1"/>
  <c r="DE32" i="31"/>
  <c r="DM32" i="31"/>
  <c r="DU32" i="31" s="1"/>
  <c r="DC175" i="31"/>
  <c r="DK175" i="31"/>
  <c r="DS175" i="31" s="1"/>
  <c r="DB151" i="31"/>
  <c r="DJ151" i="31"/>
  <c r="DR151" i="31" s="1"/>
  <c r="DE147" i="31"/>
  <c r="DM147" i="31"/>
  <c r="DU147" i="31" s="1"/>
  <c r="DG147" i="31"/>
  <c r="DO147" i="31"/>
  <c r="DW147" i="31" s="1"/>
  <c r="DA143" i="31"/>
  <c r="DI143" i="31"/>
  <c r="DQ143" i="31" s="1"/>
  <c r="DF139" i="31"/>
  <c r="DN139" i="31"/>
  <c r="DV139" i="31" s="1"/>
  <c r="DH123" i="31"/>
  <c r="DP123" i="31"/>
  <c r="DX123" i="31" s="1"/>
  <c r="DF111" i="31"/>
  <c r="DN111" i="31"/>
  <c r="DV111" i="31" s="1"/>
  <c r="DG103" i="31"/>
  <c r="DO103" i="31"/>
  <c r="DW103" i="31" s="1"/>
  <c r="DE99" i="31"/>
  <c r="DM99" i="31"/>
  <c r="DU99" i="31" s="1"/>
  <c r="DG95" i="31"/>
  <c r="DO95" i="31"/>
  <c r="DW95" i="31" s="1"/>
  <c r="DE91" i="31"/>
  <c r="DM91" i="31"/>
  <c r="DU91" i="31" s="1"/>
  <c r="DH87" i="31"/>
  <c r="DP87" i="31"/>
  <c r="DX87" i="31" s="1"/>
  <c r="DH79" i="31"/>
  <c r="DP79" i="31"/>
  <c r="DX79" i="31" s="1"/>
  <c r="DH71" i="31"/>
  <c r="DP71" i="31"/>
  <c r="DX71" i="31" s="1"/>
  <c r="DB63" i="31"/>
  <c r="DJ63" i="31"/>
  <c r="DR63" i="31" s="1"/>
  <c r="DH59" i="31"/>
  <c r="DP59" i="31"/>
  <c r="DX59" i="31" s="1"/>
  <c r="DC51" i="31"/>
  <c r="DK51" i="31"/>
  <c r="DS51" i="31" s="1"/>
  <c r="DG43" i="31"/>
  <c r="DO43" i="31"/>
  <c r="DW43" i="31" s="1"/>
  <c r="DA35" i="31"/>
  <c r="DI35" i="31"/>
  <c r="DQ35" i="31" s="1"/>
  <c r="DC31" i="31"/>
  <c r="DK31" i="31"/>
  <c r="DS31" i="31" s="1"/>
  <c r="DG23" i="31"/>
  <c r="DO23" i="31"/>
  <c r="DW23" i="31" s="1"/>
  <c r="DH15" i="31"/>
  <c r="DP15" i="31"/>
  <c r="DX15" i="31" s="1"/>
  <c r="DD153" i="31"/>
  <c r="DL153" i="31"/>
  <c r="DT153" i="31" s="1"/>
  <c r="DA172" i="31"/>
  <c r="DI172" i="31"/>
  <c r="DQ172" i="31" s="1"/>
  <c r="DF164" i="31"/>
  <c r="DN164" i="31"/>
  <c r="DV164" i="31" s="1"/>
  <c r="DF116" i="31"/>
  <c r="DN116" i="31"/>
  <c r="DV116" i="31" s="1"/>
  <c r="DE104" i="31"/>
  <c r="DM104" i="31"/>
  <c r="DU104" i="31" s="1"/>
  <c r="DG88" i="31"/>
  <c r="DO88" i="31"/>
  <c r="DW88" i="31" s="1"/>
  <c r="DG76" i="31"/>
  <c r="DO76" i="31"/>
  <c r="DW76" i="31" s="1"/>
  <c r="DF52" i="31"/>
  <c r="DN52" i="31"/>
  <c r="DV52" i="31" s="1"/>
  <c r="DH48" i="31"/>
  <c r="DP48" i="31"/>
  <c r="DX48" i="31" s="1"/>
  <c r="DF28" i="31"/>
  <c r="DN28" i="31"/>
  <c r="DV28" i="31" s="1"/>
  <c r="DN20" i="31"/>
  <c r="DV20" i="31" s="1"/>
  <c r="DF20" i="31"/>
  <c r="DG166" i="31"/>
  <c r="DO166" i="31"/>
  <c r="DW166" i="31" s="1"/>
  <c r="DA162" i="31"/>
  <c r="DI162" i="31"/>
  <c r="DQ162" i="31" s="1"/>
  <c r="DF158" i="31"/>
  <c r="DN158" i="31"/>
  <c r="DV158" i="31" s="1"/>
  <c r="DE168" i="31"/>
  <c r="DM168" i="31"/>
  <c r="DU168" i="31" s="1"/>
  <c r="DG96" i="31"/>
  <c r="DO96" i="31"/>
  <c r="DW96" i="31" s="1"/>
  <c r="DG84" i="31"/>
  <c r="DO84" i="31"/>
  <c r="DW84" i="31" s="1"/>
  <c r="DE72" i="31"/>
  <c r="DM72" i="31"/>
  <c r="DU72" i="31" s="1"/>
  <c r="DA60" i="31"/>
  <c r="DI60" i="31"/>
  <c r="DQ60" i="31" s="1"/>
  <c r="DI175" i="31"/>
  <c r="DQ175" i="31" s="1"/>
  <c r="DA175" i="31"/>
  <c r="DC155" i="31"/>
  <c r="DK155" i="31"/>
  <c r="DS155" i="31" s="1"/>
  <c r="DB131" i="31"/>
  <c r="DJ131" i="31"/>
  <c r="DR131" i="31" s="1"/>
  <c r="DH127" i="31"/>
  <c r="DP127" i="31"/>
  <c r="DX127" i="31" s="1"/>
  <c r="DF115" i="31"/>
  <c r="DN115" i="31"/>
  <c r="DV115" i="31" s="1"/>
  <c r="DM111" i="31"/>
  <c r="DU111" i="31" s="1"/>
  <c r="DE111" i="31"/>
  <c r="DC107" i="31"/>
  <c r="DK107" i="31"/>
  <c r="DS107" i="31" s="1"/>
  <c r="DA83" i="31"/>
  <c r="DI83" i="31"/>
  <c r="DQ83" i="31" s="1"/>
  <c r="DC83" i="31"/>
  <c r="DK83" i="31"/>
  <c r="DS83" i="31" s="1"/>
  <c r="DF55" i="31"/>
  <c r="DN55" i="31"/>
  <c r="DV55" i="31" s="1"/>
  <c r="DA51" i="31"/>
  <c r="DI51" i="31"/>
  <c r="DQ51" i="31" s="1"/>
  <c r="DJ47" i="31"/>
  <c r="DR47" i="31" s="1"/>
  <c r="DB47" i="31"/>
  <c r="DF39" i="31"/>
  <c r="DN39" i="31"/>
  <c r="DV39" i="31" s="1"/>
  <c r="DG35" i="31"/>
  <c r="DO35" i="31"/>
  <c r="DW35" i="31" s="1"/>
  <c r="DD19" i="31"/>
  <c r="DL19" i="31"/>
  <c r="DT19" i="31" s="1"/>
  <c r="DD169" i="31"/>
  <c r="DL169" i="31"/>
  <c r="DT169" i="31" s="1"/>
  <c r="DH140" i="31"/>
  <c r="DP140" i="31"/>
  <c r="DX140" i="31" s="1"/>
  <c r="DE172" i="31"/>
  <c r="DM172" i="31"/>
  <c r="DU172" i="31" s="1"/>
  <c r="DG172" i="31"/>
  <c r="DO172" i="31"/>
  <c r="DW172" i="31" s="1"/>
  <c r="DA164" i="31"/>
  <c r="DI164" i="31"/>
  <c r="DQ164" i="31" s="1"/>
  <c r="DF152" i="31"/>
  <c r="DN152" i="31"/>
  <c r="DV152" i="31" s="1"/>
  <c r="DB116" i="31"/>
  <c r="DJ116" i="31"/>
  <c r="DR116" i="31" s="1"/>
  <c r="DB88" i="31"/>
  <c r="DJ88" i="31"/>
  <c r="DR88" i="31" s="1"/>
  <c r="DA40" i="31"/>
  <c r="DI40" i="31"/>
  <c r="DQ40" i="31" s="1"/>
  <c r="DD20" i="31"/>
  <c r="DL20" i="31"/>
  <c r="DT20" i="31" s="1"/>
  <c r="BL166" i="31"/>
  <c r="BC166" i="31"/>
  <c r="DB166" i="31"/>
  <c r="DJ166" i="31"/>
  <c r="DR166" i="31" s="1"/>
  <c r="DE162" i="31"/>
  <c r="DM162" i="31"/>
  <c r="DU162" i="31" s="1"/>
  <c r="DO156" i="31"/>
  <c r="DW156" i="31" s="1"/>
  <c r="DG156" i="31"/>
  <c r="DA144" i="31"/>
  <c r="DI144" i="31"/>
  <c r="DQ144" i="31" s="1"/>
  <c r="DF132" i="31"/>
  <c r="DN132" i="31"/>
  <c r="DV132" i="31" s="1"/>
  <c r="DC108" i="31"/>
  <c r="DK108" i="31"/>
  <c r="DS108" i="31" s="1"/>
  <c r="DB96" i="31"/>
  <c r="DJ96" i="31"/>
  <c r="DR96" i="31" s="1"/>
  <c r="DC167" i="31"/>
  <c r="DK167" i="31"/>
  <c r="DS167" i="31" s="1"/>
  <c r="DE155" i="31"/>
  <c r="DM155" i="31"/>
  <c r="DU155" i="31" s="1"/>
  <c r="DG139" i="31"/>
  <c r="DO139" i="31"/>
  <c r="DW139" i="31" s="1"/>
  <c r="DA135" i="31"/>
  <c r="DI135" i="31"/>
  <c r="DQ135" i="31" s="1"/>
  <c r="DF131" i="31"/>
  <c r="DN131" i="31"/>
  <c r="DV131" i="31" s="1"/>
  <c r="DI119" i="31"/>
  <c r="DQ119" i="31" s="1"/>
  <c r="DA119" i="31"/>
  <c r="DH115" i="31"/>
  <c r="DP115" i="31"/>
  <c r="DX115" i="31" s="1"/>
  <c r="DH83" i="31"/>
  <c r="DP83" i="31"/>
  <c r="DX83" i="31" s="1"/>
  <c r="DG71" i="31"/>
  <c r="DO71" i="31"/>
  <c r="DW71" i="31" s="1"/>
  <c r="DG124" i="31"/>
  <c r="DO124" i="31"/>
  <c r="DW124" i="31" s="1"/>
  <c r="DH28" i="31"/>
  <c r="DP28" i="31"/>
  <c r="DX28" i="31" s="1"/>
  <c r="DC90" i="31"/>
  <c r="DK90" i="31"/>
  <c r="DS90" i="31" s="1"/>
  <c r="DF78" i="31"/>
  <c r="DN78" i="31"/>
  <c r="DV78" i="31" s="1"/>
  <c r="DB74" i="31"/>
  <c r="DJ74" i="31"/>
  <c r="DR74" i="31" s="1"/>
  <c r="DD62" i="31"/>
  <c r="DL62" i="31"/>
  <c r="DT62" i="31" s="1"/>
  <c r="DF58" i="31"/>
  <c r="DN58" i="31"/>
  <c r="DV58" i="31" s="1"/>
  <c r="DD46" i="31"/>
  <c r="DL46" i="31"/>
  <c r="DT46" i="31" s="1"/>
  <c r="DF34" i="31"/>
  <c r="DN34" i="31"/>
  <c r="DV34" i="31" s="1"/>
  <c r="DB26" i="31"/>
  <c r="DJ26" i="31"/>
  <c r="DR26" i="31" s="1"/>
  <c r="DC22" i="31"/>
  <c r="DK22" i="31"/>
  <c r="DS22" i="31" s="1"/>
  <c r="DA14" i="31"/>
  <c r="DI14" i="31"/>
  <c r="DQ14" i="31" s="1"/>
  <c r="DF10" i="31"/>
  <c r="DN10" i="31"/>
  <c r="DV10" i="31" s="1"/>
  <c r="DE10" i="31"/>
  <c r="DM10" i="31"/>
  <c r="DU10" i="31" s="1"/>
  <c r="V167" i="31"/>
  <c r="AA167" i="31" s="1"/>
  <c r="W167" i="31"/>
  <c r="DH163" i="31"/>
  <c r="DP163" i="31"/>
  <c r="DX163" i="31" s="1"/>
  <c r="DD140" i="31"/>
  <c r="DL140" i="31"/>
  <c r="DT140" i="31" s="1"/>
  <c r="DF136" i="31"/>
  <c r="DN136" i="31"/>
  <c r="DV136" i="31" s="1"/>
  <c r="DG128" i="31"/>
  <c r="DO128" i="31"/>
  <c r="DW128" i="31" s="1"/>
  <c r="DI112" i="31"/>
  <c r="DQ112" i="31" s="1"/>
  <c r="DA112" i="31"/>
  <c r="DE92" i="31"/>
  <c r="DM92" i="31"/>
  <c r="DU92" i="31" s="1"/>
  <c r="DA68" i="31"/>
  <c r="DI68" i="31"/>
  <c r="DQ68" i="31" s="1"/>
  <c r="DH44" i="31"/>
  <c r="DP44" i="31"/>
  <c r="DX44" i="31" s="1"/>
  <c r="DC16" i="31"/>
  <c r="DK16" i="31"/>
  <c r="DS16" i="31" s="1"/>
  <c r="DA173" i="31"/>
  <c r="DI173" i="31"/>
  <c r="DQ173" i="31" s="1"/>
  <c r="DE161" i="31"/>
  <c r="DM161" i="31"/>
  <c r="DU161" i="31" s="1"/>
  <c r="DB149" i="31"/>
  <c r="DJ149" i="31"/>
  <c r="DR149" i="31" s="1"/>
  <c r="DE145" i="31"/>
  <c r="DM145" i="31"/>
  <c r="DU145" i="31" s="1"/>
  <c r="DA55" i="31"/>
  <c r="DI55" i="31"/>
  <c r="DQ55" i="31" s="1"/>
  <c r="DF15" i="31"/>
  <c r="DN15" i="31"/>
  <c r="DV15" i="31" s="1"/>
  <c r="DF140" i="31"/>
  <c r="DN140" i="31"/>
  <c r="DV140" i="31" s="1"/>
  <c r="DA146" i="31"/>
  <c r="DI146" i="31"/>
  <c r="DQ146" i="31" s="1"/>
  <c r="DB138" i="31"/>
  <c r="DJ138" i="31"/>
  <c r="DR138" i="31" s="1"/>
  <c r="DE134" i="31"/>
  <c r="DM134" i="31"/>
  <c r="DU134" i="31" s="1"/>
  <c r="DH63" i="31"/>
  <c r="DP63" i="31"/>
  <c r="DX63" i="31" s="1"/>
  <c r="DB59" i="31"/>
  <c r="DJ59" i="31"/>
  <c r="DR59" i="31" s="1"/>
  <c r="DF162" i="31"/>
  <c r="DN162" i="31"/>
  <c r="DV162" i="31" s="1"/>
  <c r="DO130" i="31"/>
  <c r="DW130" i="31" s="1"/>
  <c r="DG130" i="31"/>
  <c r="DM126" i="31"/>
  <c r="DU126" i="31" s="1"/>
  <c r="DE126" i="31"/>
  <c r="DH118" i="31"/>
  <c r="DP118" i="31"/>
  <c r="DX118" i="31" s="1"/>
  <c r="DH114" i="31"/>
  <c r="DP114" i="31"/>
  <c r="DX114" i="31" s="1"/>
  <c r="DM106" i="31"/>
  <c r="DU106" i="31" s="1"/>
  <c r="DE106" i="31"/>
  <c r="DF102" i="31"/>
  <c r="DN102" i="31"/>
  <c r="DV102" i="31" s="1"/>
  <c r="DF90" i="31"/>
  <c r="DN90" i="31"/>
  <c r="DV90" i="31" s="1"/>
  <c r="DE86" i="31"/>
  <c r="DM86" i="31"/>
  <c r="DU86" i="31" s="1"/>
  <c r="DF82" i="31"/>
  <c r="DN82" i="31"/>
  <c r="DV82" i="31" s="1"/>
  <c r="DD74" i="31"/>
  <c r="DL74" i="31"/>
  <c r="DT74" i="31" s="1"/>
  <c r="DG70" i="31"/>
  <c r="DO70" i="31"/>
  <c r="DW70" i="31" s="1"/>
  <c r="DE58" i="31"/>
  <c r="DM58" i="31"/>
  <c r="DU58" i="31" s="1"/>
  <c r="DD58" i="31"/>
  <c r="DL58" i="31"/>
  <c r="DT58" i="31" s="1"/>
  <c r="DF54" i="31"/>
  <c r="DN54" i="31"/>
  <c r="DV54" i="31" s="1"/>
  <c r="DH54" i="31"/>
  <c r="DP54" i="31"/>
  <c r="DX54" i="31" s="1"/>
  <c r="DF30" i="31"/>
  <c r="DN30" i="31"/>
  <c r="DV30" i="31" s="1"/>
  <c r="DC26" i="31"/>
  <c r="DK26" i="31"/>
  <c r="DS26" i="31" s="1"/>
  <c r="DE22" i="31"/>
  <c r="DM22" i="31"/>
  <c r="DU22" i="31" s="1"/>
  <c r="DA18" i="31"/>
  <c r="DI18" i="31"/>
  <c r="DQ18" i="31" s="1"/>
  <c r="DJ14" i="31"/>
  <c r="DR14" i="31" s="1"/>
  <c r="DB14" i="31"/>
  <c r="DG10" i="31"/>
  <c r="DO10" i="31"/>
  <c r="DW10" i="31" s="1"/>
  <c r="DH175" i="31"/>
  <c r="DP175" i="31"/>
  <c r="DX175" i="31" s="1"/>
  <c r="DC112" i="31"/>
  <c r="DK112" i="31"/>
  <c r="DS112" i="31" s="1"/>
  <c r="DA100" i="31"/>
  <c r="DI100" i="31"/>
  <c r="DQ100" i="31" s="1"/>
  <c r="DD80" i="31"/>
  <c r="DL80" i="31"/>
  <c r="DT80" i="31" s="1"/>
  <c r="DD56" i="31"/>
  <c r="DL56" i="31"/>
  <c r="DT56" i="31" s="1"/>
  <c r="DF44" i="31"/>
  <c r="DN44" i="31"/>
  <c r="DV44" i="31" s="1"/>
  <c r="DM24" i="31"/>
  <c r="DU24" i="31" s="1"/>
  <c r="DE24" i="31"/>
  <c r="DB43" i="31"/>
  <c r="DJ43" i="31"/>
  <c r="DR43" i="31" s="1"/>
  <c r="DH156" i="31"/>
  <c r="DP156" i="31"/>
  <c r="DX156" i="31" s="1"/>
  <c r="DD133" i="31"/>
  <c r="DL133" i="31"/>
  <c r="DT133" i="31" s="1"/>
  <c r="BL172" i="31"/>
  <c r="BC172" i="31"/>
  <c r="DB172" i="31"/>
  <c r="DJ172" i="31"/>
  <c r="DR172" i="31" s="1"/>
  <c r="DE12" i="31"/>
  <c r="DM12" i="31"/>
  <c r="DU12" i="31" s="1"/>
  <c r="DE174" i="31"/>
  <c r="DM174" i="31"/>
  <c r="DU174" i="31" s="1"/>
  <c r="DB146" i="31"/>
  <c r="DJ146" i="31"/>
  <c r="DR146" i="31" s="1"/>
  <c r="DB126" i="31"/>
  <c r="DJ126" i="31"/>
  <c r="DR126" i="31" s="1"/>
  <c r="DB122" i="31"/>
  <c r="DJ122" i="31"/>
  <c r="DR122" i="31" s="1"/>
  <c r="DB118" i="31"/>
  <c r="DJ118" i="31"/>
  <c r="DR118" i="31" s="1"/>
  <c r="DB114" i="31"/>
  <c r="DJ114" i="31"/>
  <c r="DR114" i="31" s="1"/>
  <c r="DB110" i="31"/>
  <c r="DJ110" i="31"/>
  <c r="DR110" i="31" s="1"/>
  <c r="DG86" i="31"/>
  <c r="DO86" i="31"/>
  <c r="DW86" i="31" s="1"/>
  <c r="DH74" i="31"/>
  <c r="DP74" i="31"/>
  <c r="DX74" i="31" s="1"/>
  <c r="DK62" i="31"/>
  <c r="DS62" i="31" s="1"/>
  <c r="DC62" i="31"/>
  <c r="DB42" i="31"/>
  <c r="DJ42" i="31"/>
  <c r="DR42" i="31" s="1"/>
  <c r="DA42" i="31"/>
  <c r="DI42" i="31"/>
  <c r="DQ42" i="31" s="1"/>
  <c r="DE38" i="31"/>
  <c r="DM38" i="31"/>
  <c r="DU38" i="31" s="1"/>
  <c r="DH30" i="31"/>
  <c r="DP30" i="31"/>
  <c r="DX30" i="31" s="1"/>
  <c r="DG26" i="31"/>
  <c r="DO26" i="31"/>
  <c r="DW26" i="31" s="1"/>
  <c r="DD10" i="31"/>
  <c r="DL10" i="31"/>
  <c r="DT10" i="31" s="1"/>
  <c r="DH155" i="31"/>
  <c r="DP155" i="31"/>
  <c r="DX155" i="31" s="1"/>
  <c r="DD132" i="31"/>
  <c r="DL132" i="31"/>
  <c r="DT132" i="31" s="1"/>
  <c r="DC160" i="31"/>
  <c r="DK160" i="31"/>
  <c r="DS160" i="31" s="1"/>
  <c r="DC128" i="31"/>
  <c r="DK128" i="31"/>
  <c r="DS128" i="31" s="1"/>
  <c r="DE128" i="31"/>
  <c r="DM128" i="31"/>
  <c r="DU128" i="31" s="1"/>
  <c r="DG112" i="31"/>
  <c r="DO112" i="31"/>
  <c r="DW112" i="31" s="1"/>
  <c r="DE80" i="31"/>
  <c r="DM80" i="31"/>
  <c r="DU80" i="31" s="1"/>
  <c r="DG68" i="31"/>
  <c r="DO68" i="31"/>
  <c r="DW68" i="31" s="1"/>
  <c r="DF56" i="31"/>
  <c r="DN56" i="31"/>
  <c r="DV56" i="31" s="1"/>
  <c r="DH56" i="31"/>
  <c r="DP56" i="31"/>
  <c r="DX56" i="31" s="1"/>
  <c r="DE36" i="31"/>
  <c r="DM36" i="31"/>
  <c r="DU36" i="31" s="1"/>
  <c r="DF173" i="31"/>
  <c r="DN173" i="31"/>
  <c r="DV173" i="31" s="1"/>
  <c r="DO165" i="31"/>
  <c r="DW165" i="31" s="1"/>
  <c r="DG165" i="31"/>
  <c r="DA161" i="31"/>
  <c r="DI161" i="31"/>
  <c r="DQ161" i="31" s="1"/>
  <c r="DF157" i="31"/>
  <c r="DN157" i="31"/>
  <c r="DV157" i="31" s="1"/>
  <c r="DO149" i="31"/>
  <c r="DW149" i="31" s="1"/>
  <c r="DG149" i="31"/>
  <c r="DA145" i="31"/>
  <c r="DI145" i="31"/>
  <c r="DQ145" i="31" s="1"/>
  <c r="DF141" i="31"/>
  <c r="DN141" i="31"/>
  <c r="DV141" i="31" s="1"/>
  <c r="DA129" i="31"/>
  <c r="DI129" i="31"/>
  <c r="DQ129" i="31" s="1"/>
  <c r="DA125" i="31"/>
  <c r="DI125" i="31"/>
  <c r="DQ125" i="31" s="1"/>
  <c r="DD117" i="31"/>
  <c r="DL117" i="31"/>
  <c r="DT117" i="31" s="1"/>
  <c r="DA113" i="31"/>
  <c r="DI113" i="31"/>
  <c r="DQ113" i="31" s="1"/>
  <c r="DD106" i="31"/>
  <c r="DL106" i="31"/>
  <c r="DT106" i="31" s="1"/>
  <c r="DH70" i="31"/>
  <c r="DP70" i="31"/>
  <c r="DX70" i="31" s="1"/>
  <c r="DL38" i="31"/>
  <c r="DT38" i="31" s="1"/>
  <c r="DD38" i="31"/>
  <c r="DH159" i="31"/>
  <c r="DP159" i="31"/>
  <c r="DX159" i="31" s="1"/>
  <c r="DG100" i="31"/>
  <c r="DO100" i="31"/>
  <c r="DW100" i="31" s="1"/>
  <c r="DN80" i="31"/>
  <c r="DV80" i="31" s="1"/>
  <c r="DF80" i="31"/>
  <c r="DA36" i="31"/>
  <c r="DI36" i="31"/>
  <c r="DQ36" i="31" s="1"/>
  <c r="V173" i="31"/>
  <c r="AA173" i="31" s="1"/>
  <c r="W173" i="31"/>
  <c r="DB113" i="31"/>
  <c r="DJ113" i="31"/>
  <c r="DR113" i="31" s="1"/>
  <c r="DA109" i="31"/>
  <c r="DI109" i="31"/>
  <c r="DQ109" i="31" s="1"/>
  <c r="DD105" i="31"/>
  <c r="DL105" i="31"/>
  <c r="DT105" i="31" s="1"/>
  <c r="DM97" i="31"/>
  <c r="DU97" i="31" s="1"/>
  <c r="DE97" i="31"/>
  <c r="DG93" i="31"/>
  <c r="DO93" i="31"/>
  <c r="DW93" i="31" s="1"/>
  <c r="DB89" i="31"/>
  <c r="DJ89" i="31"/>
  <c r="DR89" i="31" s="1"/>
  <c r="DF85" i="31"/>
  <c r="DN85" i="31"/>
  <c r="DV85" i="31" s="1"/>
  <c r="DE73" i="31"/>
  <c r="DM73" i="31"/>
  <c r="DU73" i="31" s="1"/>
  <c r="DF69" i="31"/>
  <c r="DN69" i="31"/>
  <c r="DV69" i="31" s="1"/>
  <c r="DA61" i="31"/>
  <c r="DI61" i="31"/>
  <c r="DQ61" i="31" s="1"/>
  <c r="DD61" i="31"/>
  <c r="DL61" i="31"/>
  <c r="DT61" i="31" s="1"/>
  <c r="DG45" i="31"/>
  <c r="DO45" i="31"/>
  <c r="DW45" i="31" s="1"/>
  <c r="DD41" i="31"/>
  <c r="DL41" i="31"/>
  <c r="DT41" i="31" s="1"/>
  <c r="DC37" i="31"/>
  <c r="DK37" i="31"/>
  <c r="DS37" i="31" s="1"/>
  <c r="DD33" i="31"/>
  <c r="DL33" i="31"/>
  <c r="DT33" i="31" s="1"/>
  <c r="DM29" i="31"/>
  <c r="DU29" i="31" s="1"/>
  <c r="DE29" i="31"/>
  <c r="DG25" i="31"/>
  <c r="DO25" i="31"/>
  <c r="DW25" i="31" s="1"/>
  <c r="DC21" i="31"/>
  <c r="DK21" i="31"/>
  <c r="DS21" i="31" s="1"/>
  <c r="DB9" i="31"/>
  <c r="DJ9" i="31"/>
  <c r="DR9" i="31" s="1"/>
  <c r="BP172" i="31"/>
  <c r="CI172" i="31"/>
  <c r="DH150" i="31"/>
  <c r="DP150" i="31"/>
  <c r="DX150" i="31" s="1"/>
  <c r="DD110" i="31"/>
  <c r="DL110" i="31"/>
  <c r="DT110" i="31" s="1"/>
  <c r="DD86" i="31"/>
  <c r="DL86" i="31"/>
  <c r="DT86" i="31" s="1"/>
  <c r="DG82" i="31"/>
  <c r="DO82" i="31"/>
  <c r="DW82" i="31" s="1"/>
  <c r="DK58" i="31"/>
  <c r="DS58" i="31" s="1"/>
  <c r="DC58" i="31"/>
  <c r="DC18" i="31"/>
  <c r="DK18" i="31"/>
  <c r="DS18" i="31" s="1"/>
  <c r="DF128" i="31"/>
  <c r="DN128" i="31"/>
  <c r="DV128" i="31" s="1"/>
  <c r="DG44" i="31"/>
  <c r="DO44" i="31"/>
  <c r="DW44" i="31" s="1"/>
  <c r="DE125" i="31"/>
  <c r="DM125" i="31"/>
  <c r="DU125" i="31" s="1"/>
  <c r="DH117" i="31"/>
  <c r="DP117" i="31"/>
  <c r="DX117" i="31" s="1"/>
  <c r="DE109" i="31"/>
  <c r="DM109" i="31"/>
  <c r="DU109" i="31" s="1"/>
  <c r="DD93" i="31"/>
  <c r="DL93" i="31"/>
  <c r="DT93" i="31" s="1"/>
  <c r="DD85" i="31"/>
  <c r="DL85" i="31"/>
  <c r="DT85" i="31" s="1"/>
  <c r="DG81" i="31"/>
  <c r="DO81" i="31"/>
  <c r="DW81" i="31" s="1"/>
  <c r="DD69" i="31"/>
  <c r="DL69" i="31"/>
  <c r="DT69" i="31" s="1"/>
  <c r="DG65" i="31"/>
  <c r="DO65" i="31"/>
  <c r="DW65" i="31" s="1"/>
  <c r="DD45" i="31"/>
  <c r="DL45" i="31"/>
  <c r="DT45" i="31" s="1"/>
  <c r="DC29" i="31"/>
  <c r="DK29" i="31"/>
  <c r="DS29" i="31" s="1"/>
  <c r="DB25" i="31"/>
  <c r="DJ25" i="31"/>
  <c r="DR25" i="31" s="1"/>
  <c r="V166" i="31"/>
  <c r="AA166" i="31" s="1"/>
  <c r="W166" i="31"/>
  <c r="DH162" i="31"/>
  <c r="DP162" i="31"/>
  <c r="DX162" i="31" s="1"/>
  <c r="DH130" i="31"/>
  <c r="DP130" i="31"/>
  <c r="DX130" i="31" s="1"/>
  <c r="DD13" i="31"/>
  <c r="DL13" i="31"/>
  <c r="DT13" i="31" s="1"/>
  <c r="DA9" i="31"/>
  <c r="DI9" i="31"/>
  <c r="DQ9" i="31" s="1"/>
  <c r="DD147" i="31"/>
  <c r="DL147" i="31"/>
  <c r="DT147" i="31" s="1"/>
  <c r="DA114" i="31"/>
  <c r="DI114" i="31"/>
  <c r="DQ114" i="31" s="1"/>
  <c r="DC98" i="31"/>
  <c r="DK98" i="31"/>
  <c r="DS98" i="31" s="1"/>
  <c r="DM94" i="31"/>
  <c r="DU94" i="31" s="1"/>
  <c r="DE94" i="31"/>
  <c r="DB30" i="31"/>
  <c r="DJ30" i="31"/>
  <c r="DR30" i="31" s="1"/>
  <c r="DC136" i="31"/>
  <c r="DK136" i="31"/>
  <c r="DS136" i="31" s="1"/>
  <c r="DE56" i="31"/>
  <c r="DM56" i="31"/>
  <c r="DU56" i="31" s="1"/>
  <c r="DF8" i="31"/>
  <c r="DN8" i="31"/>
  <c r="DV8" i="31" s="1"/>
  <c r="DH8" i="31"/>
  <c r="DP8" i="31"/>
  <c r="DX8" i="31" s="1"/>
  <c r="DC169" i="31"/>
  <c r="DK169" i="31"/>
  <c r="DS169" i="31" s="1"/>
  <c r="DB161" i="31"/>
  <c r="DJ161" i="31"/>
  <c r="DR161" i="31" s="1"/>
  <c r="DF133" i="31"/>
  <c r="DN133" i="31"/>
  <c r="DV133" i="31" s="1"/>
  <c r="DC117" i="31"/>
  <c r="DK117" i="31"/>
  <c r="DS117" i="31" s="1"/>
  <c r="DE85" i="31"/>
  <c r="DM85" i="31"/>
  <c r="DU85" i="31" s="1"/>
  <c r="DE77" i="31"/>
  <c r="DM77" i="31"/>
  <c r="DU77" i="31" s="1"/>
  <c r="DE69" i="31"/>
  <c r="DM69" i="31"/>
  <c r="DU69" i="31" s="1"/>
  <c r="DG49" i="31"/>
  <c r="DO49" i="31"/>
  <c r="DW49" i="31" s="1"/>
  <c r="DB37" i="31"/>
  <c r="DJ37" i="31"/>
  <c r="DR37" i="31" s="1"/>
  <c r="DE21" i="31"/>
  <c r="DM21" i="31"/>
  <c r="DU21" i="31" s="1"/>
  <c r="DH158" i="31"/>
  <c r="DP158" i="31"/>
  <c r="DX158" i="31" s="1"/>
  <c r="DF126" i="31"/>
  <c r="DN126" i="31"/>
  <c r="DV126" i="31" s="1"/>
  <c r="DK130" i="31"/>
  <c r="DS130" i="31" s="1"/>
  <c r="DC130" i="31"/>
  <c r="DD122" i="31"/>
  <c r="DL122" i="31"/>
  <c r="DT122" i="31" s="1"/>
  <c r="DE46" i="31"/>
  <c r="DM46" i="31"/>
  <c r="DU46" i="31" s="1"/>
  <c r="DH68" i="31"/>
  <c r="DP68" i="31"/>
  <c r="DX68" i="31" s="1"/>
  <c r="DD24" i="31"/>
  <c r="DL24" i="31"/>
  <c r="DT24" i="31" s="1"/>
  <c r="DE16" i="31"/>
  <c r="DM16" i="31"/>
  <c r="DU16" i="31" s="1"/>
  <c r="DF129" i="31"/>
  <c r="DN129" i="31"/>
  <c r="DV129" i="31" s="1"/>
  <c r="DF125" i="31"/>
  <c r="DN125" i="31"/>
  <c r="DV125" i="31" s="1"/>
  <c r="DG113" i="31"/>
  <c r="DO113" i="31"/>
  <c r="DW113" i="31" s="1"/>
  <c r="DF109" i="31"/>
  <c r="DN109" i="31"/>
  <c r="DV109" i="31" s="1"/>
  <c r="DB101" i="31"/>
  <c r="DJ101" i="31"/>
  <c r="DR101" i="31" s="1"/>
  <c r="DA81" i="31"/>
  <c r="DI81" i="31"/>
  <c r="DQ81" i="31" s="1"/>
  <c r="DJ77" i="31"/>
  <c r="DR77" i="31" s="1"/>
  <c r="DB77" i="31"/>
  <c r="DA65" i="31"/>
  <c r="DI65" i="31"/>
  <c r="DQ65" i="31" s="1"/>
  <c r="DF61" i="31"/>
  <c r="DN61" i="31"/>
  <c r="DV61" i="31" s="1"/>
  <c r="DH57" i="31"/>
  <c r="DP57" i="31"/>
  <c r="DX57" i="31" s="1"/>
  <c r="DB53" i="31"/>
  <c r="DJ53" i="31"/>
  <c r="DR53" i="31" s="1"/>
  <c r="DB45" i="31"/>
  <c r="DJ45" i="31"/>
  <c r="DR45" i="31" s="1"/>
  <c r="DG33" i="31"/>
  <c r="DO33" i="31"/>
  <c r="DW33" i="31" s="1"/>
  <c r="DA29" i="31"/>
  <c r="DI29" i="31"/>
  <c r="DQ29" i="31" s="1"/>
  <c r="DC25" i="31"/>
  <c r="DK25" i="31"/>
  <c r="DS25" i="31" s="1"/>
  <c r="DG9" i="31"/>
  <c r="DO9" i="31"/>
  <c r="DW9" i="31" s="1"/>
  <c r="DD131" i="31"/>
  <c r="DL131" i="31"/>
  <c r="DT131" i="31" s="1"/>
  <c r="V168" i="31"/>
  <c r="AA168" i="31" s="1"/>
  <c r="W168" i="31"/>
  <c r="DO144" i="31"/>
  <c r="DW144" i="31" s="1"/>
  <c r="DG144" i="31"/>
  <c r="DA132" i="31"/>
  <c r="DI132" i="31"/>
  <c r="DQ132" i="31" s="1"/>
  <c r="DD108" i="31"/>
  <c r="DL108" i="31"/>
  <c r="DT108" i="31" s="1"/>
  <c r="DE96" i="31"/>
  <c r="DM96" i="31"/>
  <c r="DU96" i="31" s="1"/>
  <c r="DH84" i="31"/>
  <c r="DP84" i="31"/>
  <c r="DX84" i="31" s="1"/>
  <c r="DB60" i="31"/>
  <c r="DJ60" i="31"/>
  <c r="DR60" i="31" s="1"/>
  <c r="DD60" i="31"/>
  <c r="DL60" i="31"/>
  <c r="DT60" i="31" s="1"/>
  <c r="DE167" i="31"/>
  <c r="DM167" i="31"/>
  <c r="DU167" i="31" s="1"/>
  <c r="DG151" i="31"/>
  <c r="DO151" i="31"/>
  <c r="DW151" i="31" s="1"/>
  <c r="DA147" i="31"/>
  <c r="DI147" i="31"/>
  <c r="DQ147" i="31" s="1"/>
  <c r="DF143" i="31"/>
  <c r="DN143" i="31"/>
  <c r="DV143" i="31" s="1"/>
  <c r="DF123" i="31"/>
  <c r="DN123" i="31"/>
  <c r="DV123" i="31" s="1"/>
  <c r="DD107" i="31"/>
  <c r="DL107" i="31"/>
  <c r="DT107" i="31" s="1"/>
  <c r="DC95" i="31"/>
  <c r="DK95" i="31"/>
  <c r="DS95" i="31" s="1"/>
  <c r="DB91" i="31"/>
  <c r="DJ91" i="31"/>
  <c r="DR91" i="31" s="1"/>
  <c r="DI87" i="31"/>
  <c r="DQ87" i="31" s="1"/>
  <c r="DA87" i="31"/>
  <c r="DB83" i="31"/>
  <c r="DJ83" i="31"/>
  <c r="DR83" i="31" s="1"/>
  <c r="DA79" i="31"/>
  <c r="DI79" i="31"/>
  <c r="DQ79" i="31" s="1"/>
  <c r="DC79" i="31"/>
  <c r="DK79" i="31"/>
  <c r="DS79" i="31" s="1"/>
  <c r="DG63" i="31"/>
  <c r="DO63" i="31"/>
  <c r="DW63" i="31" s="1"/>
  <c r="DG51" i="31"/>
  <c r="DO51" i="31"/>
  <c r="DW51" i="31" s="1"/>
  <c r="DF43" i="31"/>
  <c r="DN43" i="31"/>
  <c r="DV43" i="31" s="1"/>
  <c r="DC23" i="31"/>
  <c r="DK23" i="31"/>
  <c r="DS23" i="31" s="1"/>
  <c r="DA15" i="31"/>
  <c r="DI15" i="31"/>
  <c r="DQ15" i="31" s="1"/>
  <c r="DF11" i="31"/>
  <c r="DN11" i="31"/>
  <c r="DV11" i="31" s="1"/>
  <c r="DD141" i="31"/>
  <c r="DL141" i="31"/>
  <c r="DT141" i="31" s="1"/>
  <c r="DF172" i="31"/>
  <c r="DN172" i="31"/>
  <c r="DV172" i="31" s="1"/>
  <c r="DE152" i="31"/>
  <c r="DM152" i="31"/>
  <c r="DU152" i="31" s="1"/>
  <c r="DB124" i="31"/>
  <c r="DJ124" i="31"/>
  <c r="DR124" i="31" s="1"/>
  <c r="DC88" i="31"/>
  <c r="DK88" i="31"/>
  <c r="DS88" i="31" s="1"/>
  <c r="DB52" i="31"/>
  <c r="DJ52" i="31"/>
  <c r="DR52" i="31" s="1"/>
  <c r="BL174" i="31"/>
  <c r="BC174" i="31"/>
  <c r="DB174" i="31"/>
  <c r="DJ174" i="31"/>
  <c r="DR174" i="31" s="1"/>
  <c r="DI108" i="31"/>
  <c r="DQ108" i="31" s="1"/>
  <c r="DA108" i="31"/>
  <c r="DC96" i="31"/>
  <c r="DK96" i="31"/>
  <c r="DS96" i="31" s="1"/>
  <c r="BL167" i="31"/>
  <c r="BC167" i="31"/>
  <c r="DB167" i="31"/>
  <c r="DJ167" i="31"/>
  <c r="DR167" i="31" s="1"/>
  <c r="DE163" i="31"/>
  <c r="DM163" i="31"/>
  <c r="DU163" i="31" s="1"/>
  <c r="DG163" i="31"/>
  <c r="DO163" i="31"/>
  <c r="DW163" i="31" s="1"/>
  <c r="DA159" i="31"/>
  <c r="DI159" i="31"/>
  <c r="DQ159" i="31" s="1"/>
  <c r="DF155" i="31"/>
  <c r="DN155" i="31"/>
  <c r="DV155" i="31" s="1"/>
  <c r="DB127" i="31"/>
  <c r="DJ127" i="31"/>
  <c r="DR127" i="31" s="1"/>
  <c r="DD111" i="31"/>
  <c r="DL111" i="31"/>
  <c r="DT111" i="31" s="1"/>
  <c r="DN83" i="31"/>
  <c r="DV83" i="31" s="1"/>
  <c r="DF83" i="31"/>
  <c r="DN75" i="31"/>
  <c r="DV75" i="31" s="1"/>
  <c r="DF75" i="31"/>
  <c r="DN67" i="31"/>
  <c r="DV67" i="31" s="1"/>
  <c r="DF67" i="31"/>
  <c r="DC59" i="31"/>
  <c r="DK59" i="31"/>
  <c r="DS59" i="31" s="1"/>
  <c r="DE47" i="31"/>
  <c r="DM47" i="31"/>
  <c r="DU47" i="31" s="1"/>
  <c r="DL39" i="31"/>
  <c r="DT39" i="31" s="1"/>
  <c r="DD39" i="31"/>
  <c r="DE31" i="31"/>
  <c r="DM31" i="31"/>
  <c r="DU31" i="31" s="1"/>
  <c r="DN19" i="31"/>
  <c r="DV19" i="31" s="1"/>
  <c r="DF19" i="31"/>
  <c r="DD157" i="31"/>
  <c r="DL157" i="31"/>
  <c r="DT157" i="31" s="1"/>
  <c r="DE124" i="31"/>
  <c r="DM124" i="31"/>
  <c r="DU124" i="31" s="1"/>
  <c r="DG116" i="31"/>
  <c r="DO116" i="31"/>
  <c r="DW116" i="31" s="1"/>
  <c r="DA64" i="31"/>
  <c r="DI64" i="31"/>
  <c r="DQ64" i="31" s="1"/>
  <c r="DC52" i="31"/>
  <c r="DK52" i="31"/>
  <c r="DS52" i="31" s="1"/>
  <c r="DG28" i="31"/>
  <c r="DO28" i="31"/>
  <c r="DW28" i="31" s="1"/>
  <c r="DG20" i="31"/>
  <c r="DO20" i="31"/>
  <c r="DW20" i="31" s="1"/>
  <c r="BL170" i="31"/>
  <c r="BC170" i="31"/>
  <c r="DB170" i="31"/>
  <c r="DJ170" i="31"/>
  <c r="DR170" i="31" s="1"/>
  <c r="DE166" i="31"/>
  <c r="DM166" i="31"/>
  <c r="DU166" i="31" s="1"/>
  <c r="DC156" i="31"/>
  <c r="DK156" i="31"/>
  <c r="DS156" i="31" s="1"/>
  <c r="DH72" i="31"/>
  <c r="DP72" i="31"/>
  <c r="DX72" i="31" s="1"/>
  <c r="DH60" i="31"/>
  <c r="DP60" i="31"/>
  <c r="DX60" i="31" s="1"/>
  <c r="DK171" i="31"/>
  <c r="DS171" i="31" s="1"/>
  <c r="DC171" i="31"/>
  <c r="DB147" i="31"/>
  <c r="DJ147" i="31"/>
  <c r="DR147" i="31" s="1"/>
  <c r="DE143" i="31"/>
  <c r="DM143" i="31"/>
  <c r="DU143" i="31" s="1"/>
  <c r="DA139" i="31"/>
  <c r="DI139" i="31"/>
  <c r="DQ139" i="31" s="1"/>
  <c r="DF135" i="31"/>
  <c r="DN135" i="31"/>
  <c r="DV135" i="31" s="1"/>
  <c r="DD115" i="31"/>
  <c r="DL115" i="31"/>
  <c r="DT115" i="31" s="1"/>
  <c r="DI103" i="31"/>
  <c r="DQ103" i="31" s="1"/>
  <c r="DA103" i="31"/>
  <c r="DC99" i="31"/>
  <c r="DK99" i="31"/>
  <c r="DS99" i="31" s="1"/>
  <c r="DI95" i="31"/>
  <c r="DQ95" i="31" s="1"/>
  <c r="DA95" i="31"/>
  <c r="DC91" i="31"/>
  <c r="DK91" i="31"/>
  <c r="DS91" i="31" s="1"/>
  <c r="DD83" i="31"/>
  <c r="DL83" i="31"/>
  <c r="DT83" i="31" s="1"/>
  <c r="DG79" i="31"/>
  <c r="DO79" i="31"/>
  <c r="DW79" i="31" s="1"/>
  <c r="DB71" i="31"/>
  <c r="DJ71" i="31"/>
  <c r="DR71" i="31" s="1"/>
  <c r="DA67" i="31"/>
  <c r="DI67" i="31"/>
  <c r="DQ67" i="31" s="1"/>
  <c r="DC67" i="31"/>
  <c r="DK67" i="31"/>
  <c r="DS67" i="31" s="1"/>
  <c r="DF63" i="31"/>
  <c r="DN63" i="31"/>
  <c r="DV63" i="31" s="1"/>
  <c r="DD51" i="31"/>
  <c r="DL51" i="31"/>
  <c r="DT51" i="31" s="1"/>
  <c r="DG47" i="31"/>
  <c r="DO47" i="31"/>
  <c r="DW47" i="31" s="1"/>
  <c r="DE35" i="31"/>
  <c r="DM35" i="31"/>
  <c r="DU35" i="31" s="1"/>
  <c r="DC27" i="31"/>
  <c r="DK27" i="31"/>
  <c r="DS27" i="31" s="1"/>
  <c r="DA23" i="31"/>
  <c r="DI23" i="31"/>
  <c r="DQ23" i="31" s="1"/>
  <c r="DH144" i="31"/>
  <c r="DP144" i="31"/>
  <c r="DX144" i="31" s="1"/>
  <c r="DD116" i="31"/>
  <c r="DL116" i="31"/>
  <c r="DT116" i="31" s="1"/>
  <c r="DD88" i="31"/>
  <c r="DL88" i="31"/>
  <c r="DT88" i="31" s="1"/>
  <c r="DE64" i="31"/>
  <c r="DM64" i="31"/>
  <c r="DU64" i="31" s="1"/>
  <c r="DA28" i="31"/>
  <c r="DI28" i="31"/>
  <c r="DQ28" i="31" s="1"/>
  <c r="DA12" i="31"/>
  <c r="DI12" i="31"/>
  <c r="DQ12" i="31" s="1"/>
  <c r="DA174" i="31"/>
  <c r="DI174" i="31"/>
  <c r="DQ174" i="31" s="1"/>
  <c r="DF170" i="31"/>
  <c r="DN170" i="31"/>
  <c r="DV170" i="31" s="1"/>
  <c r="DK158" i="31"/>
  <c r="DS158" i="31" s="1"/>
  <c r="DC158" i="31"/>
  <c r="DB150" i="31"/>
  <c r="DJ150" i="31"/>
  <c r="DR150" i="31" s="1"/>
  <c r="DE146" i="31"/>
  <c r="DM146" i="31"/>
  <c r="DU146" i="31" s="1"/>
  <c r="DE156" i="31"/>
  <c r="DM156" i="31"/>
  <c r="DU156" i="31" s="1"/>
  <c r="DF120" i="31"/>
  <c r="DN120" i="31"/>
  <c r="DV120" i="31" s="1"/>
  <c r="DD96" i="31"/>
  <c r="DL96" i="31"/>
  <c r="DT96" i="31" s="1"/>
  <c r="DA84" i="31"/>
  <c r="DI84" i="31"/>
  <c r="DQ84" i="31" s="1"/>
  <c r="DJ72" i="31"/>
  <c r="DR72" i="31" s="1"/>
  <c r="DB72" i="31"/>
  <c r="DB159" i="31"/>
  <c r="DJ159" i="31"/>
  <c r="DR159" i="31" s="1"/>
  <c r="DK151" i="31"/>
  <c r="DS151" i="31" s="1"/>
  <c r="DC151" i="31"/>
  <c r="DE139" i="31"/>
  <c r="DM139" i="31"/>
  <c r="DU139" i="31" s="1"/>
  <c r="DG123" i="31"/>
  <c r="DO123" i="31"/>
  <c r="DW123" i="31" s="1"/>
  <c r="DF119" i="31"/>
  <c r="DN119" i="31"/>
  <c r="DV119" i="31" s="1"/>
  <c r="DH103" i="31"/>
  <c r="DP103" i="31"/>
  <c r="DX103" i="31" s="1"/>
  <c r="DF99" i="31"/>
  <c r="DN99" i="31"/>
  <c r="DV99" i="31" s="1"/>
  <c r="DH95" i="31"/>
  <c r="DP95" i="31"/>
  <c r="DX95" i="31" s="1"/>
  <c r="DF91" i="31"/>
  <c r="DN91" i="31"/>
  <c r="DV91" i="31" s="1"/>
  <c r="DF87" i="31"/>
  <c r="DN87" i="31"/>
  <c r="DV87" i="31" s="1"/>
  <c r="DN79" i="31"/>
  <c r="DV79" i="31" s="1"/>
  <c r="DF79" i="31"/>
  <c r="DE67" i="31"/>
  <c r="DM67" i="31"/>
  <c r="DU67" i="31" s="1"/>
  <c r="DH55" i="31"/>
  <c r="DP55" i="31"/>
  <c r="DX55" i="31" s="1"/>
  <c r="DF47" i="31"/>
  <c r="DN47" i="31"/>
  <c r="DV47" i="31" s="1"/>
  <c r="DB11" i="31"/>
  <c r="DJ11" i="31"/>
  <c r="DR11" i="31" s="1"/>
  <c r="DE116" i="31"/>
  <c r="DM116" i="31"/>
  <c r="DU116" i="31" s="1"/>
  <c r="DB40" i="31"/>
  <c r="DJ40" i="31"/>
  <c r="DR40" i="31" s="1"/>
  <c r="DE20" i="31"/>
  <c r="DM20" i="31"/>
  <c r="DU20" i="31" s="1"/>
  <c r="DO154" i="31"/>
  <c r="DW154" i="31" s="1"/>
  <c r="DG154" i="31"/>
  <c r="DA150" i="31"/>
  <c r="DI150" i="31"/>
  <c r="DQ150" i="31" s="1"/>
  <c r="DF146" i="31"/>
  <c r="DN146" i="31"/>
  <c r="DV146" i="31" s="1"/>
  <c r="DG138" i="31"/>
  <c r="DO138" i="31"/>
  <c r="DW138" i="31" s="1"/>
  <c r="DA134" i="31"/>
  <c r="DI134" i="31"/>
  <c r="DQ134" i="31" s="1"/>
  <c r="DF130" i="31"/>
  <c r="DN130" i="31"/>
  <c r="DV130" i="31" s="1"/>
  <c r="DG122" i="31"/>
  <c r="DO122" i="31"/>
  <c r="DW122" i="31" s="1"/>
  <c r="DG114" i="31"/>
  <c r="DO114" i="31"/>
  <c r="DW114" i="31" s="1"/>
  <c r="DC102" i="31"/>
  <c r="DK102" i="31"/>
  <c r="DS102" i="31" s="1"/>
  <c r="DM98" i="31"/>
  <c r="DU98" i="31" s="1"/>
  <c r="DE98" i="31"/>
  <c r="DI94" i="31"/>
  <c r="DQ94" i="31" s="1"/>
  <c r="DA94" i="31"/>
  <c r="DE82" i="31"/>
  <c r="DM82" i="31"/>
  <c r="DU82" i="31" s="1"/>
  <c r="DC78" i="31"/>
  <c r="DK78" i="31"/>
  <c r="DS78" i="31" s="1"/>
  <c r="DG74" i="31"/>
  <c r="DO74" i="31"/>
  <c r="DW74" i="31" s="1"/>
  <c r="DE62" i="31"/>
  <c r="DM62" i="31"/>
  <c r="DU62" i="31" s="1"/>
  <c r="DH58" i="31"/>
  <c r="DP58" i="31"/>
  <c r="DX58" i="31" s="1"/>
  <c r="DG54" i="31"/>
  <c r="DO54" i="31"/>
  <c r="DW54" i="31" s="1"/>
  <c r="DJ50" i="31"/>
  <c r="DR50" i="31" s="1"/>
  <c r="DB50" i="31"/>
  <c r="DD26" i="31"/>
  <c r="DL26" i="31"/>
  <c r="DT26" i="31" s="1"/>
  <c r="DD14" i="31"/>
  <c r="DL14" i="31"/>
  <c r="DT14" i="31" s="1"/>
  <c r="DD144" i="31"/>
  <c r="DL144" i="31"/>
  <c r="DT144" i="31" s="1"/>
  <c r="DF114" i="31"/>
  <c r="DN114" i="31"/>
  <c r="DV114" i="31" s="1"/>
  <c r="DO160" i="31"/>
  <c r="DW160" i="31" s="1"/>
  <c r="DG160" i="31"/>
  <c r="DA148" i="31"/>
  <c r="DI148" i="31"/>
  <c r="DQ148" i="31" s="1"/>
  <c r="DB112" i="31"/>
  <c r="DJ112" i="31"/>
  <c r="DR112" i="31" s="1"/>
  <c r="DJ80" i="31"/>
  <c r="DR80" i="31" s="1"/>
  <c r="DB80" i="31"/>
  <c r="DD68" i="31"/>
  <c r="DL68" i="31"/>
  <c r="DT68" i="31" s="1"/>
  <c r="DC56" i="31"/>
  <c r="DK56" i="31"/>
  <c r="DS56" i="31" s="1"/>
  <c r="DC36" i="31"/>
  <c r="DK36" i="31"/>
  <c r="DS36" i="31" s="1"/>
  <c r="DA16" i="31"/>
  <c r="DI16" i="31"/>
  <c r="DQ16" i="31" s="1"/>
  <c r="DL8" i="31"/>
  <c r="DT8" i="31" s="1"/>
  <c r="DD8" i="31"/>
  <c r="V169" i="31"/>
  <c r="AA169" i="31" s="1"/>
  <c r="W169" i="31"/>
  <c r="DB165" i="31"/>
  <c r="DJ165" i="31"/>
  <c r="DR165" i="31" s="1"/>
  <c r="DC157" i="31"/>
  <c r="DK157" i="31"/>
  <c r="DS157" i="31" s="1"/>
  <c r="DC141" i="31"/>
  <c r="DK141" i="31"/>
  <c r="DS141" i="31" s="1"/>
  <c r="DN71" i="31"/>
  <c r="DV71" i="31" s="1"/>
  <c r="DF71" i="31"/>
  <c r="DA39" i="31"/>
  <c r="DI39" i="31"/>
  <c r="DQ39" i="31" s="1"/>
  <c r="DC15" i="31"/>
  <c r="DK15" i="31"/>
  <c r="DS15" i="31" s="1"/>
  <c r="DC64" i="31"/>
  <c r="DK64" i="31"/>
  <c r="DS64" i="31" s="1"/>
  <c r="DF48" i="31"/>
  <c r="DN48" i="31"/>
  <c r="DV48" i="31" s="1"/>
  <c r="DK170" i="31"/>
  <c r="DS170" i="31" s="1"/>
  <c r="DC170" i="31"/>
  <c r="DE154" i="31"/>
  <c r="DM154" i="31"/>
  <c r="DU154" i="31" s="1"/>
  <c r="DA43" i="31"/>
  <c r="DI43" i="31"/>
  <c r="DQ43" i="31" s="1"/>
  <c r="DG27" i="31"/>
  <c r="DO27" i="31"/>
  <c r="DW27" i="31" s="1"/>
  <c r="DH23" i="31"/>
  <c r="DP23" i="31"/>
  <c r="DX23" i="31" s="1"/>
  <c r="DG164" i="31"/>
  <c r="DO164" i="31"/>
  <c r="DW164" i="31" s="1"/>
  <c r="DA152" i="31"/>
  <c r="DI152" i="31"/>
  <c r="DQ152" i="31" s="1"/>
  <c r="DN64" i="31"/>
  <c r="DV64" i="31" s="1"/>
  <c r="DF64" i="31"/>
  <c r="DA166" i="31"/>
  <c r="DI166" i="31"/>
  <c r="DQ166" i="31" s="1"/>
  <c r="DB158" i="31"/>
  <c r="DJ158" i="31"/>
  <c r="DR158" i="31" s="1"/>
  <c r="DK142" i="31"/>
  <c r="DS142" i="31" s="1"/>
  <c r="DC142" i="31"/>
  <c r="DM122" i="31"/>
  <c r="DU122" i="31" s="1"/>
  <c r="DE122" i="31"/>
  <c r="DM110" i="31"/>
  <c r="DU110" i="31" s="1"/>
  <c r="DE110" i="31"/>
  <c r="DD102" i="31"/>
  <c r="DL102" i="31"/>
  <c r="DT102" i="31" s="1"/>
  <c r="DD90" i="31"/>
  <c r="DL90" i="31"/>
  <c r="DT90" i="31" s="1"/>
  <c r="DH86" i="31"/>
  <c r="DP86" i="31"/>
  <c r="DX86" i="31" s="1"/>
  <c r="DC82" i="31"/>
  <c r="DK82" i="31"/>
  <c r="DS82" i="31" s="1"/>
  <c r="DA66" i="31"/>
  <c r="DI66" i="31"/>
  <c r="DQ66" i="31" s="1"/>
  <c r="DA50" i="31"/>
  <c r="DI50" i="31"/>
  <c r="DQ50" i="31" s="1"/>
  <c r="DJ46" i="31"/>
  <c r="DR46" i="31" s="1"/>
  <c r="DB46" i="31"/>
  <c r="DF38" i="31"/>
  <c r="DN38" i="31"/>
  <c r="DV38" i="31" s="1"/>
  <c r="DG34" i="31"/>
  <c r="DO34" i="31"/>
  <c r="DW34" i="31" s="1"/>
  <c r="DA30" i="31"/>
  <c r="DI30" i="31"/>
  <c r="DQ30" i="31" s="1"/>
  <c r="DD18" i="31"/>
  <c r="DL18" i="31"/>
  <c r="DT18" i="31" s="1"/>
  <c r="DG14" i="31"/>
  <c r="DO14" i="31"/>
  <c r="DW14" i="31" s="1"/>
  <c r="DA10" i="31"/>
  <c r="DI10" i="31"/>
  <c r="DQ10" i="31" s="1"/>
  <c r="DD136" i="31"/>
  <c r="DL136" i="31"/>
  <c r="DT136" i="31" s="1"/>
  <c r="DB128" i="31"/>
  <c r="DJ128" i="31"/>
  <c r="DR128" i="31" s="1"/>
  <c r="DB100" i="31"/>
  <c r="DJ100" i="31"/>
  <c r="DR100" i="31" s="1"/>
  <c r="DC44" i="31"/>
  <c r="DK44" i="31"/>
  <c r="DS44" i="31" s="1"/>
  <c r="DB24" i="31"/>
  <c r="DJ24" i="31"/>
  <c r="DR24" i="31" s="1"/>
  <c r="DN16" i="31"/>
  <c r="DV16" i="31" s="1"/>
  <c r="DF16" i="31"/>
  <c r="DC8" i="31"/>
  <c r="DK8" i="31"/>
  <c r="DS8" i="31" s="1"/>
  <c r="DE169" i="31"/>
  <c r="DM169" i="31"/>
  <c r="DU169" i="31" s="1"/>
  <c r="DK165" i="31"/>
  <c r="DS165" i="31" s="1"/>
  <c r="DC165" i="31"/>
  <c r="DE153" i="31"/>
  <c r="DM153" i="31"/>
  <c r="DU153" i="31" s="1"/>
  <c r="DK149" i="31"/>
  <c r="DS149" i="31" s="1"/>
  <c r="DC149" i="31"/>
  <c r="DG31" i="31"/>
  <c r="DO31" i="31"/>
  <c r="DW31" i="31" s="1"/>
  <c r="DH160" i="31"/>
  <c r="DP160" i="31"/>
  <c r="DX160" i="31" s="1"/>
  <c r="DD137" i="31"/>
  <c r="DL137" i="31"/>
  <c r="DT137" i="31" s="1"/>
  <c r="DF104" i="31"/>
  <c r="DN104" i="31"/>
  <c r="DV104" i="31" s="1"/>
  <c r="DH88" i="31"/>
  <c r="DP88" i="31"/>
  <c r="DX88" i="31" s="1"/>
  <c r="DO142" i="31"/>
  <c r="DW142" i="31" s="1"/>
  <c r="DG142" i="31"/>
  <c r="DA138" i="31"/>
  <c r="DI138" i="31"/>
  <c r="DQ138" i="31" s="1"/>
  <c r="DF134" i="31"/>
  <c r="DN134" i="31"/>
  <c r="DV134" i="31" s="1"/>
  <c r="DM102" i="31"/>
  <c r="DU102" i="31" s="1"/>
  <c r="DE102" i="31"/>
  <c r="DI98" i="31"/>
  <c r="DQ98" i="31" s="1"/>
  <c r="DA98" i="31"/>
  <c r="DG94" i="31"/>
  <c r="DO94" i="31"/>
  <c r="DW94" i="31" s="1"/>
  <c r="DM90" i="31"/>
  <c r="DU90" i="31" s="1"/>
  <c r="DE90" i="31"/>
  <c r="DA82" i="31"/>
  <c r="DI82" i="31"/>
  <c r="DQ82" i="31" s="1"/>
  <c r="DB78" i="31"/>
  <c r="DJ78" i="31"/>
  <c r="DR78" i="31" s="1"/>
  <c r="DE66" i="31"/>
  <c r="DM66" i="31"/>
  <c r="DU66" i="31" s="1"/>
  <c r="DK54" i="31"/>
  <c r="DS54" i="31" s="1"/>
  <c r="DC54" i="31"/>
  <c r="DN46" i="31"/>
  <c r="DV46" i="31" s="1"/>
  <c r="DF46" i="31"/>
  <c r="DL34" i="31"/>
  <c r="DT34" i="31" s="1"/>
  <c r="DD34" i="31"/>
  <c r="DF14" i="31"/>
  <c r="DN14" i="31"/>
  <c r="DV14" i="31" s="1"/>
  <c r="DB10" i="31"/>
  <c r="DJ10" i="31"/>
  <c r="DR10" i="31" s="1"/>
  <c r="V171" i="31"/>
  <c r="AA171" i="31" s="1"/>
  <c r="W171" i="31"/>
  <c r="DH167" i="31"/>
  <c r="DP167" i="31"/>
  <c r="DX167" i="31" s="1"/>
  <c r="DH135" i="31"/>
  <c r="DP135" i="31"/>
  <c r="DX135" i="31" s="1"/>
  <c r="DB136" i="31"/>
  <c r="DJ136" i="31"/>
  <c r="DR136" i="31" s="1"/>
  <c r="DH100" i="31"/>
  <c r="DP100" i="31"/>
  <c r="DX100" i="31" s="1"/>
  <c r="DA92" i="31"/>
  <c r="DI92" i="31"/>
  <c r="DQ92" i="31" s="1"/>
  <c r="DH80" i="31"/>
  <c r="DP80" i="31"/>
  <c r="DX80" i="31" s="1"/>
  <c r="DA44" i="31"/>
  <c r="DI44" i="31"/>
  <c r="DQ44" i="31" s="1"/>
  <c r="DF36" i="31"/>
  <c r="DN36" i="31"/>
  <c r="DV36" i="31" s="1"/>
  <c r="DG16" i="31"/>
  <c r="DO16" i="31"/>
  <c r="DW16" i="31" s="1"/>
  <c r="DG8" i="31"/>
  <c r="DO8" i="31"/>
  <c r="DW8" i="31" s="1"/>
  <c r="BL169" i="31"/>
  <c r="BC169" i="31"/>
  <c r="DB169" i="31"/>
  <c r="DJ169" i="31"/>
  <c r="DR169" i="31" s="1"/>
  <c r="DE165" i="31"/>
  <c r="DM165" i="31"/>
  <c r="DU165" i="31" s="1"/>
  <c r="DB153" i="31"/>
  <c r="DJ153" i="31"/>
  <c r="DR153" i="31" s="1"/>
  <c r="DE149" i="31"/>
  <c r="DM149" i="31"/>
  <c r="DU149" i="31" s="1"/>
  <c r="DB137" i="31"/>
  <c r="DJ137" i="31"/>
  <c r="DR137" i="31" s="1"/>
  <c r="DE133" i="31"/>
  <c r="DM133" i="31"/>
  <c r="DU133" i="31" s="1"/>
  <c r="DB125" i="31"/>
  <c r="DJ125" i="31"/>
  <c r="DR125" i="31" s="1"/>
  <c r="DA121" i="31"/>
  <c r="DI121" i="31"/>
  <c r="DQ121" i="31" s="1"/>
  <c r="DN50" i="31"/>
  <c r="DV50" i="31" s="1"/>
  <c r="DF50" i="31"/>
  <c r="DA38" i="31"/>
  <c r="DI38" i="31"/>
  <c r="DQ38" i="31" s="1"/>
  <c r="DB160" i="31"/>
  <c r="DJ160" i="31"/>
  <c r="DR160" i="31" s="1"/>
  <c r="DC92" i="31"/>
  <c r="DK92" i="31"/>
  <c r="DS92" i="31" s="1"/>
  <c r="DE141" i="31"/>
  <c r="DM141" i="31"/>
  <c r="DU141" i="31" s="1"/>
  <c r="DB109" i="31"/>
  <c r="DJ109" i="31"/>
  <c r="DR109" i="31" s="1"/>
  <c r="DC85" i="31"/>
  <c r="DK85" i="31"/>
  <c r="DS85" i="31" s="1"/>
  <c r="DH73" i="31"/>
  <c r="DP73" i="31"/>
  <c r="DX73" i="31" s="1"/>
  <c r="DC69" i="31"/>
  <c r="DK69" i="31"/>
  <c r="DS69" i="31" s="1"/>
  <c r="DE49" i="31"/>
  <c r="DM49" i="31"/>
  <c r="DU49" i="31" s="1"/>
  <c r="DE17" i="31"/>
  <c r="DM17" i="31"/>
  <c r="DU17" i="31" s="1"/>
  <c r="DH13" i="31"/>
  <c r="DP13" i="31"/>
  <c r="DX13" i="31" s="1"/>
  <c r="DD159" i="31"/>
  <c r="DL159" i="31"/>
  <c r="DT159" i="31" s="1"/>
  <c r="DH128" i="31"/>
  <c r="DP128" i="31"/>
  <c r="DX128" i="31" s="1"/>
  <c r="DA78" i="31"/>
  <c r="DI78" i="31"/>
  <c r="DQ78" i="31" s="1"/>
  <c r="DC42" i="31"/>
  <c r="DK42" i="31"/>
  <c r="DS42" i="31" s="1"/>
  <c r="DB38" i="31"/>
  <c r="DJ38" i="31"/>
  <c r="DR38" i="31" s="1"/>
  <c r="DH131" i="31"/>
  <c r="DP131" i="31"/>
  <c r="DX131" i="31" s="1"/>
  <c r="DH112" i="31"/>
  <c r="DP112" i="31"/>
  <c r="DX112" i="31" s="1"/>
  <c r="DO157" i="31"/>
  <c r="DW157" i="31" s="1"/>
  <c r="DG157" i="31"/>
  <c r="DA153" i="31"/>
  <c r="DI153" i="31"/>
  <c r="DQ153" i="31" s="1"/>
  <c r="DO129" i="31"/>
  <c r="DW129" i="31" s="1"/>
  <c r="DG129" i="31"/>
  <c r="DH121" i="31"/>
  <c r="DP121" i="31"/>
  <c r="DX121" i="31" s="1"/>
  <c r="DE113" i="31"/>
  <c r="DM113" i="31"/>
  <c r="DU113" i="31" s="1"/>
  <c r="DH105" i="31"/>
  <c r="DP105" i="31"/>
  <c r="DX105" i="31" s="1"/>
  <c r="DD101" i="31"/>
  <c r="DL101" i="31"/>
  <c r="DT101" i="31" s="1"/>
  <c r="DB97" i="31"/>
  <c r="DJ97" i="31"/>
  <c r="DR97" i="31" s="1"/>
  <c r="DG89" i="31"/>
  <c r="DO89" i="31"/>
  <c r="DW89" i="31" s="1"/>
  <c r="DA77" i="31"/>
  <c r="DI77" i="31"/>
  <c r="DQ77" i="31" s="1"/>
  <c r="DJ73" i="31"/>
  <c r="DR73" i="31" s="1"/>
  <c r="DB73" i="31"/>
  <c r="DI53" i="31"/>
  <c r="DQ53" i="31" s="1"/>
  <c r="DA53" i="31"/>
  <c r="DP41" i="31"/>
  <c r="DX41" i="31" s="1"/>
  <c r="DH41" i="31"/>
  <c r="DP33" i="31"/>
  <c r="DX33" i="31" s="1"/>
  <c r="DH33" i="31"/>
  <c r="DD25" i="31"/>
  <c r="DL25" i="31"/>
  <c r="DT25" i="31" s="1"/>
  <c r="DC13" i="31"/>
  <c r="DK13" i="31"/>
  <c r="DS13" i="31" s="1"/>
  <c r="DH9" i="31"/>
  <c r="DP9" i="31"/>
  <c r="DX9" i="31" s="1"/>
  <c r="DD171" i="31"/>
  <c r="DL171" i="31"/>
  <c r="DT171" i="31" s="1"/>
  <c r="DD139" i="31"/>
  <c r="DL139" i="31"/>
  <c r="DT139" i="31" s="1"/>
  <c r="DA33" i="31"/>
  <c r="DI33" i="31"/>
  <c r="DQ33" i="31" s="1"/>
  <c r="DH154" i="31"/>
  <c r="DP154" i="31"/>
  <c r="DX154" i="31" s="1"/>
  <c r="DB94" i="31"/>
  <c r="DJ94" i="31"/>
  <c r="DR94" i="31" s="1"/>
  <c r="DA58" i="31"/>
  <c r="DI58" i="31"/>
  <c r="DQ58" i="31" s="1"/>
  <c r="DC46" i="31"/>
  <c r="DK46" i="31"/>
  <c r="DS46" i="31" s="1"/>
  <c r="DH26" i="31"/>
  <c r="DP26" i="31"/>
  <c r="DX26" i="31" s="1"/>
  <c r="DD168" i="31"/>
  <c r="DL168" i="31"/>
  <c r="DT168" i="31" s="1"/>
  <c r="DD152" i="31"/>
  <c r="DL152" i="31"/>
  <c r="DT152" i="31" s="1"/>
  <c r="DA8" i="31"/>
  <c r="DI8" i="31"/>
  <c r="DQ8" i="31" s="1"/>
  <c r="DF165" i="31"/>
  <c r="DN165" i="31"/>
  <c r="DV165" i="31" s="1"/>
  <c r="DC113" i="31"/>
  <c r="DK113" i="31"/>
  <c r="DS113" i="31" s="1"/>
  <c r="DB105" i="31"/>
  <c r="DJ105" i="31"/>
  <c r="DR105" i="31" s="1"/>
  <c r="DM101" i="31"/>
  <c r="DU101" i="31" s="1"/>
  <c r="DE101" i="31"/>
  <c r="DG97" i="31"/>
  <c r="DO97" i="31"/>
  <c r="DW97" i="31" s="1"/>
  <c r="DM93" i="31"/>
  <c r="DU93" i="31" s="1"/>
  <c r="DE93" i="31"/>
  <c r="DA89" i="31"/>
  <c r="DI89" i="31"/>
  <c r="DQ89" i="31" s="1"/>
  <c r="DH85" i="31"/>
  <c r="DP85" i="31"/>
  <c r="DX85" i="31" s="1"/>
  <c r="DF81" i="31"/>
  <c r="DN81" i="31"/>
  <c r="DV81" i="31" s="1"/>
  <c r="DH77" i="31"/>
  <c r="DP77" i="31"/>
  <c r="DX77" i="31" s="1"/>
  <c r="DF73" i="31"/>
  <c r="DN73" i="31"/>
  <c r="DV73" i="31" s="1"/>
  <c r="DH69" i="31"/>
  <c r="DP69" i="31"/>
  <c r="DX69" i="31" s="1"/>
  <c r="DF65" i="31"/>
  <c r="DN65" i="31"/>
  <c r="DV65" i="31" s="1"/>
  <c r="DB61" i="31"/>
  <c r="DJ61" i="31"/>
  <c r="DR61" i="31" s="1"/>
  <c r="DK57" i="31"/>
  <c r="DS57" i="31" s="1"/>
  <c r="DC57" i="31"/>
  <c r="DH53" i="31"/>
  <c r="DP53" i="31"/>
  <c r="DX53" i="31" s="1"/>
  <c r="DE45" i="31"/>
  <c r="DM45" i="31"/>
  <c r="DU45" i="31" s="1"/>
  <c r="DG29" i="31"/>
  <c r="DO29" i="31"/>
  <c r="DW29" i="31" s="1"/>
  <c r="DE25" i="31"/>
  <c r="DM25" i="31"/>
  <c r="DU25" i="31" s="1"/>
  <c r="DH21" i="31"/>
  <c r="DP21" i="31"/>
  <c r="DX21" i="31" s="1"/>
  <c r="DF17" i="31"/>
  <c r="DN17" i="31"/>
  <c r="DV17" i="31" s="1"/>
  <c r="DG13" i="31"/>
  <c r="DO13" i="31"/>
  <c r="DW13" i="31" s="1"/>
  <c r="DD167" i="31"/>
  <c r="DL167" i="31"/>
  <c r="DT167" i="31" s="1"/>
  <c r="DD135" i="31"/>
  <c r="DL135" i="31"/>
  <c r="DT135" i="31" s="1"/>
  <c r="DD29" i="31"/>
  <c r="DL29" i="31"/>
  <c r="DT29" i="31" s="1"/>
  <c r="DJ21" i="31"/>
  <c r="DR21" i="31" s="1"/>
  <c r="DB21" i="31"/>
  <c r="DD17" i="31"/>
  <c r="DL17" i="31"/>
  <c r="DT17" i="31" s="1"/>
  <c r="DD126" i="31"/>
  <c r="DL126" i="31"/>
  <c r="DT126" i="31" s="1"/>
  <c r="DA118" i="31"/>
  <c r="DI118" i="31"/>
  <c r="DQ118" i="31" s="1"/>
  <c r="DB102" i="31"/>
  <c r="DJ102" i="31"/>
  <c r="DR102" i="31" s="1"/>
  <c r="DH46" i="31"/>
  <c r="DP46" i="31"/>
  <c r="DX46" i="31" s="1"/>
  <c r="DE34" i="31"/>
  <c r="DM34" i="31"/>
  <c r="DU34" i="31" s="1"/>
  <c r="DE148" i="31"/>
  <c r="DM148" i="31"/>
  <c r="DU148" i="31" s="1"/>
  <c r="DD16" i="31"/>
  <c r="DL16" i="31"/>
  <c r="DT16" i="31" s="1"/>
  <c r="DO173" i="31"/>
  <c r="DW173" i="31" s="1"/>
  <c r="DG173" i="31"/>
  <c r="DA169" i="31"/>
  <c r="DI169" i="31"/>
  <c r="DQ169" i="31" s="1"/>
  <c r="DO137" i="31"/>
  <c r="DW137" i="31" s="1"/>
  <c r="DG137" i="31"/>
  <c r="DA133" i="31"/>
  <c r="DI133" i="31"/>
  <c r="DQ133" i="31" s="1"/>
  <c r="DG117" i="31"/>
  <c r="DO117" i="31"/>
  <c r="DW117" i="31" s="1"/>
  <c r="DF113" i="31"/>
  <c r="DN113" i="31"/>
  <c r="DV113" i="31" s="1"/>
  <c r="DA97" i="31"/>
  <c r="DI97" i="31"/>
  <c r="DQ97" i="31" s="1"/>
  <c r="DC93" i="31"/>
  <c r="DK93" i="31"/>
  <c r="DS93" i="31" s="1"/>
  <c r="DM89" i="31"/>
  <c r="DU89" i="31" s="1"/>
  <c r="DE89" i="31"/>
  <c r="DD81" i="31"/>
  <c r="DL81" i="31"/>
  <c r="DT81" i="31" s="1"/>
  <c r="DG77" i="31"/>
  <c r="DO77" i="31"/>
  <c r="DW77" i="31" s="1"/>
  <c r="DD65" i="31"/>
  <c r="DL65" i="31"/>
  <c r="DT65" i="31" s="1"/>
  <c r="DE57" i="31"/>
  <c r="DM57" i="31"/>
  <c r="DU57" i="31" s="1"/>
  <c r="DA49" i="31"/>
  <c r="DI49" i="31"/>
  <c r="DQ49" i="31" s="1"/>
  <c r="DC49" i="31"/>
  <c r="DK49" i="31"/>
  <c r="DS49" i="31" s="1"/>
  <c r="DF37" i="31"/>
  <c r="DN37" i="31"/>
  <c r="DV37" i="31" s="1"/>
  <c r="DP37" i="31"/>
  <c r="DX37" i="31" s="1"/>
  <c r="DH37" i="31"/>
  <c r="DA13" i="31"/>
  <c r="DI13" i="31"/>
  <c r="DQ13" i="31" s="1"/>
  <c r="DH138" i="31"/>
  <c r="DP138" i="31"/>
  <c r="DX138" i="31" s="1"/>
  <c r="DE144" i="31"/>
  <c r="DM144" i="31"/>
  <c r="DU144" i="31" s="1"/>
  <c r="DI120" i="31"/>
  <c r="DQ120" i="31" s="1"/>
  <c r="DA120" i="31"/>
  <c r="DG108" i="31"/>
  <c r="DO108" i="31"/>
  <c r="DW108" i="31" s="1"/>
  <c r="DN72" i="31"/>
  <c r="DV72" i="31" s="1"/>
  <c r="DF72" i="31"/>
  <c r="BL171" i="31"/>
  <c r="BC171" i="31"/>
  <c r="DB171" i="31"/>
  <c r="DJ171" i="31"/>
  <c r="DR171" i="31" s="1"/>
  <c r="DK163" i="31"/>
  <c r="DS163" i="31" s="1"/>
  <c r="DC163" i="31"/>
  <c r="DE151" i="31"/>
  <c r="DM151" i="31"/>
  <c r="DU151" i="31" s="1"/>
  <c r="DG135" i="31"/>
  <c r="DO135" i="31"/>
  <c r="DW135" i="31" s="1"/>
  <c r="DA131" i="31"/>
  <c r="DI131" i="31"/>
  <c r="DQ131" i="31" s="1"/>
  <c r="DD123" i="31"/>
  <c r="DL123" i="31"/>
  <c r="DT123" i="31" s="1"/>
  <c r="DM119" i="31"/>
  <c r="DU119" i="31" s="1"/>
  <c r="DE119" i="31"/>
  <c r="DC115" i="31"/>
  <c r="DK115" i="31"/>
  <c r="DS115" i="31" s="1"/>
  <c r="DB107" i="31"/>
  <c r="DJ107" i="31"/>
  <c r="DR107" i="31" s="1"/>
  <c r="DI99" i="31"/>
  <c r="DQ99" i="31" s="1"/>
  <c r="DA99" i="31"/>
  <c r="DD91" i="31"/>
  <c r="DL91" i="31"/>
  <c r="DT91" i="31" s="1"/>
  <c r="DC87" i="31"/>
  <c r="DK87" i="31"/>
  <c r="DS87" i="31" s="1"/>
  <c r="DD79" i="31"/>
  <c r="DL79" i="31"/>
  <c r="DT79" i="31" s="1"/>
  <c r="DB67" i="31"/>
  <c r="DJ67" i="31"/>
  <c r="DR67" i="31" s="1"/>
  <c r="DE63" i="31"/>
  <c r="DM63" i="31"/>
  <c r="DU63" i="31" s="1"/>
  <c r="DA47" i="31"/>
  <c r="DI47" i="31"/>
  <c r="DQ47" i="31" s="1"/>
  <c r="DG39" i="31"/>
  <c r="DO39" i="31"/>
  <c r="DW39" i="31" s="1"/>
  <c r="DF35" i="31"/>
  <c r="DN35" i="31"/>
  <c r="DV35" i="31" s="1"/>
  <c r="DA31" i="31"/>
  <c r="DI31" i="31"/>
  <c r="DQ31" i="31" s="1"/>
  <c r="DB19" i="31"/>
  <c r="DJ19" i="31"/>
  <c r="DR19" i="31" s="1"/>
  <c r="DD15" i="31"/>
  <c r="DL15" i="31"/>
  <c r="DT15" i="31" s="1"/>
  <c r="DH164" i="31"/>
  <c r="DP164" i="31"/>
  <c r="DX164" i="31" s="1"/>
  <c r="DD145" i="31"/>
  <c r="DL145" i="31"/>
  <c r="DT145" i="31" s="1"/>
  <c r="DB164" i="31"/>
  <c r="DJ164" i="31"/>
  <c r="DR164" i="31" s="1"/>
  <c r="DC140" i="31"/>
  <c r="DK140" i="31"/>
  <c r="DS140" i="31" s="1"/>
  <c r="DD124" i="31"/>
  <c r="DL124" i="31"/>
  <c r="DT124" i="31" s="1"/>
  <c r="DA104" i="31"/>
  <c r="DI104" i="31"/>
  <c r="DQ104" i="31" s="1"/>
  <c r="DG52" i="31"/>
  <c r="DO52" i="31"/>
  <c r="DW52" i="31" s="1"/>
  <c r="DC28" i="31"/>
  <c r="DK28" i="31"/>
  <c r="DS28" i="31" s="1"/>
  <c r="DG170" i="31"/>
  <c r="DO170" i="31"/>
  <c r="DW170" i="31" s="1"/>
  <c r="DC168" i="31"/>
  <c r="DK168" i="31"/>
  <c r="DS168" i="31" s="1"/>
  <c r="DE120" i="31"/>
  <c r="DM120" i="31"/>
  <c r="DU120" i="31" s="1"/>
  <c r="DH108" i="31"/>
  <c r="DP108" i="31"/>
  <c r="DX108" i="31" s="1"/>
  <c r="DF175" i="31"/>
  <c r="DN175" i="31"/>
  <c r="DV175" i="31" s="1"/>
  <c r="DF171" i="31"/>
  <c r="DN171" i="31"/>
  <c r="DV171" i="31" s="1"/>
  <c r="DC143" i="31"/>
  <c r="DK143" i="31"/>
  <c r="DS143" i="31" s="1"/>
  <c r="DM123" i="31"/>
  <c r="DU123" i="31" s="1"/>
  <c r="DE123" i="31"/>
  <c r="DC119" i="31"/>
  <c r="DK119" i="31"/>
  <c r="DS119" i="31" s="1"/>
  <c r="DI107" i="31"/>
  <c r="DQ107" i="31" s="1"/>
  <c r="DA107" i="31"/>
  <c r="DF107" i="31"/>
  <c r="DN107" i="31"/>
  <c r="DV107" i="31" s="1"/>
  <c r="DH99" i="31"/>
  <c r="DP99" i="31"/>
  <c r="DX99" i="31" s="1"/>
  <c r="DH91" i="31"/>
  <c r="DP91" i="31"/>
  <c r="DX91" i="31" s="1"/>
  <c r="DE87" i="31"/>
  <c r="DM87" i="31"/>
  <c r="DU87" i="31" s="1"/>
  <c r="DG83" i="31"/>
  <c r="DO83" i="31"/>
  <c r="DW83" i="31" s="1"/>
  <c r="DG75" i="31"/>
  <c r="DO75" i="31"/>
  <c r="DW75" i="31" s="1"/>
  <c r="DG67" i="31"/>
  <c r="DO67" i="31"/>
  <c r="DW67" i="31" s="1"/>
  <c r="DB55" i="31"/>
  <c r="DJ55" i="31"/>
  <c r="DR55" i="31" s="1"/>
  <c r="DH47" i="31"/>
  <c r="DP47" i="31"/>
  <c r="DX47" i="31" s="1"/>
  <c r="DC43" i="31"/>
  <c r="DK43" i="31"/>
  <c r="DS43" i="31" s="1"/>
  <c r="DB39" i="31"/>
  <c r="DJ39" i="31"/>
  <c r="DR39" i="31" s="1"/>
  <c r="DC35" i="31"/>
  <c r="DK35" i="31"/>
  <c r="DS35" i="31" s="1"/>
  <c r="DH31" i="31"/>
  <c r="DP31" i="31"/>
  <c r="DX31" i="31" s="1"/>
  <c r="DF31" i="31"/>
  <c r="DN31" i="31"/>
  <c r="DV31" i="31" s="1"/>
  <c r="DH27" i="31"/>
  <c r="DP27" i="31"/>
  <c r="DX27" i="31" s="1"/>
  <c r="DB27" i="31"/>
  <c r="DJ27" i="31"/>
  <c r="DR27" i="31" s="1"/>
  <c r="DG19" i="31"/>
  <c r="DO19" i="31"/>
  <c r="DW19" i="31" s="1"/>
  <c r="DI11" i="31"/>
  <c r="DQ11" i="31" s="1"/>
  <c r="DA11" i="31"/>
  <c r="DH172" i="31"/>
  <c r="DP172" i="31"/>
  <c r="DX172" i="31" s="1"/>
  <c r="DD161" i="31"/>
  <c r="DL161" i="31"/>
  <c r="DT161" i="31" s="1"/>
  <c r="DH132" i="31"/>
  <c r="DP132" i="31"/>
  <c r="DX132" i="31" s="1"/>
  <c r="DC172" i="31"/>
  <c r="DK172" i="31"/>
  <c r="DS172" i="31" s="1"/>
  <c r="DH104" i="31"/>
  <c r="DP104" i="31"/>
  <c r="DX104" i="31" s="1"/>
  <c r="DD64" i="31"/>
  <c r="DL64" i="31"/>
  <c r="DT64" i="31" s="1"/>
  <c r="DF12" i="31"/>
  <c r="DN12" i="31"/>
  <c r="DV12" i="31" s="1"/>
  <c r="DF174" i="31"/>
  <c r="DN174" i="31"/>
  <c r="DV174" i="31" s="1"/>
  <c r="DK162" i="31"/>
  <c r="DS162" i="31" s="1"/>
  <c r="DC162" i="31"/>
  <c r="DO150" i="31"/>
  <c r="DW150" i="31" s="1"/>
  <c r="DG150" i="31"/>
  <c r="DB132" i="31"/>
  <c r="DJ132" i="31"/>
  <c r="DR132" i="31" s="1"/>
  <c r="DC120" i="31"/>
  <c r="DK120" i="31"/>
  <c r="DS120" i="31" s="1"/>
  <c r="DB108" i="31"/>
  <c r="DJ108" i="31"/>
  <c r="DR108" i="31" s="1"/>
  <c r="DC72" i="31"/>
  <c r="DK72" i="31"/>
  <c r="DS72" i="31" s="1"/>
  <c r="DC60" i="31"/>
  <c r="DK60" i="31"/>
  <c r="DS60" i="31" s="1"/>
  <c r="DH32" i="31"/>
  <c r="DP32" i="31"/>
  <c r="DX32" i="31" s="1"/>
  <c r="DB163" i="31"/>
  <c r="DJ163" i="31"/>
  <c r="DR163" i="31" s="1"/>
  <c r="DE159" i="31"/>
  <c r="DM159" i="31"/>
  <c r="DU159" i="31" s="1"/>
  <c r="DG159" i="31"/>
  <c r="DO159" i="31"/>
  <c r="DW159" i="31" s="1"/>
  <c r="DA155" i="31"/>
  <c r="DI155" i="31"/>
  <c r="DQ155" i="31" s="1"/>
  <c r="DF151" i="31"/>
  <c r="DN151" i="31"/>
  <c r="DV151" i="31" s="1"/>
  <c r="DC123" i="31"/>
  <c r="DK123" i="31"/>
  <c r="DS123" i="31" s="1"/>
  <c r="DH111" i="31"/>
  <c r="DP111" i="31"/>
  <c r="DX111" i="31" s="1"/>
  <c r="DB103" i="31"/>
  <c r="DJ103" i="31"/>
  <c r="DR103" i="31" s="1"/>
  <c r="DB95" i="31"/>
  <c r="DJ95" i="31"/>
  <c r="DR95" i="31" s="1"/>
  <c r="DA75" i="31"/>
  <c r="DI75" i="31"/>
  <c r="DQ75" i="31" s="1"/>
  <c r="DC75" i="31"/>
  <c r="DK75" i="31"/>
  <c r="DS75" i="31" s="1"/>
  <c r="DD67" i="31"/>
  <c r="DL67" i="31"/>
  <c r="DT67" i="31" s="1"/>
  <c r="DE59" i="31"/>
  <c r="DM59" i="31"/>
  <c r="DU59" i="31" s="1"/>
  <c r="DG59" i="31"/>
  <c r="DO59" i="31"/>
  <c r="DW59" i="31" s="1"/>
  <c r="DH39" i="31"/>
  <c r="DP39" i="31"/>
  <c r="DX39" i="31" s="1"/>
  <c r="DF23" i="31"/>
  <c r="DN23" i="31"/>
  <c r="DV23" i="31" s="1"/>
  <c r="DB15" i="31"/>
  <c r="DJ15" i="31"/>
  <c r="DR15" i="31" s="1"/>
  <c r="DH11" i="31"/>
  <c r="DP11" i="31"/>
  <c r="DX11" i="31" s="1"/>
  <c r="DH148" i="31"/>
  <c r="DP148" i="31"/>
  <c r="DX148" i="31" s="1"/>
  <c r="DC164" i="31"/>
  <c r="DK164" i="31"/>
  <c r="DS164" i="31" s="1"/>
  <c r="DA76" i="31"/>
  <c r="DI76" i="31"/>
  <c r="DQ76" i="31" s="1"/>
  <c r="DH64" i="31"/>
  <c r="DP64" i="31"/>
  <c r="DX64" i="31" s="1"/>
  <c r="DA52" i="31"/>
  <c r="DI52" i="31"/>
  <c r="DQ52" i="31" s="1"/>
  <c r="DB48" i="31"/>
  <c r="DJ48" i="31"/>
  <c r="DR48" i="31" s="1"/>
  <c r="DB28" i="31"/>
  <c r="DJ28" i="31"/>
  <c r="DR28" i="31" s="1"/>
  <c r="DB12" i="31"/>
  <c r="DJ12" i="31"/>
  <c r="DR12" i="31" s="1"/>
  <c r="DF154" i="31"/>
  <c r="DN154" i="31"/>
  <c r="DV154" i="31" s="1"/>
  <c r="BL168" i="31"/>
  <c r="BC168" i="31"/>
  <c r="DB168" i="31"/>
  <c r="DJ168" i="31"/>
  <c r="DR168" i="31" s="1"/>
  <c r="DC144" i="31"/>
  <c r="DK144" i="31"/>
  <c r="DS144" i="31" s="1"/>
  <c r="DD84" i="31"/>
  <c r="DL84" i="31"/>
  <c r="DT84" i="31" s="1"/>
  <c r="DO60" i="31"/>
  <c r="DW60" i="31" s="1"/>
  <c r="DG60" i="31"/>
  <c r="DG32" i="31"/>
  <c r="DO32" i="31"/>
  <c r="DW32" i="31" s="1"/>
  <c r="DE175" i="31"/>
  <c r="DM175" i="31"/>
  <c r="DU175" i="31" s="1"/>
  <c r="DG171" i="31"/>
  <c r="DO171" i="31"/>
  <c r="DW171" i="31" s="1"/>
  <c r="DA167" i="31"/>
  <c r="DI167" i="31"/>
  <c r="DQ167" i="31" s="1"/>
  <c r="DF163" i="31"/>
  <c r="DN163" i="31"/>
  <c r="DV163" i="31" s="1"/>
  <c r="DB143" i="31"/>
  <c r="DJ143" i="31"/>
  <c r="DR143" i="31" s="1"/>
  <c r="DK135" i="31"/>
  <c r="DS135" i="31" s="1"/>
  <c r="DC135" i="31"/>
  <c r="DO127" i="31"/>
  <c r="DW127" i="31" s="1"/>
  <c r="DG127" i="31"/>
  <c r="DD119" i="31"/>
  <c r="DL119" i="31"/>
  <c r="DT119" i="31" s="1"/>
  <c r="DM115" i="31"/>
  <c r="DU115" i="31" s="1"/>
  <c r="DE115" i="31"/>
  <c r="DC111" i="31"/>
  <c r="DK111" i="31"/>
  <c r="DS111" i="31" s="1"/>
  <c r="DG107" i="31"/>
  <c r="DO107" i="31"/>
  <c r="DW107" i="31" s="1"/>
  <c r="DG87" i="31"/>
  <c r="DO87" i="31"/>
  <c r="DW87" i="31" s="1"/>
  <c r="DH67" i="31"/>
  <c r="DP67" i="31"/>
  <c r="DX67" i="31" s="1"/>
  <c r="DC55" i="31"/>
  <c r="DK55" i="31"/>
  <c r="DS55" i="31" s="1"/>
  <c r="DE51" i="31"/>
  <c r="DM51" i="31"/>
  <c r="DU51" i="31" s="1"/>
  <c r="DC47" i="31"/>
  <c r="DK47" i="31"/>
  <c r="DS47" i="31" s="1"/>
  <c r="DE28" i="31"/>
  <c r="DM28" i="31"/>
  <c r="DU28" i="31" s="1"/>
  <c r="DH20" i="31"/>
  <c r="DP20" i="31"/>
  <c r="DX20" i="31" s="1"/>
  <c r="DB142" i="31"/>
  <c r="DJ142" i="31"/>
  <c r="DR142" i="31" s="1"/>
  <c r="DE138" i="31"/>
  <c r="DM138" i="31"/>
  <c r="DU138" i="31" s="1"/>
  <c r="DG126" i="31"/>
  <c r="DO126" i="31"/>
  <c r="DW126" i="31" s="1"/>
  <c r="DG110" i="31"/>
  <c r="DO110" i="31"/>
  <c r="DW110" i="31" s="1"/>
  <c r="DF94" i="31"/>
  <c r="DN94" i="31"/>
  <c r="DV94" i="31" s="1"/>
  <c r="DF86" i="31"/>
  <c r="DN86" i="31"/>
  <c r="DV86" i="31" s="1"/>
  <c r="DH82" i="31"/>
  <c r="DP82" i="31"/>
  <c r="DX82" i="31" s="1"/>
  <c r="DA70" i="31"/>
  <c r="DI70" i="31"/>
  <c r="DQ70" i="31" s="1"/>
  <c r="DB66" i="31"/>
  <c r="DJ66" i="31"/>
  <c r="DR66" i="31" s="1"/>
  <c r="DD54" i="31"/>
  <c r="DL54" i="31"/>
  <c r="DT54" i="31" s="1"/>
  <c r="DC50" i="31"/>
  <c r="DK50" i="31"/>
  <c r="DS50" i="31" s="1"/>
  <c r="DP42" i="31"/>
  <c r="DX42" i="31" s="1"/>
  <c r="DH42" i="31"/>
  <c r="DG38" i="31"/>
  <c r="DO38" i="31"/>
  <c r="DW38" i="31" s="1"/>
  <c r="DF22" i="31"/>
  <c r="DN22" i="31"/>
  <c r="DV22" i="31" s="1"/>
  <c r="DB18" i="31"/>
  <c r="DJ18" i="31"/>
  <c r="DR18" i="31" s="1"/>
  <c r="DH147" i="31"/>
  <c r="DP147" i="31"/>
  <c r="DX147" i="31" s="1"/>
  <c r="DD112" i="31"/>
  <c r="DL112" i="31"/>
  <c r="DT112" i="31" s="1"/>
  <c r="DH92" i="31"/>
  <c r="DP92" i="31"/>
  <c r="DX92" i="31" s="1"/>
  <c r="DC173" i="31"/>
  <c r="DK173" i="31"/>
  <c r="DS173" i="31" s="1"/>
  <c r="DF153" i="31"/>
  <c r="DN153" i="31"/>
  <c r="DV153" i="31" s="1"/>
  <c r="DF137" i="31"/>
  <c r="DN137" i="31"/>
  <c r="DV137" i="31" s="1"/>
  <c r="DD59" i="31"/>
  <c r="DL59" i="31"/>
  <c r="DT59" i="31" s="1"/>
  <c r="DC152" i="31"/>
  <c r="DK152" i="31"/>
  <c r="DS152" i="31" s="1"/>
  <c r="DG64" i="31"/>
  <c r="DO64" i="31"/>
  <c r="DW64" i="31" s="1"/>
  <c r="DE52" i="31"/>
  <c r="DM52" i="31"/>
  <c r="DU52" i="31" s="1"/>
  <c r="DC48" i="31"/>
  <c r="DK48" i="31"/>
  <c r="DS48" i="31" s="1"/>
  <c r="DF166" i="31"/>
  <c r="DN166" i="31"/>
  <c r="DV166" i="31" s="1"/>
  <c r="DE158" i="31"/>
  <c r="DM158" i="31"/>
  <c r="DU158" i="31" s="1"/>
  <c r="DK146" i="31"/>
  <c r="DS146" i="31" s="1"/>
  <c r="DC146" i="31"/>
  <c r="DE75" i="31"/>
  <c r="DM75" i="31"/>
  <c r="DU75" i="31" s="1"/>
  <c r="DE43" i="31"/>
  <c r="DM43" i="31"/>
  <c r="DU43" i="31" s="1"/>
  <c r="DE19" i="31"/>
  <c r="DM19" i="31"/>
  <c r="DU19" i="31" s="1"/>
  <c r="DO174" i="31"/>
  <c r="DW174" i="31" s="1"/>
  <c r="DG174" i="31"/>
  <c r="DA170" i="31"/>
  <c r="DI170" i="31"/>
  <c r="DQ170" i="31" s="1"/>
  <c r="DF138" i="31"/>
  <c r="DN138" i="31"/>
  <c r="DV138" i="31" s="1"/>
  <c r="DE130" i="31"/>
  <c r="DM130" i="31"/>
  <c r="DU130" i="31" s="1"/>
  <c r="DH126" i="31"/>
  <c r="DP126" i="31"/>
  <c r="DX126" i="31" s="1"/>
  <c r="DM118" i="31"/>
  <c r="DU118" i="31" s="1"/>
  <c r="DE118" i="31"/>
  <c r="DM114" i="31"/>
  <c r="DU114" i="31" s="1"/>
  <c r="DE114" i="31"/>
  <c r="DH106" i="31"/>
  <c r="DP106" i="31"/>
  <c r="DX106" i="31" s="1"/>
  <c r="DG98" i="31"/>
  <c r="DO98" i="31"/>
  <c r="DW98" i="31" s="1"/>
  <c r="DE78" i="31"/>
  <c r="DM78" i="31"/>
  <c r="DU78" i="31" s="1"/>
  <c r="DD66" i="31"/>
  <c r="DL66" i="31"/>
  <c r="DT66" i="31" s="1"/>
  <c r="DF62" i="31"/>
  <c r="DN62" i="31"/>
  <c r="DV62" i="31" s="1"/>
  <c r="DH62" i="31"/>
  <c r="DP62" i="31"/>
  <c r="DX62" i="31" s="1"/>
  <c r="DD50" i="31"/>
  <c r="DL50" i="31"/>
  <c r="DT50" i="31" s="1"/>
  <c r="DG22" i="31"/>
  <c r="DO22" i="31"/>
  <c r="DW22" i="31" s="1"/>
  <c r="DD164" i="31"/>
  <c r="DL164" i="31"/>
  <c r="DT164" i="31" s="1"/>
  <c r="DH139" i="31"/>
  <c r="DP139" i="31"/>
  <c r="DX139" i="31" s="1"/>
  <c r="DG136" i="31"/>
  <c r="DO136" i="31"/>
  <c r="DW136" i="31" s="1"/>
  <c r="DA128" i="31"/>
  <c r="DI128" i="31"/>
  <c r="DQ128" i="31" s="1"/>
  <c r="DD100" i="31"/>
  <c r="DL100" i="31"/>
  <c r="DT100" i="31" s="1"/>
  <c r="DF92" i="31"/>
  <c r="DN92" i="31"/>
  <c r="DV92" i="31" s="1"/>
  <c r="DD36" i="31"/>
  <c r="DL36" i="31"/>
  <c r="DT36" i="31" s="1"/>
  <c r="DH24" i="31"/>
  <c r="DP24" i="31"/>
  <c r="DX24" i="31" s="1"/>
  <c r="BL173" i="31"/>
  <c r="BC173" i="31"/>
  <c r="DB173" i="31"/>
  <c r="DJ173" i="31"/>
  <c r="DR173" i="31" s="1"/>
  <c r="DB157" i="31"/>
  <c r="DJ157" i="31"/>
  <c r="DR157" i="31" s="1"/>
  <c r="DA63" i="31"/>
  <c r="DI63" i="31"/>
  <c r="DQ63" i="31" s="1"/>
  <c r="DG11" i="31"/>
  <c r="DO11" i="31"/>
  <c r="DW11" i="31" s="1"/>
  <c r="DD173" i="31"/>
  <c r="DL173" i="31"/>
  <c r="DT173" i="31" s="1"/>
  <c r="DB111" i="31"/>
  <c r="DJ111" i="31"/>
  <c r="DR111" i="31" s="1"/>
  <c r="DG104" i="31"/>
  <c r="DO104" i="31"/>
  <c r="DW104" i="31" s="1"/>
  <c r="DE76" i="31"/>
  <c r="DM76" i="31"/>
  <c r="DU76" i="31" s="1"/>
  <c r="DC20" i="31"/>
  <c r="DK20" i="31"/>
  <c r="DS20" i="31" s="1"/>
  <c r="DH12" i="31"/>
  <c r="DP12" i="31"/>
  <c r="DX12" i="31" s="1"/>
  <c r="DK154" i="31"/>
  <c r="DS154" i="31" s="1"/>
  <c r="DC154" i="31"/>
  <c r="DB130" i="31"/>
  <c r="DJ130" i="31"/>
  <c r="DR130" i="31" s="1"/>
  <c r="DC126" i="31"/>
  <c r="DK126" i="31"/>
  <c r="DS126" i="31" s="1"/>
  <c r="DC122" i="31"/>
  <c r="DK122" i="31"/>
  <c r="DS122" i="31" s="1"/>
  <c r="DC118" i="31"/>
  <c r="DK118" i="31"/>
  <c r="DS118" i="31" s="1"/>
  <c r="DC114" i="31"/>
  <c r="DK114" i="31"/>
  <c r="DS114" i="31" s="1"/>
  <c r="DC110" i="31"/>
  <c r="DK110" i="31"/>
  <c r="DS110" i="31" s="1"/>
  <c r="DC106" i="31"/>
  <c r="DK106" i="31"/>
  <c r="DS106" i="31" s="1"/>
  <c r="DF98" i="31"/>
  <c r="DN98" i="31"/>
  <c r="DV98" i="31" s="1"/>
  <c r="DD82" i="31"/>
  <c r="DL82" i="31"/>
  <c r="DT82" i="31" s="1"/>
  <c r="DG78" i="31"/>
  <c r="DO78" i="31"/>
  <c r="DW78" i="31" s="1"/>
  <c r="DF70" i="31"/>
  <c r="DN70" i="31"/>
  <c r="DV70" i="31" s="1"/>
  <c r="DH66" i="31"/>
  <c r="DP66" i="31"/>
  <c r="DX66" i="31" s="1"/>
  <c r="DA62" i="31"/>
  <c r="DI62" i="31"/>
  <c r="DQ62" i="31" s="1"/>
  <c r="DB58" i="31"/>
  <c r="DJ58" i="31"/>
  <c r="DR58" i="31" s="1"/>
  <c r="DE50" i="31"/>
  <c r="DM50" i="31"/>
  <c r="DU50" i="31" s="1"/>
  <c r="DG46" i="31"/>
  <c r="DO46" i="31"/>
  <c r="DW46" i="31" s="1"/>
  <c r="DC38" i="31"/>
  <c r="DK38" i="31"/>
  <c r="DS38" i="31" s="1"/>
  <c r="DB34" i="31"/>
  <c r="DJ34" i="31"/>
  <c r="DR34" i="31" s="1"/>
  <c r="DA34" i="31"/>
  <c r="DI34" i="31"/>
  <c r="DQ34" i="31" s="1"/>
  <c r="DE30" i="31"/>
  <c r="DM30" i="31"/>
  <c r="DU30" i="31" s="1"/>
  <c r="DE18" i="31"/>
  <c r="DM18" i="31"/>
  <c r="DU18" i="31" s="1"/>
  <c r="DC14" i="31"/>
  <c r="DK14" i="31"/>
  <c r="DS14" i="31" s="1"/>
  <c r="DD148" i="31"/>
  <c r="DL148" i="31"/>
  <c r="DT148" i="31" s="1"/>
  <c r="DA160" i="31"/>
  <c r="DI160" i="31"/>
  <c r="DQ160" i="31" s="1"/>
  <c r="DF148" i="31"/>
  <c r="DN148" i="31"/>
  <c r="DV148" i="31" s="1"/>
  <c r="DB92" i="31"/>
  <c r="DJ92" i="31"/>
  <c r="DR92" i="31" s="1"/>
  <c r="DD44" i="31"/>
  <c r="DL44" i="31"/>
  <c r="DT44" i="31" s="1"/>
  <c r="DC24" i="31"/>
  <c r="DK24" i="31"/>
  <c r="DS24" i="31" s="1"/>
  <c r="DE8" i="31"/>
  <c r="DM8" i="31"/>
  <c r="DU8" i="31" s="1"/>
  <c r="DC161" i="31"/>
  <c r="DK161" i="31"/>
  <c r="DS161" i="31" s="1"/>
  <c r="DC145" i="31"/>
  <c r="DK145" i="31"/>
  <c r="DS145" i="31" s="1"/>
  <c r="DK129" i="31"/>
  <c r="DS129" i="31" s="1"/>
  <c r="DC129" i="31"/>
  <c r="DD125" i="31"/>
  <c r="DL125" i="31"/>
  <c r="DT125" i="31" s="1"/>
  <c r="DB121" i="31"/>
  <c r="DJ121" i="31"/>
  <c r="DR121" i="31" s="1"/>
  <c r="DA117" i="31"/>
  <c r="DI117" i="31"/>
  <c r="DQ117" i="31" s="1"/>
  <c r="DD113" i="31"/>
  <c r="DL113" i="31"/>
  <c r="DT113" i="31" s="1"/>
  <c r="DI106" i="31"/>
  <c r="DQ106" i="31" s="1"/>
  <c r="DA106" i="31"/>
  <c r="DB106" i="31"/>
  <c r="DJ106" i="31"/>
  <c r="DR106" i="31" s="1"/>
  <c r="DF66" i="31"/>
  <c r="DN66" i="31"/>
  <c r="DV66" i="31" s="1"/>
  <c r="DE14" i="31"/>
  <c r="DM14" i="31"/>
  <c r="DU14" i="31" s="1"/>
  <c r="DG36" i="31"/>
  <c r="DO36" i="31"/>
  <c r="DW36" i="31" s="1"/>
  <c r="DE173" i="31"/>
  <c r="DM173" i="31"/>
  <c r="DU173" i="31" s="1"/>
  <c r="DC153" i="31"/>
  <c r="DK153" i="31"/>
  <c r="DS153" i="31" s="1"/>
  <c r="DB145" i="31"/>
  <c r="DJ145" i="31"/>
  <c r="DR145" i="31" s="1"/>
  <c r="DE137" i="31"/>
  <c r="DM137" i="31"/>
  <c r="DU137" i="31" s="1"/>
  <c r="DD109" i="31"/>
  <c r="DL109" i="31"/>
  <c r="DT109" i="31" s="1"/>
  <c r="DA105" i="31"/>
  <c r="DI105" i="31"/>
  <c r="DQ105" i="31" s="1"/>
  <c r="DG101" i="31"/>
  <c r="DO101" i="31"/>
  <c r="DW101" i="31" s="1"/>
  <c r="DH97" i="31"/>
  <c r="DP97" i="31"/>
  <c r="DX97" i="31" s="1"/>
  <c r="DF97" i="31"/>
  <c r="DN97" i="31"/>
  <c r="DV97" i="31" s="1"/>
  <c r="DC89" i="31"/>
  <c r="DK89" i="31"/>
  <c r="DS89" i="31" s="1"/>
  <c r="DE81" i="31"/>
  <c r="DM81" i="31"/>
  <c r="DU81" i="31" s="1"/>
  <c r="DF77" i="31"/>
  <c r="DN77" i="31"/>
  <c r="DV77" i="31" s="1"/>
  <c r="DE65" i="31"/>
  <c r="DM65" i="31"/>
  <c r="DU65" i="31" s="1"/>
  <c r="DK61" i="31"/>
  <c r="DS61" i="31" s="1"/>
  <c r="DC61" i="31"/>
  <c r="DB57" i="31"/>
  <c r="DJ57" i="31"/>
  <c r="DR57" i="31" s="1"/>
  <c r="DC53" i="31"/>
  <c r="DK53" i="31"/>
  <c r="DS53" i="31" s="1"/>
  <c r="DH49" i="31"/>
  <c r="DP49" i="31"/>
  <c r="DX49" i="31" s="1"/>
  <c r="DB41" i="31"/>
  <c r="DJ41" i="31"/>
  <c r="DR41" i="31" s="1"/>
  <c r="DB33" i="31"/>
  <c r="DJ33" i="31"/>
  <c r="DR33" i="31" s="1"/>
  <c r="DH29" i="31"/>
  <c r="DP29" i="31"/>
  <c r="DX29" i="31" s="1"/>
  <c r="DF29" i="31"/>
  <c r="DN29" i="31"/>
  <c r="DV29" i="31" s="1"/>
  <c r="DH17" i="31"/>
  <c r="DP17" i="31"/>
  <c r="DX17" i="31" s="1"/>
  <c r="DD9" i="31"/>
  <c r="DL9" i="31"/>
  <c r="DT9" i="31" s="1"/>
  <c r="V170" i="31"/>
  <c r="AA170" i="31" s="1"/>
  <c r="W170" i="31"/>
  <c r="DH166" i="31"/>
  <c r="DP166" i="31"/>
  <c r="DX166" i="31" s="1"/>
  <c r="DH134" i="31"/>
  <c r="DP134" i="31"/>
  <c r="DX134" i="31" s="1"/>
  <c r="DA110" i="31"/>
  <c r="DI110" i="31"/>
  <c r="DQ110" i="31" s="1"/>
  <c r="DG90" i="31"/>
  <c r="DO90" i="31"/>
  <c r="DW90" i="31" s="1"/>
  <c r="DD78" i="31"/>
  <c r="DL78" i="31"/>
  <c r="DT78" i="31" s="1"/>
  <c r="DF74" i="31"/>
  <c r="DN74" i="31"/>
  <c r="DV74" i="31" s="1"/>
  <c r="DB54" i="31"/>
  <c r="DJ54" i="31"/>
  <c r="DR54" i="31" s="1"/>
  <c r="DD128" i="31"/>
  <c r="DL128" i="31"/>
  <c r="DT128" i="31" s="1"/>
  <c r="DO56" i="31"/>
  <c r="DW56" i="31" s="1"/>
  <c r="DG56" i="31"/>
  <c r="DB141" i="31"/>
  <c r="DJ141" i="31"/>
  <c r="DR141" i="31" s="1"/>
  <c r="DH125" i="31"/>
  <c r="DP125" i="31"/>
  <c r="DX125" i="31" s="1"/>
  <c r="DE117" i="31"/>
  <c r="DM117" i="31"/>
  <c r="DU117" i="31" s="1"/>
  <c r="DH109" i="31"/>
  <c r="DP109" i="31"/>
  <c r="DX109" i="31" s="1"/>
  <c r="DA93" i="31"/>
  <c r="DI93" i="31"/>
  <c r="DQ93" i="31" s="1"/>
  <c r="DD77" i="31"/>
  <c r="DL77" i="31"/>
  <c r="DT77" i="31" s="1"/>
  <c r="DG73" i="31"/>
  <c r="DO73" i="31"/>
  <c r="DW73" i="31" s="1"/>
  <c r="DE61" i="31"/>
  <c r="DM61" i="31"/>
  <c r="DU61" i="31" s="1"/>
  <c r="DO61" i="31"/>
  <c r="DW61" i="31" s="1"/>
  <c r="DG61" i="31"/>
  <c r="DB49" i="31"/>
  <c r="DJ49" i="31"/>
  <c r="DR49" i="31" s="1"/>
  <c r="DF41" i="31"/>
  <c r="DN41" i="31"/>
  <c r="DV41" i="31" s="1"/>
  <c r="DE41" i="31"/>
  <c r="DM41" i="31"/>
  <c r="DU41" i="31" s="1"/>
  <c r="DG37" i="31"/>
  <c r="DO37" i="31"/>
  <c r="DW37" i="31" s="1"/>
  <c r="DF33" i="31"/>
  <c r="DN33" i="31"/>
  <c r="DV33" i="31" s="1"/>
  <c r="DE33" i="31"/>
  <c r="DM33" i="31"/>
  <c r="DU33" i="31" s="1"/>
  <c r="DB29" i="31"/>
  <c r="DJ29" i="31"/>
  <c r="DR29" i="31" s="1"/>
  <c r="DA21" i="31"/>
  <c r="DI21" i="31"/>
  <c r="DQ21" i="31" s="1"/>
  <c r="DJ17" i="31"/>
  <c r="DR17" i="31" s="1"/>
  <c r="DB17" i="31"/>
  <c r="DF9" i="31"/>
  <c r="DN9" i="31"/>
  <c r="DV9" i="31" s="1"/>
  <c r="DE9" i="31"/>
  <c r="DM9" i="31"/>
  <c r="DU9" i="31" s="1"/>
  <c r="BP168" i="31"/>
  <c r="CI168" i="31"/>
  <c r="DH146" i="31"/>
  <c r="DP146" i="31"/>
  <c r="DX146" i="31" s="1"/>
  <c r="DF110" i="31"/>
  <c r="DN110" i="31"/>
  <c r="DV110" i="31" s="1"/>
  <c r="DG21" i="31"/>
  <c r="DO21" i="31"/>
  <c r="DW21" i="31" s="1"/>
  <c r="DD163" i="31"/>
  <c r="DL163" i="31"/>
  <c r="DT163" i="31" s="1"/>
  <c r="DD114" i="31"/>
  <c r="DL114" i="31"/>
  <c r="DT114" i="31" s="1"/>
  <c r="DH94" i="31"/>
  <c r="DP94" i="31"/>
  <c r="DX94" i="31" s="1"/>
  <c r="DA22" i="31"/>
  <c r="DI22" i="31"/>
  <c r="DQ22" i="31" s="1"/>
  <c r="DH22" i="31"/>
  <c r="DP22" i="31"/>
  <c r="DX22" i="31" s="1"/>
  <c r="DD22" i="31"/>
  <c r="DL22" i="31"/>
  <c r="DT22" i="31" s="1"/>
  <c r="DD156" i="31"/>
  <c r="DL156" i="31"/>
  <c r="DT156" i="31" s="1"/>
  <c r="DG148" i="31"/>
  <c r="DO148" i="31"/>
  <c r="DW148" i="31" s="1"/>
  <c r="DA136" i="31"/>
  <c r="DI136" i="31"/>
  <c r="DQ136" i="31" s="1"/>
  <c r="DC125" i="31"/>
  <c r="DK125" i="31"/>
  <c r="DS125" i="31" s="1"/>
  <c r="DC109" i="31"/>
  <c r="DK109" i="31"/>
  <c r="DS109" i="31" s="1"/>
  <c r="DC81" i="31"/>
  <c r="DK81" i="31"/>
  <c r="DS81" i="31" s="1"/>
  <c r="DC73" i="31"/>
  <c r="DK73" i="31"/>
  <c r="DS73" i="31" s="1"/>
  <c r="DC65" i="31"/>
  <c r="DK65" i="31"/>
  <c r="DS65" i="31" s="1"/>
  <c r="DH45" i="31"/>
  <c r="DP45" i="31"/>
  <c r="DX45" i="31" s="1"/>
  <c r="DC41" i="31"/>
  <c r="DK41" i="31"/>
  <c r="DS41" i="31" s="1"/>
  <c r="DC17" i="31"/>
  <c r="DK17" i="31"/>
  <c r="DS17" i="31" s="1"/>
  <c r="DH174" i="31"/>
  <c r="DP174" i="31"/>
  <c r="DX174" i="31" s="1"/>
  <c r="DH142" i="31"/>
  <c r="DP142" i="31"/>
  <c r="DX142" i="31" s="1"/>
  <c r="DA122" i="31"/>
  <c r="DI122" i="31"/>
  <c r="DQ122" i="31" s="1"/>
  <c r="DC80" i="31"/>
  <c r="DK80" i="31"/>
  <c r="DS80" i="31" s="1"/>
  <c r="DI24" i="31"/>
  <c r="DQ24" i="31" s="1"/>
  <c r="DA24" i="31"/>
  <c r="DJ16" i="31"/>
  <c r="DR16" i="31" s="1"/>
  <c r="DB16" i="31"/>
  <c r="DG121" i="31"/>
  <c r="DO121" i="31"/>
  <c r="DW121" i="31" s="1"/>
  <c r="DF117" i="31"/>
  <c r="DN117" i="31"/>
  <c r="DV117" i="31" s="1"/>
  <c r="DG105" i="31"/>
  <c r="DO105" i="31"/>
  <c r="DW105" i="31" s="1"/>
  <c r="DC101" i="31"/>
  <c r="DK101" i="31"/>
  <c r="DS101" i="31" s="1"/>
  <c r="DJ85" i="31"/>
  <c r="DR85" i="31" s="1"/>
  <c r="DB85" i="31"/>
  <c r="DA73" i="31"/>
  <c r="DI73" i="31"/>
  <c r="DQ73" i="31" s="1"/>
  <c r="DJ69" i="31"/>
  <c r="DR69" i="31" s="1"/>
  <c r="DB69" i="31"/>
  <c r="DD49" i="31"/>
  <c r="DL49" i="31"/>
  <c r="DT49" i="31" s="1"/>
  <c r="DG41" i="31"/>
  <c r="DO41" i="31"/>
  <c r="DW41" i="31" s="1"/>
  <c r="DE37" i="31"/>
  <c r="DM37" i="31"/>
  <c r="DU37" i="31" s="1"/>
  <c r="DF13" i="31"/>
  <c r="DN13" i="31"/>
  <c r="DV13" i="31" s="1"/>
  <c r="L169" i="31"/>
  <c r="AQ169" i="31" s="1"/>
  <c r="AY169" i="31" s="1"/>
  <c r="L167" i="31"/>
  <c r="AQ167" i="31" s="1"/>
  <c r="AY167" i="31" s="1"/>
  <c r="L173" i="31"/>
  <c r="AQ173" i="31" s="1"/>
  <c r="AY173" i="31" s="1"/>
  <c r="L172" i="31"/>
  <c r="AQ172" i="31" s="1"/>
  <c r="AY172" i="31" s="1"/>
  <c r="DH7" i="31"/>
  <c r="DP7" i="31"/>
  <c r="DX7" i="31" s="1"/>
  <c r="L175" i="31"/>
  <c r="AQ175" i="31" s="1"/>
  <c r="AY175" i="31" s="1"/>
  <c r="DG7" i="31"/>
  <c r="DO7" i="31"/>
  <c r="DW7" i="31" s="1"/>
  <c r="L166" i="31"/>
  <c r="AQ166" i="31" s="1"/>
  <c r="AY166" i="31" s="1"/>
  <c r="DC7" i="31"/>
  <c r="DK7" i="31"/>
  <c r="DS7" i="31" s="1"/>
  <c r="L171" i="31"/>
  <c r="AQ171" i="31" s="1"/>
  <c r="AY171" i="31" s="1"/>
  <c r="DA7" i="31"/>
  <c r="DI7" i="31"/>
  <c r="DQ7" i="31" s="1"/>
  <c r="DF7" i="31"/>
  <c r="DN7" i="31"/>
  <c r="DV7" i="31" s="1"/>
  <c r="DD7" i="31"/>
  <c r="DL7" i="31"/>
  <c r="DT7" i="31" s="1"/>
  <c r="L168" i="31"/>
  <c r="AQ168" i="31" s="1"/>
  <c r="AY168" i="31" s="1"/>
  <c r="DB7" i="31"/>
  <c r="DJ7" i="31"/>
  <c r="DR7" i="31" s="1"/>
  <c r="L170" i="31"/>
  <c r="AQ170" i="31" s="1"/>
  <c r="AY170" i="31" s="1"/>
  <c r="DE7" i="31"/>
  <c r="DM7" i="31"/>
  <c r="DU7" i="31" s="1"/>
  <c r="DA6" i="31"/>
  <c r="DI6" i="31"/>
  <c r="DQ6" i="31" s="1"/>
  <c r="DE6" i="31"/>
  <c r="DM6" i="31"/>
  <c r="DU6" i="31" s="1"/>
  <c r="DG6" i="31"/>
  <c r="DO6" i="31"/>
  <c r="DW6" i="31" s="1"/>
  <c r="DB6" i="31"/>
  <c r="DJ6" i="31"/>
  <c r="DR6" i="31" s="1"/>
  <c r="DC6" i="31"/>
  <c r="DK6" i="31"/>
  <c r="DS6" i="31" s="1"/>
  <c r="DF6" i="31"/>
  <c r="DN6" i="31"/>
  <c r="DV6" i="31" s="1"/>
  <c r="DL6" i="31"/>
  <c r="DT6" i="31" s="1"/>
  <c r="DD6" i="31"/>
  <c r="DH6" i="31"/>
  <c r="DP6" i="31"/>
  <c r="DX6" i="31" s="1"/>
  <c r="DH5" i="31"/>
  <c r="DP5" i="31"/>
  <c r="DA5" i="31"/>
  <c r="DI5" i="31"/>
  <c r="DB5" i="31"/>
  <c r="DJ5" i="31"/>
  <c r="DK5" i="31"/>
  <c r="DC5" i="31"/>
  <c r="AR5" i="31"/>
  <c r="DO5" i="31"/>
  <c r="DG5" i="31"/>
  <c r="DF5" i="31"/>
  <c r="DN5" i="31"/>
  <c r="DM5" i="31"/>
  <c r="DE5" i="31"/>
  <c r="DL5" i="31"/>
  <c r="DD5" i="31"/>
  <c r="DL176" i="31" l="1"/>
  <c r="DT176" i="31" s="1"/>
  <c r="DK176" i="31"/>
  <c r="DS176" i="31" s="1"/>
  <c r="DI176" i="31"/>
  <c r="DQ176" i="31" s="1"/>
  <c r="DJ176" i="31"/>
  <c r="DR176" i="31" s="1"/>
  <c r="DN176" i="31"/>
  <c r="DV176" i="31" s="1"/>
  <c r="DM176" i="31"/>
  <c r="DU176" i="31" s="1"/>
  <c r="CH169" i="31"/>
  <c r="BO169" i="31"/>
  <c r="CH167" i="31"/>
  <c r="BO167" i="31"/>
  <c r="CH166" i="31"/>
  <c r="BO166" i="31"/>
  <c r="CH173" i="31"/>
  <c r="BO173" i="31"/>
  <c r="CH168" i="31"/>
  <c r="BO168" i="31"/>
  <c r="CH171" i="31"/>
  <c r="BO171" i="31"/>
  <c r="CH170" i="31"/>
  <c r="BO170" i="31"/>
  <c r="CH174" i="31"/>
  <c r="BO174" i="31"/>
  <c r="CH172" i="31"/>
  <c r="BO172" i="31"/>
  <c r="CH175" i="31"/>
  <c r="BO175" i="31"/>
  <c r="DQ5" i="31"/>
  <c r="DW5" i="31"/>
  <c r="DT5" i="31"/>
  <c r="DV5" i="31"/>
  <c r="DS5" i="31"/>
  <c r="DU5" i="31"/>
  <c r="DR5" i="31"/>
  <c r="DX5" i="31"/>
  <c r="V153" i="17" l="1"/>
  <c r="V149" i="17"/>
  <c r="V145" i="17"/>
  <c r="V141" i="17"/>
  <c r="V137" i="17"/>
  <c r="V133" i="17"/>
  <c r="V129" i="17"/>
  <c r="V125" i="17"/>
  <c r="V121" i="17"/>
  <c r="V117" i="17"/>
  <c r="V113" i="17"/>
  <c r="V109" i="17"/>
  <c r="V105" i="17"/>
  <c r="V101" i="17"/>
  <c r="V97" i="17"/>
  <c r="V93" i="17"/>
  <c r="V89" i="17"/>
  <c r="V85" i="17"/>
  <c r="V81" i="17"/>
  <c r="V77" i="17"/>
  <c r="V73" i="17"/>
  <c r="V69" i="17"/>
  <c r="V65" i="17"/>
  <c r="V61" i="17"/>
  <c r="V57" i="17"/>
  <c r="V53" i="17"/>
  <c r="V49" i="17"/>
  <c r="V45" i="17"/>
  <c r="V41" i="17"/>
  <c r="V37" i="17"/>
  <c r="V33" i="17"/>
  <c r="V29" i="17"/>
  <c r="V25" i="17"/>
  <c r="V21" i="17"/>
  <c r="V17" i="17"/>
  <c r="V13" i="17"/>
  <c r="V9" i="17"/>
  <c r="V152" i="17"/>
  <c r="V148" i="17"/>
  <c r="V144" i="17"/>
  <c r="V140" i="17"/>
  <c r="V136" i="17"/>
  <c r="V132" i="17"/>
  <c r="V128" i="17"/>
  <c r="V124" i="17"/>
  <c r="V120" i="17"/>
  <c r="V116" i="17"/>
  <c r="V112" i="17"/>
  <c r="V108" i="17"/>
  <c r="V104" i="17"/>
  <c r="V100" i="17"/>
  <c r="V96" i="17"/>
  <c r="V92" i="17"/>
  <c r="V88" i="17"/>
  <c r="V84" i="17"/>
  <c r="V80" i="17"/>
  <c r="V76" i="17"/>
  <c r="V72" i="17"/>
  <c r="V68" i="17"/>
  <c r="V64" i="17"/>
  <c r="V60" i="17"/>
  <c r="V56" i="17"/>
  <c r="V52" i="17"/>
  <c r="V48" i="17"/>
  <c r="V44" i="17"/>
  <c r="V40" i="17"/>
  <c r="V36" i="17"/>
  <c r="V32" i="17"/>
  <c r="V28" i="17"/>
  <c r="V24" i="17"/>
  <c r="V20" i="17"/>
  <c r="V16" i="17"/>
  <c r="V12" i="17"/>
  <c r="V8" i="17"/>
  <c r="V151" i="17"/>
  <c r="V147" i="17"/>
  <c r="V143" i="17"/>
  <c r="V139" i="17"/>
  <c r="V135" i="17"/>
  <c r="V131" i="17"/>
  <c r="V127" i="17"/>
  <c r="V123" i="17"/>
  <c r="V119" i="17"/>
  <c r="V115" i="17"/>
  <c r="V111" i="17"/>
  <c r="V107" i="17"/>
  <c r="V103" i="17"/>
  <c r="V99" i="17"/>
  <c r="V95" i="17"/>
  <c r="V91" i="17"/>
  <c r="V87" i="17"/>
  <c r="V83" i="17"/>
  <c r="V79" i="17"/>
  <c r="V75" i="17"/>
  <c r="V71" i="17"/>
  <c r="V67" i="17"/>
  <c r="V63" i="17"/>
  <c r="V59" i="17"/>
  <c r="V55" i="17"/>
  <c r="V51" i="17"/>
  <c r="V47" i="17"/>
  <c r="V43" i="17"/>
  <c r="V39" i="17"/>
  <c r="V35" i="17"/>
  <c r="V31" i="17"/>
  <c r="V27" i="17"/>
  <c r="V23" i="17"/>
  <c r="V19" i="17"/>
  <c r="V15" i="17"/>
  <c r="V11" i="17"/>
  <c r="V7" i="17"/>
  <c r="V154" i="17"/>
  <c r="V150" i="17"/>
  <c r="V146" i="17"/>
  <c r="V142" i="17"/>
  <c r="V138" i="17"/>
  <c r="V134" i="17"/>
  <c r="V130" i="17"/>
  <c r="V126" i="17"/>
  <c r="V122" i="17"/>
  <c r="V118" i="17"/>
  <c r="V114" i="17"/>
  <c r="V110" i="17"/>
  <c r="V106" i="17"/>
  <c r="V102" i="17"/>
  <c r="V98" i="17"/>
  <c r="V94" i="17"/>
  <c r="V90" i="17"/>
  <c r="V86" i="17"/>
  <c r="V82" i="17"/>
  <c r="V78" i="17"/>
  <c r="V74" i="17"/>
  <c r="V70" i="17"/>
  <c r="V66" i="17"/>
  <c r="V62" i="17"/>
  <c r="V58" i="17"/>
  <c r="V54" i="17"/>
  <c r="V50" i="17"/>
  <c r="V46" i="17"/>
  <c r="V42" i="17"/>
  <c r="V38" i="17"/>
  <c r="V34" i="17"/>
  <c r="V30" i="17"/>
  <c r="V26" i="17"/>
  <c r="V22" i="17"/>
  <c r="V18" i="17"/>
  <c r="V14" i="17"/>
  <c r="V10" i="17"/>
  <c r="V6" i="17"/>
  <c r="S155" i="17"/>
  <c r="V155" i="17"/>
  <c r="P153" i="17"/>
  <c r="S153" i="17"/>
  <c r="P149" i="17"/>
  <c r="S149" i="17"/>
  <c r="P145" i="17"/>
  <c r="S145" i="17"/>
  <c r="P141" i="17"/>
  <c r="S141" i="17"/>
  <c r="P137" i="17"/>
  <c r="S137" i="17"/>
  <c r="P133" i="17"/>
  <c r="S133" i="17"/>
  <c r="P129" i="17"/>
  <c r="S129" i="17"/>
  <c r="P125" i="17"/>
  <c r="S125" i="17"/>
  <c r="P121" i="17"/>
  <c r="S121" i="17"/>
  <c r="P117" i="17"/>
  <c r="S117" i="17"/>
  <c r="P113" i="17"/>
  <c r="S113" i="17"/>
  <c r="P109" i="17"/>
  <c r="S109" i="17"/>
  <c r="P105" i="17"/>
  <c r="S105" i="17"/>
  <c r="P101" i="17"/>
  <c r="S101" i="17"/>
  <c r="P97" i="17"/>
  <c r="S97" i="17"/>
  <c r="P93" i="17"/>
  <c r="S93" i="17"/>
  <c r="P89" i="17"/>
  <c r="S89" i="17"/>
  <c r="P85" i="17"/>
  <c r="S85" i="17"/>
  <c r="P81" i="17"/>
  <c r="S81" i="17"/>
  <c r="P77" i="17"/>
  <c r="S77" i="17"/>
  <c r="P73" i="17"/>
  <c r="S73" i="17"/>
  <c r="P69" i="17"/>
  <c r="S69" i="17"/>
  <c r="P65" i="17"/>
  <c r="S65" i="17"/>
  <c r="P61" i="17"/>
  <c r="S61" i="17"/>
  <c r="P57" i="17"/>
  <c r="S57" i="17"/>
  <c r="P53" i="17"/>
  <c r="S53" i="17"/>
  <c r="P49" i="17"/>
  <c r="S49" i="17"/>
  <c r="P45" i="17"/>
  <c r="S45" i="17"/>
  <c r="P41" i="17"/>
  <c r="S41" i="17"/>
  <c r="P37" i="17"/>
  <c r="S37" i="17"/>
  <c r="P33" i="17"/>
  <c r="S33" i="17"/>
  <c r="P29" i="17"/>
  <c r="S29" i="17"/>
  <c r="P25" i="17"/>
  <c r="S25" i="17"/>
  <c r="P21" i="17"/>
  <c r="S21" i="17"/>
  <c r="P17" i="17"/>
  <c r="S17" i="17"/>
  <c r="P13" i="17"/>
  <c r="S13" i="17"/>
  <c r="P9" i="17"/>
  <c r="S9" i="17"/>
  <c r="P152" i="17"/>
  <c r="S152" i="17"/>
  <c r="P148" i="17"/>
  <c r="S148" i="17"/>
  <c r="P144" i="17"/>
  <c r="S144" i="17"/>
  <c r="P140" i="17"/>
  <c r="S140" i="17"/>
  <c r="P136" i="17"/>
  <c r="S136" i="17"/>
  <c r="P132" i="17"/>
  <c r="S132" i="17"/>
  <c r="P128" i="17"/>
  <c r="S128" i="17"/>
  <c r="P124" i="17"/>
  <c r="S124" i="17"/>
  <c r="P120" i="17"/>
  <c r="S120" i="17"/>
  <c r="P116" i="17"/>
  <c r="S116" i="17"/>
  <c r="P112" i="17"/>
  <c r="S112" i="17"/>
  <c r="P108" i="17"/>
  <c r="S108" i="17"/>
  <c r="P104" i="17"/>
  <c r="S104" i="17"/>
  <c r="P100" i="17"/>
  <c r="S100" i="17"/>
  <c r="P96" i="17"/>
  <c r="S96" i="17"/>
  <c r="P92" i="17"/>
  <c r="S92" i="17"/>
  <c r="P88" i="17"/>
  <c r="S88" i="17"/>
  <c r="P84" i="17"/>
  <c r="S84" i="17"/>
  <c r="P80" i="17"/>
  <c r="S80" i="17"/>
  <c r="P76" i="17"/>
  <c r="S76" i="17"/>
  <c r="P72" i="17"/>
  <c r="S72" i="17"/>
  <c r="P68" i="17"/>
  <c r="S68" i="17"/>
  <c r="P64" i="17"/>
  <c r="S64" i="17"/>
  <c r="P60" i="17"/>
  <c r="S60" i="17"/>
  <c r="P56" i="17"/>
  <c r="S56" i="17"/>
  <c r="P52" i="17"/>
  <c r="S52" i="17"/>
  <c r="P48" i="17"/>
  <c r="S48" i="17"/>
  <c r="P44" i="17"/>
  <c r="S44" i="17"/>
  <c r="P40" i="17"/>
  <c r="S40" i="17"/>
  <c r="P36" i="17"/>
  <c r="S36" i="17"/>
  <c r="P32" i="17"/>
  <c r="S32" i="17"/>
  <c r="P28" i="17"/>
  <c r="S28" i="17"/>
  <c r="P24" i="17"/>
  <c r="S24" i="17"/>
  <c r="P20" i="17"/>
  <c r="S20" i="17"/>
  <c r="P16" i="17"/>
  <c r="S16" i="17"/>
  <c r="P12" i="17"/>
  <c r="S12" i="17"/>
  <c r="P8" i="17"/>
  <c r="S8" i="17"/>
  <c r="P151" i="17"/>
  <c r="S151" i="17"/>
  <c r="P147" i="17"/>
  <c r="S147" i="17"/>
  <c r="P143" i="17"/>
  <c r="S143" i="17"/>
  <c r="P139" i="17"/>
  <c r="S139" i="17"/>
  <c r="P135" i="17"/>
  <c r="S135" i="17"/>
  <c r="P131" i="17"/>
  <c r="S131" i="17"/>
  <c r="P127" i="17"/>
  <c r="S127" i="17"/>
  <c r="P123" i="17"/>
  <c r="S123" i="17"/>
  <c r="P119" i="17"/>
  <c r="S119" i="17"/>
  <c r="P115" i="17"/>
  <c r="S115" i="17"/>
  <c r="P111" i="17"/>
  <c r="S111" i="17"/>
  <c r="P107" i="17"/>
  <c r="S107" i="17"/>
  <c r="P103" i="17"/>
  <c r="S103" i="17"/>
  <c r="P99" i="17"/>
  <c r="S99" i="17"/>
  <c r="P95" i="17"/>
  <c r="S95" i="17"/>
  <c r="P91" i="17"/>
  <c r="S91" i="17"/>
  <c r="P87" i="17"/>
  <c r="S87" i="17"/>
  <c r="P83" i="17"/>
  <c r="S83" i="17"/>
  <c r="P79" i="17"/>
  <c r="S79" i="17"/>
  <c r="P75" i="17"/>
  <c r="S75" i="17"/>
  <c r="P71" i="17"/>
  <c r="S71" i="17"/>
  <c r="P67" i="17"/>
  <c r="S67" i="17"/>
  <c r="P63" i="17"/>
  <c r="S63" i="17"/>
  <c r="P59" i="17"/>
  <c r="S59" i="17"/>
  <c r="P55" i="17"/>
  <c r="S55" i="17"/>
  <c r="P51" i="17"/>
  <c r="S51" i="17"/>
  <c r="P47" i="17"/>
  <c r="S47" i="17"/>
  <c r="P43" i="17"/>
  <c r="S43" i="17"/>
  <c r="P39" i="17"/>
  <c r="S39" i="17"/>
  <c r="P35" i="17"/>
  <c r="S35" i="17"/>
  <c r="P31" i="17"/>
  <c r="S31" i="17"/>
  <c r="P27" i="17"/>
  <c r="S27" i="17"/>
  <c r="P23" i="17"/>
  <c r="S23" i="17"/>
  <c r="P19" i="17"/>
  <c r="S19" i="17"/>
  <c r="P15" i="17"/>
  <c r="S15" i="17"/>
  <c r="P11" i="17"/>
  <c r="S11" i="17"/>
  <c r="P7" i="17"/>
  <c r="S7" i="17"/>
  <c r="P154" i="17"/>
  <c r="S154" i="17"/>
  <c r="P150" i="17"/>
  <c r="S150" i="17"/>
  <c r="P146" i="17"/>
  <c r="S146" i="17"/>
  <c r="P142" i="17"/>
  <c r="S142" i="17"/>
  <c r="P138" i="17"/>
  <c r="S138" i="17"/>
  <c r="P134" i="17"/>
  <c r="S134" i="17"/>
  <c r="P130" i="17"/>
  <c r="S130" i="17"/>
  <c r="P126" i="17"/>
  <c r="S126" i="17"/>
  <c r="P122" i="17"/>
  <c r="S122" i="17"/>
  <c r="P118" i="17"/>
  <c r="S118" i="17"/>
  <c r="P114" i="17"/>
  <c r="S114" i="17"/>
  <c r="P110" i="17"/>
  <c r="S110" i="17"/>
  <c r="P106" i="17"/>
  <c r="S106" i="17"/>
  <c r="P102" i="17"/>
  <c r="S102" i="17"/>
  <c r="P98" i="17"/>
  <c r="S98" i="17"/>
  <c r="P94" i="17"/>
  <c r="S94" i="17"/>
  <c r="P90" i="17"/>
  <c r="S90" i="17"/>
  <c r="P86" i="17"/>
  <c r="S86" i="17"/>
  <c r="P82" i="17"/>
  <c r="S82" i="17"/>
  <c r="P78" i="17"/>
  <c r="S78" i="17"/>
  <c r="P74" i="17"/>
  <c r="S74" i="17"/>
  <c r="P70" i="17"/>
  <c r="S70" i="17"/>
  <c r="P66" i="17"/>
  <c r="S66" i="17"/>
  <c r="P62" i="17"/>
  <c r="S62" i="17"/>
  <c r="P58" i="17"/>
  <c r="S58" i="17"/>
  <c r="P54" i="17"/>
  <c r="S54" i="17"/>
  <c r="P50" i="17"/>
  <c r="S50" i="17"/>
  <c r="P46" i="17"/>
  <c r="S46" i="17"/>
  <c r="P42" i="17"/>
  <c r="S42" i="17"/>
  <c r="P38" i="17"/>
  <c r="S38" i="17"/>
  <c r="P34" i="17"/>
  <c r="S34" i="17"/>
  <c r="P30" i="17"/>
  <c r="S30" i="17"/>
  <c r="P26" i="17"/>
  <c r="S26" i="17"/>
  <c r="P22" i="17"/>
  <c r="S22" i="17"/>
  <c r="P18" i="17"/>
  <c r="S18" i="17"/>
  <c r="P14" i="17"/>
  <c r="S14" i="17"/>
  <c r="P10" i="17"/>
  <c r="S10" i="17"/>
  <c r="P6" i="17"/>
  <c r="S6" i="17"/>
  <c r="P155" i="17"/>
  <c r="I155" i="17"/>
  <c r="M154" i="17"/>
  <c r="M153" i="17"/>
  <c r="M149" i="17"/>
  <c r="M145" i="17"/>
  <c r="M141" i="17"/>
  <c r="M137" i="17"/>
  <c r="M133" i="17"/>
  <c r="M129" i="17"/>
  <c r="M125" i="17"/>
  <c r="M121" i="17"/>
  <c r="M117" i="17"/>
  <c r="M113" i="17"/>
  <c r="M109" i="17"/>
  <c r="M105" i="17"/>
  <c r="M101" i="17"/>
  <c r="M97" i="17"/>
  <c r="M93" i="17"/>
  <c r="M89" i="17"/>
  <c r="M85" i="17"/>
  <c r="M81" i="17"/>
  <c r="M77" i="17"/>
  <c r="M73" i="17"/>
  <c r="M69" i="17"/>
  <c r="M65" i="17"/>
  <c r="M61" i="17"/>
  <c r="M57" i="17"/>
  <c r="M53" i="17"/>
  <c r="M49" i="17"/>
  <c r="M45" i="17"/>
  <c r="M41" i="17"/>
  <c r="M37" i="17"/>
  <c r="M33" i="17"/>
  <c r="M29" i="17"/>
  <c r="M25" i="17"/>
  <c r="M21" i="17"/>
  <c r="M17" i="17"/>
  <c r="M13" i="17"/>
  <c r="M9" i="17"/>
  <c r="M152" i="17"/>
  <c r="M148" i="17"/>
  <c r="M144" i="17"/>
  <c r="M140" i="17"/>
  <c r="M136" i="17"/>
  <c r="M132" i="17"/>
  <c r="M128" i="17"/>
  <c r="M124" i="17"/>
  <c r="M120" i="17"/>
  <c r="M116" i="17"/>
  <c r="M112" i="17"/>
  <c r="M108" i="17"/>
  <c r="M104" i="17"/>
  <c r="M100" i="17"/>
  <c r="M96" i="17"/>
  <c r="M92" i="17"/>
  <c r="M88" i="17"/>
  <c r="M84" i="17"/>
  <c r="M80" i="17"/>
  <c r="M76" i="17"/>
  <c r="M72" i="17"/>
  <c r="M68" i="17"/>
  <c r="M64" i="17"/>
  <c r="M60" i="17"/>
  <c r="M56" i="17"/>
  <c r="M52" i="17"/>
  <c r="M48" i="17"/>
  <c r="M44" i="17"/>
  <c r="M40" i="17"/>
  <c r="M36" i="17"/>
  <c r="M32" i="17"/>
  <c r="M28" i="17"/>
  <c r="M24" i="17"/>
  <c r="M20" i="17"/>
  <c r="M16" i="17"/>
  <c r="M12" i="17"/>
  <c r="M8" i="17"/>
  <c r="M155" i="17"/>
  <c r="M151" i="17"/>
  <c r="M147" i="17"/>
  <c r="M143" i="17"/>
  <c r="M139" i="17"/>
  <c r="M135" i="17"/>
  <c r="M131" i="17"/>
  <c r="M127" i="17"/>
  <c r="M123" i="17"/>
  <c r="M119" i="17"/>
  <c r="M115" i="17"/>
  <c r="M111" i="17"/>
  <c r="M107" i="17"/>
  <c r="M103" i="17"/>
  <c r="M99" i="17"/>
  <c r="M95" i="17"/>
  <c r="M91" i="17"/>
  <c r="M87" i="17"/>
  <c r="M83" i="17"/>
  <c r="M79" i="17"/>
  <c r="M75" i="17"/>
  <c r="M71" i="17"/>
  <c r="M67" i="17"/>
  <c r="M63" i="17"/>
  <c r="M59" i="17"/>
  <c r="M55" i="17"/>
  <c r="M51" i="17"/>
  <c r="M47" i="17"/>
  <c r="M43" i="17"/>
  <c r="M39" i="17"/>
  <c r="M35" i="17"/>
  <c r="M31" i="17"/>
  <c r="M27" i="17"/>
  <c r="M23" i="17"/>
  <c r="M19" i="17"/>
  <c r="M15" i="17"/>
  <c r="M11" i="17"/>
  <c r="M7" i="17"/>
  <c r="M150" i="17"/>
  <c r="M146" i="17"/>
  <c r="M142" i="17"/>
  <c r="M138" i="17"/>
  <c r="M134" i="17"/>
  <c r="M130" i="17"/>
  <c r="M126" i="17"/>
  <c r="M122" i="17"/>
  <c r="M118" i="17"/>
  <c r="M114" i="17"/>
  <c r="M110" i="17"/>
  <c r="M106" i="17"/>
  <c r="M102" i="17"/>
  <c r="M98" i="17"/>
  <c r="M94" i="17"/>
  <c r="M90" i="17"/>
  <c r="M86" i="17"/>
  <c r="M82" i="17"/>
  <c r="M78" i="17"/>
  <c r="M74" i="17"/>
  <c r="M70" i="17"/>
  <c r="M66" i="17"/>
  <c r="M62" i="17"/>
  <c r="M58" i="17"/>
  <c r="M54" i="17"/>
  <c r="M50" i="17"/>
  <c r="M46" i="17"/>
  <c r="M42" i="17"/>
  <c r="M38" i="17"/>
  <c r="M34" i="17"/>
  <c r="M30" i="17"/>
  <c r="M26" i="17"/>
  <c r="M22" i="17"/>
  <c r="M18" i="17"/>
  <c r="M14" i="17"/>
  <c r="M10" i="17"/>
  <c r="M6" i="17"/>
  <c r="P156" i="17" l="1"/>
  <c r="M156" i="17"/>
  <c r="V156" i="17"/>
  <c r="S156" i="17"/>
  <c r="H23" i="18"/>
  <c r="J19" i="18" l="1"/>
  <c r="H26" i="18"/>
  <c r="BA11" i="31"/>
  <c r="BA19" i="31"/>
  <c r="BA27" i="31"/>
  <c r="BA39" i="31"/>
  <c r="BB42" i="31"/>
  <c r="BA44" i="31"/>
  <c r="BA48" i="31"/>
  <c r="BB66" i="31"/>
  <c r="BA83" i="31"/>
  <c r="BA91" i="31"/>
  <c r="BA95" i="31"/>
  <c r="BB105" i="31"/>
  <c r="BB117" i="31"/>
  <c r="BB128" i="31"/>
  <c r="BB138" i="31"/>
  <c r="BA140" i="31"/>
  <c r="BA150" i="31"/>
  <c r="BB154" i="31"/>
  <c r="BB162" i="31"/>
  <c r="Q5" i="31"/>
  <c r="F5" i="31"/>
  <c r="G5" i="31"/>
  <c r="H5" i="31"/>
  <c r="I5" i="31"/>
  <c r="J5" i="31"/>
  <c r="M5" i="31"/>
  <c r="N5" i="31"/>
  <c r="Q6" i="31"/>
  <c r="F6" i="31"/>
  <c r="G6" i="31"/>
  <c r="AL6" i="31" s="1"/>
  <c r="AT6" i="31" s="1"/>
  <c r="H6" i="31"/>
  <c r="AM6" i="31" s="1"/>
  <c r="AU6" i="31" s="1"/>
  <c r="I6" i="31"/>
  <c r="AN6" i="31" s="1"/>
  <c r="AV6" i="31" s="1"/>
  <c r="J6" i="31"/>
  <c r="AO6" i="31" s="1"/>
  <c r="AW6" i="31" s="1"/>
  <c r="M6" i="31"/>
  <c r="Q7" i="31"/>
  <c r="G7" i="31"/>
  <c r="AL7" i="31" s="1"/>
  <c r="AT7" i="31" s="1"/>
  <c r="H7" i="31"/>
  <c r="AM7" i="31" s="1"/>
  <c r="AU7" i="31" s="1"/>
  <c r="I7" i="31"/>
  <c r="AN7" i="31" s="1"/>
  <c r="AV7" i="31" s="1"/>
  <c r="J7" i="31"/>
  <c r="AO7" i="31" s="1"/>
  <c r="AW7" i="31" s="1"/>
  <c r="M7" i="31"/>
  <c r="N7" i="31"/>
  <c r="Q8" i="31"/>
  <c r="F8" i="31"/>
  <c r="G8" i="31"/>
  <c r="AL8" i="31" s="1"/>
  <c r="AT8" i="31" s="1"/>
  <c r="H8" i="31"/>
  <c r="AM8" i="31" s="1"/>
  <c r="AU8" i="31" s="1"/>
  <c r="I8" i="31"/>
  <c r="AN8" i="31" s="1"/>
  <c r="AV8" i="31" s="1"/>
  <c r="J8" i="31"/>
  <c r="AO8" i="31" s="1"/>
  <c r="AW8" i="31" s="1"/>
  <c r="M8" i="31"/>
  <c r="N8" i="31"/>
  <c r="Q9" i="31"/>
  <c r="F9" i="31"/>
  <c r="G9" i="31"/>
  <c r="AL9" i="31" s="1"/>
  <c r="AT9" i="31" s="1"/>
  <c r="H9" i="31"/>
  <c r="AM9" i="31" s="1"/>
  <c r="AU9" i="31" s="1"/>
  <c r="I9" i="31"/>
  <c r="AN9" i="31" s="1"/>
  <c r="AV9" i="31" s="1"/>
  <c r="J9" i="31"/>
  <c r="AO9" i="31" s="1"/>
  <c r="AW9" i="31" s="1"/>
  <c r="M9" i="31"/>
  <c r="N9" i="31"/>
  <c r="Q10" i="31"/>
  <c r="F10" i="31"/>
  <c r="H10" i="31"/>
  <c r="AM10" i="31" s="1"/>
  <c r="AU10" i="31" s="1"/>
  <c r="I10" i="31"/>
  <c r="AN10" i="31" s="1"/>
  <c r="AV10" i="31" s="1"/>
  <c r="J10" i="31"/>
  <c r="AO10" i="31" s="1"/>
  <c r="AW10" i="31" s="1"/>
  <c r="M10" i="31"/>
  <c r="N10" i="31"/>
  <c r="Q11" i="31"/>
  <c r="F11" i="31"/>
  <c r="G11" i="31"/>
  <c r="AL11" i="31" s="1"/>
  <c r="AT11" i="31" s="1"/>
  <c r="H11" i="31"/>
  <c r="AM11" i="31" s="1"/>
  <c r="AU11" i="31" s="1"/>
  <c r="I11" i="31"/>
  <c r="AN11" i="31" s="1"/>
  <c r="AV11" i="31" s="1"/>
  <c r="J11" i="31"/>
  <c r="AO11" i="31" s="1"/>
  <c r="AW11" i="31" s="1"/>
  <c r="M11" i="31"/>
  <c r="N11" i="31"/>
  <c r="Q12" i="31"/>
  <c r="F12" i="31"/>
  <c r="G12" i="31"/>
  <c r="AL12" i="31" s="1"/>
  <c r="AT12" i="31" s="1"/>
  <c r="H12" i="31"/>
  <c r="AM12" i="31" s="1"/>
  <c r="AU12" i="31" s="1"/>
  <c r="I12" i="31"/>
  <c r="AN12" i="31" s="1"/>
  <c r="AV12" i="31" s="1"/>
  <c r="J12" i="31"/>
  <c r="AO12" i="31" s="1"/>
  <c r="AW12" i="31" s="1"/>
  <c r="M12" i="31"/>
  <c r="Q13" i="31"/>
  <c r="F13" i="31"/>
  <c r="G13" i="31"/>
  <c r="AL13" i="31" s="1"/>
  <c r="AT13" i="31" s="1"/>
  <c r="H13" i="31"/>
  <c r="AM13" i="31" s="1"/>
  <c r="AU13" i="31" s="1"/>
  <c r="I13" i="31"/>
  <c r="AN13" i="31" s="1"/>
  <c r="AV13" i="31" s="1"/>
  <c r="J13" i="31"/>
  <c r="AO13" i="31" s="1"/>
  <c r="AW13" i="31" s="1"/>
  <c r="M13" i="31"/>
  <c r="N13" i="31"/>
  <c r="Q14" i="31"/>
  <c r="F14" i="31"/>
  <c r="G14" i="31"/>
  <c r="AL14" i="31" s="1"/>
  <c r="AT14" i="31" s="1"/>
  <c r="H14" i="31"/>
  <c r="AM14" i="31" s="1"/>
  <c r="AU14" i="31" s="1"/>
  <c r="I14" i="31"/>
  <c r="AN14" i="31" s="1"/>
  <c r="AV14" i="31" s="1"/>
  <c r="J14" i="31"/>
  <c r="AO14" i="31" s="1"/>
  <c r="AW14" i="31" s="1"/>
  <c r="N14" i="31"/>
  <c r="Q15" i="31"/>
  <c r="F15" i="31"/>
  <c r="G15" i="31"/>
  <c r="AL15" i="31" s="1"/>
  <c r="AT15" i="31" s="1"/>
  <c r="H15" i="31"/>
  <c r="AM15" i="31" s="1"/>
  <c r="AU15" i="31" s="1"/>
  <c r="I15" i="31"/>
  <c r="AN15" i="31" s="1"/>
  <c r="AV15" i="31" s="1"/>
  <c r="J15" i="31"/>
  <c r="AO15" i="31" s="1"/>
  <c r="AW15" i="31" s="1"/>
  <c r="M15" i="31"/>
  <c r="N15" i="31"/>
  <c r="Q16" i="31"/>
  <c r="F16" i="31"/>
  <c r="G16" i="31"/>
  <c r="AL16" i="31" s="1"/>
  <c r="AT16" i="31" s="1"/>
  <c r="H16" i="31"/>
  <c r="AM16" i="31" s="1"/>
  <c r="AU16" i="31" s="1"/>
  <c r="I16" i="31"/>
  <c r="AN16" i="31" s="1"/>
  <c r="AV16" i="31" s="1"/>
  <c r="J16" i="31"/>
  <c r="AO16" i="31" s="1"/>
  <c r="AW16" i="31" s="1"/>
  <c r="M16" i="31"/>
  <c r="N16" i="31"/>
  <c r="Q17" i="31"/>
  <c r="F17" i="31"/>
  <c r="G17" i="31"/>
  <c r="AL17" i="31" s="1"/>
  <c r="AT17" i="31" s="1"/>
  <c r="H17" i="31"/>
  <c r="AM17" i="31" s="1"/>
  <c r="AU17" i="31" s="1"/>
  <c r="I17" i="31"/>
  <c r="AN17" i="31" s="1"/>
  <c r="AV17" i="31" s="1"/>
  <c r="J17" i="31"/>
  <c r="AO17" i="31" s="1"/>
  <c r="AW17" i="31" s="1"/>
  <c r="M17" i="31"/>
  <c r="N17" i="31"/>
  <c r="Q18" i="31"/>
  <c r="F18" i="31"/>
  <c r="G18" i="31"/>
  <c r="AL18" i="31" s="1"/>
  <c r="AT18" i="31" s="1"/>
  <c r="H18" i="31"/>
  <c r="AM18" i="31" s="1"/>
  <c r="AU18" i="31" s="1"/>
  <c r="I18" i="31"/>
  <c r="AN18" i="31" s="1"/>
  <c r="AV18" i="31" s="1"/>
  <c r="J18" i="31"/>
  <c r="AO18" i="31" s="1"/>
  <c r="AW18" i="31" s="1"/>
  <c r="N18" i="31"/>
  <c r="Q19" i="31"/>
  <c r="F19" i="31"/>
  <c r="G19" i="31"/>
  <c r="AL19" i="31" s="1"/>
  <c r="AT19" i="31" s="1"/>
  <c r="H19" i="31"/>
  <c r="AM19" i="31" s="1"/>
  <c r="AU19" i="31" s="1"/>
  <c r="I19" i="31"/>
  <c r="AN19" i="31" s="1"/>
  <c r="AV19" i="31" s="1"/>
  <c r="J19" i="31"/>
  <c r="AO19" i="31" s="1"/>
  <c r="AW19" i="31" s="1"/>
  <c r="M19" i="31"/>
  <c r="Q20" i="31"/>
  <c r="F20" i="31"/>
  <c r="G20" i="31"/>
  <c r="AL20" i="31" s="1"/>
  <c r="AT20" i="31" s="1"/>
  <c r="H20" i="31"/>
  <c r="AM20" i="31" s="1"/>
  <c r="AU20" i="31" s="1"/>
  <c r="I20" i="31"/>
  <c r="AN20" i="31" s="1"/>
  <c r="AV20" i="31" s="1"/>
  <c r="J20" i="31"/>
  <c r="AO20" i="31" s="1"/>
  <c r="AW20" i="31" s="1"/>
  <c r="M20" i="31"/>
  <c r="N20" i="31"/>
  <c r="Q21" i="31"/>
  <c r="F21" i="31"/>
  <c r="G21" i="31"/>
  <c r="AL21" i="31" s="1"/>
  <c r="AT21" i="31" s="1"/>
  <c r="H21" i="31"/>
  <c r="AM21" i="31" s="1"/>
  <c r="AU21" i="31" s="1"/>
  <c r="I21" i="31"/>
  <c r="AN21" i="31" s="1"/>
  <c r="AV21" i="31" s="1"/>
  <c r="J21" i="31"/>
  <c r="AO21" i="31" s="1"/>
  <c r="AW21" i="31" s="1"/>
  <c r="M21" i="31"/>
  <c r="Q22" i="31"/>
  <c r="F22" i="31"/>
  <c r="G22" i="31"/>
  <c r="AL22" i="31" s="1"/>
  <c r="AT22" i="31" s="1"/>
  <c r="H22" i="31"/>
  <c r="AM22" i="31" s="1"/>
  <c r="AU22" i="31" s="1"/>
  <c r="I22" i="31"/>
  <c r="AN22" i="31" s="1"/>
  <c r="AV22" i="31" s="1"/>
  <c r="J22" i="31"/>
  <c r="AO22" i="31" s="1"/>
  <c r="AW22" i="31" s="1"/>
  <c r="M22" i="31"/>
  <c r="N22" i="31"/>
  <c r="Q23" i="31"/>
  <c r="F23" i="31"/>
  <c r="G23" i="31"/>
  <c r="AL23" i="31" s="1"/>
  <c r="AT23" i="31" s="1"/>
  <c r="H23" i="31"/>
  <c r="AM23" i="31" s="1"/>
  <c r="AU23" i="31" s="1"/>
  <c r="I23" i="31"/>
  <c r="AN23" i="31" s="1"/>
  <c r="AV23" i="31" s="1"/>
  <c r="J23" i="31"/>
  <c r="AO23" i="31" s="1"/>
  <c r="AW23" i="31" s="1"/>
  <c r="M23" i="31"/>
  <c r="Q24" i="31"/>
  <c r="F24" i="31"/>
  <c r="G24" i="31"/>
  <c r="AL24" i="31" s="1"/>
  <c r="AT24" i="31" s="1"/>
  <c r="I24" i="31"/>
  <c r="AN24" i="31" s="1"/>
  <c r="AV24" i="31" s="1"/>
  <c r="J24" i="31"/>
  <c r="AO24" i="31" s="1"/>
  <c r="AW24" i="31" s="1"/>
  <c r="M24" i="31"/>
  <c r="Q25" i="31"/>
  <c r="F25" i="31"/>
  <c r="G25" i="31"/>
  <c r="AL25" i="31" s="1"/>
  <c r="AT25" i="31" s="1"/>
  <c r="H25" i="31"/>
  <c r="AM25" i="31" s="1"/>
  <c r="AU25" i="31" s="1"/>
  <c r="I25" i="31"/>
  <c r="AN25" i="31" s="1"/>
  <c r="AV25" i="31" s="1"/>
  <c r="J25" i="31"/>
  <c r="AO25" i="31" s="1"/>
  <c r="AW25" i="31" s="1"/>
  <c r="M25" i="31"/>
  <c r="N25" i="31"/>
  <c r="Q26" i="31"/>
  <c r="F26" i="31"/>
  <c r="G26" i="31"/>
  <c r="AL26" i="31" s="1"/>
  <c r="AT26" i="31" s="1"/>
  <c r="H26" i="31"/>
  <c r="AM26" i="31" s="1"/>
  <c r="AU26" i="31" s="1"/>
  <c r="I26" i="31"/>
  <c r="AN26" i="31" s="1"/>
  <c r="AV26" i="31" s="1"/>
  <c r="J26" i="31"/>
  <c r="AO26" i="31" s="1"/>
  <c r="AW26" i="31" s="1"/>
  <c r="M26" i="31"/>
  <c r="Q27" i="31"/>
  <c r="F27" i="31"/>
  <c r="G27" i="31"/>
  <c r="AL27" i="31" s="1"/>
  <c r="AT27" i="31" s="1"/>
  <c r="H27" i="31"/>
  <c r="AM27" i="31" s="1"/>
  <c r="AU27" i="31" s="1"/>
  <c r="I27" i="31"/>
  <c r="AN27" i="31" s="1"/>
  <c r="AV27" i="31" s="1"/>
  <c r="J27" i="31"/>
  <c r="AO27" i="31" s="1"/>
  <c r="AW27" i="31" s="1"/>
  <c r="M27" i="31"/>
  <c r="N27" i="31"/>
  <c r="Q28" i="31"/>
  <c r="F28" i="31"/>
  <c r="G28" i="31"/>
  <c r="AL28" i="31" s="1"/>
  <c r="AT28" i="31" s="1"/>
  <c r="H28" i="31"/>
  <c r="AM28" i="31" s="1"/>
  <c r="AU28" i="31" s="1"/>
  <c r="J28" i="31"/>
  <c r="AO28" i="31" s="1"/>
  <c r="AW28" i="31" s="1"/>
  <c r="M28" i="31"/>
  <c r="N28" i="31"/>
  <c r="Q29" i="31"/>
  <c r="F29" i="31"/>
  <c r="G29" i="31"/>
  <c r="AL29" i="31" s="1"/>
  <c r="AT29" i="31" s="1"/>
  <c r="H29" i="31"/>
  <c r="AM29" i="31" s="1"/>
  <c r="AU29" i="31" s="1"/>
  <c r="I29" i="31"/>
  <c r="AN29" i="31" s="1"/>
  <c r="AV29" i="31" s="1"/>
  <c r="J29" i="31"/>
  <c r="AO29" i="31" s="1"/>
  <c r="AW29" i="31" s="1"/>
  <c r="M29" i="31"/>
  <c r="Q30" i="31"/>
  <c r="F30" i="31"/>
  <c r="G30" i="31"/>
  <c r="AL30" i="31" s="1"/>
  <c r="AT30" i="31" s="1"/>
  <c r="H30" i="31"/>
  <c r="AM30" i="31" s="1"/>
  <c r="AU30" i="31" s="1"/>
  <c r="I30" i="31"/>
  <c r="AN30" i="31" s="1"/>
  <c r="AV30" i="31" s="1"/>
  <c r="J30" i="31"/>
  <c r="AO30" i="31" s="1"/>
  <c r="AW30" i="31" s="1"/>
  <c r="M30" i="31"/>
  <c r="N30" i="31"/>
  <c r="Q31" i="31"/>
  <c r="F31" i="31"/>
  <c r="G31" i="31"/>
  <c r="AL31" i="31" s="1"/>
  <c r="AT31" i="31" s="1"/>
  <c r="H31" i="31"/>
  <c r="AM31" i="31" s="1"/>
  <c r="AU31" i="31" s="1"/>
  <c r="I31" i="31"/>
  <c r="AN31" i="31" s="1"/>
  <c r="AV31" i="31" s="1"/>
  <c r="J31" i="31"/>
  <c r="AO31" i="31" s="1"/>
  <c r="AW31" i="31" s="1"/>
  <c r="M31" i="31"/>
  <c r="N31" i="31"/>
  <c r="Q32" i="31"/>
  <c r="F32" i="31"/>
  <c r="G32" i="31"/>
  <c r="AL32" i="31" s="1"/>
  <c r="AT32" i="31" s="1"/>
  <c r="H32" i="31"/>
  <c r="AM32" i="31" s="1"/>
  <c r="AU32" i="31" s="1"/>
  <c r="I32" i="31"/>
  <c r="AN32" i="31" s="1"/>
  <c r="AV32" i="31" s="1"/>
  <c r="J32" i="31"/>
  <c r="AO32" i="31" s="1"/>
  <c r="AW32" i="31" s="1"/>
  <c r="M32" i="31"/>
  <c r="N32" i="31"/>
  <c r="Q33" i="31"/>
  <c r="F33" i="31"/>
  <c r="G33" i="31"/>
  <c r="AL33" i="31" s="1"/>
  <c r="AT33" i="31" s="1"/>
  <c r="H33" i="31"/>
  <c r="AM33" i="31" s="1"/>
  <c r="AU33" i="31" s="1"/>
  <c r="I33" i="31"/>
  <c r="AN33" i="31" s="1"/>
  <c r="AV33" i="31" s="1"/>
  <c r="J33" i="31"/>
  <c r="AO33" i="31" s="1"/>
  <c r="AW33" i="31" s="1"/>
  <c r="M33" i="31"/>
  <c r="Q34" i="31"/>
  <c r="F34" i="31"/>
  <c r="G34" i="31"/>
  <c r="AL34" i="31" s="1"/>
  <c r="AT34" i="31" s="1"/>
  <c r="H34" i="31"/>
  <c r="AM34" i="31" s="1"/>
  <c r="AU34" i="31" s="1"/>
  <c r="I34" i="31"/>
  <c r="AN34" i="31" s="1"/>
  <c r="AV34" i="31" s="1"/>
  <c r="J34" i="31"/>
  <c r="AO34" i="31" s="1"/>
  <c r="AW34" i="31" s="1"/>
  <c r="M34" i="31"/>
  <c r="N34" i="31"/>
  <c r="Q35" i="31"/>
  <c r="F35" i="31"/>
  <c r="G35" i="31"/>
  <c r="AL35" i="31" s="1"/>
  <c r="AT35" i="31" s="1"/>
  <c r="H35" i="31"/>
  <c r="AM35" i="31" s="1"/>
  <c r="AU35" i="31" s="1"/>
  <c r="I35" i="31"/>
  <c r="AN35" i="31" s="1"/>
  <c r="AV35" i="31" s="1"/>
  <c r="J35" i="31"/>
  <c r="AO35" i="31" s="1"/>
  <c r="AW35" i="31" s="1"/>
  <c r="M35" i="31"/>
  <c r="N35" i="31"/>
  <c r="Q36" i="31"/>
  <c r="F36" i="31"/>
  <c r="H36" i="31"/>
  <c r="AM36" i="31" s="1"/>
  <c r="AU36" i="31" s="1"/>
  <c r="I36" i="31"/>
  <c r="AN36" i="31" s="1"/>
  <c r="AV36" i="31" s="1"/>
  <c r="J36" i="31"/>
  <c r="AO36" i="31" s="1"/>
  <c r="AW36" i="31" s="1"/>
  <c r="N36" i="31"/>
  <c r="Q37" i="31"/>
  <c r="F37" i="31"/>
  <c r="G37" i="31"/>
  <c r="AL37" i="31" s="1"/>
  <c r="AT37" i="31" s="1"/>
  <c r="H37" i="31"/>
  <c r="AM37" i="31" s="1"/>
  <c r="AU37" i="31" s="1"/>
  <c r="I37" i="31"/>
  <c r="AN37" i="31" s="1"/>
  <c r="AV37" i="31" s="1"/>
  <c r="J37" i="31"/>
  <c r="AO37" i="31" s="1"/>
  <c r="AW37" i="31" s="1"/>
  <c r="M37" i="31"/>
  <c r="N37" i="31"/>
  <c r="Q38" i="31"/>
  <c r="F38" i="31"/>
  <c r="G38" i="31"/>
  <c r="AL38" i="31" s="1"/>
  <c r="AT38" i="31" s="1"/>
  <c r="H38" i="31"/>
  <c r="AM38" i="31" s="1"/>
  <c r="AU38" i="31" s="1"/>
  <c r="I38" i="31"/>
  <c r="AN38" i="31" s="1"/>
  <c r="AV38" i="31" s="1"/>
  <c r="J38" i="31"/>
  <c r="AO38" i="31" s="1"/>
  <c r="AW38" i="31" s="1"/>
  <c r="M38" i="31"/>
  <c r="N38" i="31"/>
  <c r="Q39" i="31"/>
  <c r="F39" i="31"/>
  <c r="G39" i="31"/>
  <c r="AL39" i="31" s="1"/>
  <c r="AT39" i="31" s="1"/>
  <c r="H39" i="31"/>
  <c r="AM39" i="31" s="1"/>
  <c r="AU39" i="31" s="1"/>
  <c r="I39" i="31"/>
  <c r="AN39" i="31" s="1"/>
  <c r="AV39" i="31" s="1"/>
  <c r="J39" i="31"/>
  <c r="AO39" i="31" s="1"/>
  <c r="AW39" i="31" s="1"/>
  <c r="M39" i="31"/>
  <c r="Q40" i="31"/>
  <c r="F40" i="31"/>
  <c r="G40" i="31"/>
  <c r="AL40" i="31" s="1"/>
  <c r="AT40" i="31" s="1"/>
  <c r="H40" i="31"/>
  <c r="AM40" i="31" s="1"/>
  <c r="AU40" i="31" s="1"/>
  <c r="I40" i="31"/>
  <c r="AN40" i="31" s="1"/>
  <c r="AV40" i="31" s="1"/>
  <c r="J40" i="31"/>
  <c r="AO40" i="31" s="1"/>
  <c r="AW40" i="31" s="1"/>
  <c r="M40" i="31"/>
  <c r="N40" i="31"/>
  <c r="Q41" i="31"/>
  <c r="F41" i="31"/>
  <c r="G41" i="31"/>
  <c r="AL41" i="31" s="1"/>
  <c r="AT41" i="31" s="1"/>
  <c r="H41" i="31"/>
  <c r="AM41" i="31" s="1"/>
  <c r="AU41" i="31" s="1"/>
  <c r="I41" i="31"/>
  <c r="AN41" i="31" s="1"/>
  <c r="AV41" i="31" s="1"/>
  <c r="J41" i="31"/>
  <c r="AO41" i="31" s="1"/>
  <c r="AW41" i="31" s="1"/>
  <c r="M41" i="31"/>
  <c r="N41" i="31"/>
  <c r="Q42" i="31"/>
  <c r="F42" i="31"/>
  <c r="G42" i="31"/>
  <c r="AL42" i="31" s="1"/>
  <c r="AT42" i="31" s="1"/>
  <c r="H42" i="31"/>
  <c r="AM42" i="31" s="1"/>
  <c r="AU42" i="31" s="1"/>
  <c r="I42" i="31"/>
  <c r="AN42" i="31" s="1"/>
  <c r="AV42" i="31" s="1"/>
  <c r="J42" i="31"/>
  <c r="AO42" i="31" s="1"/>
  <c r="AW42" i="31" s="1"/>
  <c r="M42" i="31"/>
  <c r="N42" i="31"/>
  <c r="Q43" i="31"/>
  <c r="F43" i="31"/>
  <c r="G43" i="31"/>
  <c r="AL43" i="31" s="1"/>
  <c r="AT43" i="31" s="1"/>
  <c r="H43" i="31"/>
  <c r="AM43" i="31" s="1"/>
  <c r="AU43" i="31" s="1"/>
  <c r="I43" i="31"/>
  <c r="AN43" i="31" s="1"/>
  <c r="AV43" i="31" s="1"/>
  <c r="J43" i="31"/>
  <c r="AO43" i="31" s="1"/>
  <c r="AW43" i="31" s="1"/>
  <c r="M43" i="31"/>
  <c r="N43" i="31"/>
  <c r="Q44" i="31"/>
  <c r="F44" i="31"/>
  <c r="G44" i="31"/>
  <c r="AL44" i="31" s="1"/>
  <c r="AT44" i="31" s="1"/>
  <c r="H44" i="31"/>
  <c r="AM44" i="31" s="1"/>
  <c r="AU44" i="31" s="1"/>
  <c r="I44" i="31"/>
  <c r="AN44" i="31" s="1"/>
  <c r="AV44" i="31" s="1"/>
  <c r="J44" i="31"/>
  <c r="AO44" i="31" s="1"/>
  <c r="AW44" i="31" s="1"/>
  <c r="M44" i="31"/>
  <c r="N44" i="31"/>
  <c r="Q45" i="31"/>
  <c r="F45" i="31"/>
  <c r="G45" i="31"/>
  <c r="AL45" i="31" s="1"/>
  <c r="AT45" i="31" s="1"/>
  <c r="H45" i="31"/>
  <c r="AM45" i="31" s="1"/>
  <c r="AU45" i="31" s="1"/>
  <c r="I45" i="31"/>
  <c r="AN45" i="31" s="1"/>
  <c r="AV45" i="31" s="1"/>
  <c r="J45" i="31"/>
  <c r="AO45" i="31" s="1"/>
  <c r="AW45" i="31" s="1"/>
  <c r="M45" i="31"/>
  <c r="N45" i="31"/>
  <c r="Q46" i="31"/>
  <c r="F46" i="31"/>
  <c r="G46" i="31"/>
  <c r="AL46" i="31" s="1"/>
  <c r="AT46" i="31" s="1"/>
  <c r="H46" i="31"/>
  <c r="AM46" i="31" s="1"/>
  <c r="AU46" i="31" s="1"/>
  <c r="I46" i="31"/>
  <c r="AN46" i="31" s="1"/>
  <c r="AV46" i="31" s="1"/>
  <c r="J46" i="31"/>
  <c r="AO46" i="31" s="1"/>
  <c r="AW46" i="31" s="1"/>
  <c r="M46" i="31"/>
  <c r="N46" i="31"/>
  <c r="Q47" i="31"/>
  <c r="F47" i="31"/>
  <c r="G47" i="31"/>
  <c r="AL47" i="31" s="1"/>
  <c r="AT47" i="31" s="1"/>
  <c r="H47" i="31"/>
  <c r="AM47" i="31" s="1"/>
  <c r="AU47" i="31" s="1"/>
  <c r="I47" i="31"/>
  <c r="AN47" i="31" s="1"/>
  <c r="AV47" i="31" s="1"/>
  <c r="J47" i="31"/>
  <c r="AO47" i="31" s="1"/>
  <c r="AW47" i="31" s="1"/>
  <c r="M47" i="31"/>
  <c r="N47" i="31"/>
  <c r="Q48" i="31"/>
  <c r="F48" i="31"/>
  <c r="G48" i="31"/>
  <c r="AL48" i="31" s="1"/>
  <c r="AT48" i="31" s="1"/>
  <c r="H48" i="31"/>
  <c r="AM48" i="31" s="1"/>
  <c r="AU48" i="31" s="1"/>
  <c r="I48" i="31"/>
  <c r="AN48" i="31" s="1"/>
  <c r="AV48" i="31" s="1"/>
  <c r="J48" i="31"/>
  <c r="AO48" i="31" s="1"/>
  <c r="AW48" i="31" s="1"/>
  <c r="M48" i="31"/>
  <c r="N48" i="31"/>
  <c r="Q49" i="31"/>
  <c r="F49" i="31"/>
  <c r="G49" i="31"/>
  <c r="AL49" i="31" s="1"/>
  <c r="AT49" i="31" s="1"/>
  <c r="H49" i="31"/>
  <c r="AM49" i="31" s="1"/>
  <c r="AU49" i="31" s="1"/>
  <c r="I49" i="31"/>
  <c r="AN49" i="31" s="1"/>
  <c r="AV49" i="31" s="1"/>
  <c r="J49" i="31"/>
  <c r="AO49" i="31" s="1"/>
  <c r="AW49" i="31" s="1"/>
  <c r="M49" i="31"/>
  <c r="N49" i="31"/>
  <c r="Q50" i="31"/>
  <c r="F50" i="31"/>
  <c r="G50" i="31"/>
  <c r="AL50" i="31" s="1"/>
  <c r="AT50" i="31" s="1"/>
  <c r="H50" i="31"/>
  <c r="AM50" i="31" s="1"/>
  <c r="AU50" i="31" s="1"/>
  <c r="I50" i="31"/>
  <c r="AN50" i="31" s="1"/>
  <c r="AV50" i="31" s="1"/>
  <c r="J50" i="31"/>
  <c r="AO50" i="31" s="1"/>
  <c r="AW50" i="31" s="1"/>
  <c r="M50" i="31"/>
  <c r="N50" i="31"/>
  <c r="Q51" i="31"/>
  <c r="F51" i="31"/>
  <c r="G51" i="31"/>
  <c r="AL51" i="31" s="1"/>
  <c r="AT51" i="31" s="1"/>
  <c r="H51" i="31"/>
  <c r="AM51" i="31" s="1"/>
  <c r="AU51" i="31" s="1"/>
  <c r="I51" i="31"/>
  <c r="AN51" i="31" s="1"/>
  <c r="AV51" i="31" s="1"/>
  <c r="J51" i="31"/>
  <c r="AO51" i="31" s="1"/>
  <c r="AW51" i="31" s="1"/>
  <c r="M51" i="31"/>
  <c r="N51" i="31"/>
  <c r="Q52" i="31"/>
  <c r="F52" i="31"/>
  <c r="G52" i="31"/>
  <c r="AL52" i="31" s="1"/>
  <c r="AT52" i="31" s="1"/>
  <c r="H52" i="31"/>
  <c r="AM52" i="31" s="1"/>
  <c r="AU52" i="31" s="1"/>
  <c r="I52" i="31"/>
  <c r="AN52" i="31" s="1"/>
  <c r="AV52" i="31" s="1"/>
  <c r="J52" i="31"/>
  <c r="AO52" i="31" s="1"/>
  <c r="AW52" i="31" s="1"/>
  <c r="M52" i="31"/>
  <c r="N52" i="31"/>
  <c r="Q53" i="31"/>
  <c r="F53" i="31"/>
  <c r="G53" i="31"/>
  <c r="AL53" i="31" s="1"/>
  <c r="AT53" i="31" s="1"/>
  <c r="H53" i="31"/>
  <c r="AM53" i="31" s="1"/>
  <c r="AU53" i="31" s="1"/>
  <c r="I53" i="31"/>
  <c r="AN53" i="31" s="1"/>
  <c r="AV53" i="31" s="1"/>
  <c r="J53" i="31"/>
  <c r="AO53" i="31" s="1"/>
  <c r="AW53" i="31" s="1"/>
  <c r="M53" i="31"/>
  <c r="N53" i="31"/>
  <c r="Q54" i="31"/>
  <c r="F54" i="31"/>
  <c r="G54" i="31"/>
  <c r="AL54" i="31" s="1"/>
  <c r="AT54" i="31" s="1"/>
  <c r="H54" i="31"/>
  <c r="AM54" i="31" s="1"/>
  <c r="AU54" i="31" s="1"/>
  <c r="I54" i="31"/>
  <c r="AN54" i="31" s="1"/>
  <c r="AV54" i="31" s="1"/>
  <c r="J54" i="31"/>
  <c r="AO54" i="31" s="1"/>
  <c r="AW54" i="31" s="1"/>
  <c r="M54" i="31"/>
  <c r="N54" i="31"/>
  <c r="Q55" i="31"/>
  <c r="F55" i="31"/>
  <c r="G55" i="31"/>
  <c r="AL55" i="31" s="1"/>
  <c r="AT55" i="31" s="1"/>
  <c r="H55" i="31"/>
  <c r="AM55" i="31" s="1"/>
  <c r="AU55" i="31" s="1"/>
  <c r="I55" i="31"/>
  <c r="AN55" i="31" s="1"/>
  <c r="AV55" i="31" s="1"/>
  <c r="J55" i="31"/>
  <c r="AO55" i="31" s="1"/>
  <c r="AW55" i="31" s="1"/>
  <c r="M55" i="31"/>
  <c r="N55" i="31"/>
  <c r="Q56" i="31"/>
  <c r="F56" i="31"/>
  <c r="G56" i="31"/>
  <c r="AL56" i="31" s="1"/>
  <c r="AT56" i="31" s="1"/>
  <c r="H56" i="31"/>
  <c r="AM56" i="31" s="1"/>
  <c r="AU56" i="31" s="1"/>
  <c r="I56" i="31"/>
  <c r="AN56" i="31" s="1"/>
  <c r="AV56" i="31" s="1"/>
  <c r="J56" i="31"/>
  <c r="AO56" i="31" s="1"/>
  <c r="AW56" i="31" s="1"/>
  <c r="M56" i="31"/>
  <c r="N56" i="31"/>
  <c r="Q57" i="31"/>
  <c r="F57" i="31"/>
  <c r="G57" i="31"/>
  <c r="AL57" i="31" s="1"/>
  <c r="AT57" i="31" s="1"/>
  <c r="H57" i="31"/>
  <c r="AM57" i="31" s="1"/>
  <c r="AU57" i="31" s="1"/>
  <c r="I57" i="31"/>
  <c r="AN57" i="31" s="1"/>
  <c r="AV57" i="31" s="1"/>
  <c r="J57" i="31"/>
  <c r="AO57" i="31" s="1"/>
  <c r="AW57" i="31" s="1"/>
  <c r="M57" i="31"/>
  <c r="N57" i="31"/>
  <c r="Q58" i="31"/>
  <c r="F58" i="31"/>
  <c r="G58" i="31"/>
  <c r="AL58" i="31" s="1"/>
  <c r="AT58" i="31" s="1"/>
  <c r="H58" i="31"/>
  <c r="AM58" i="31" s="1"/>
  <c r="AU58" i="31" s="1"/>
  <c r="I58" i="31"/>
  <c r="AN58" i="31" s="1"/>
  <c r="AV58" i="31" s="1"/>
  <c r="J58" i="31"/>
  <c r="AO58" i="31" s="1"/>
  <c r="AW58" i="31" s="1"/>
  <c r="M58" i="31"/>
  <c r="N58" i="31"/>
  <c r="Q59" i="31"/>
  <c r="F59" i="31"/>
  <c r="G59" i="31"/>
  <c r="AL59" i="31" s="1"/>
  <c r="AT59" i="31" s="1"/>
  <c r="H59" i="31"/>
  <c r="AM59" i="31" s="1"/>
  <c r="AU59" i="31" s="1"/>
  <c r="I59" i="31"/>
  <c r="AN59" i="31" s="1"/>
  <c r="AV59" i="31" s="1"/>
  <c r="J59" i="31"/>
  <c r="AO59" i="31" s="1"/>
  <c r="AW59" i="31" s="1"/>
  <c r="M59" i="31"/>
  <c r="Q60" i="31"/>
  <c r="F60" i="31"/>
  <c r="G60" i="31"/>
  <c r="AL60" i="31" s="1"/>
  <c r="AT60" i="31" s="1"/>
  <c r="H60" i="31"/>
  <c r="AM60" i="31" s="1"/>
  <c r="AU60" i="31" s="1"/>
  <c r="I60" i="31"/>
  <c r="AN60" i="31" s="1"/>
  <c r="AV60" i="31" s="1"/>
  <c r="J60" i="31"/>
  <c r="AO60" i="31" s="1"/>
  <c r="AW60" i="31" s="1"/>
  <c r="M60" i="31"/>
  <c r="N60" i="31"/>
  <c r="Q61" i="31"/>
  <c r="F61" i="31"/>
  <c r="G61" i="31"/>
  <c r="AL61" i="31" s="1"/>
  <c r="AT61" i="31" s="1"/>
  <c r="H61" i="31"/>
  <c r="AM61" i="31" s="1"/>
  <c r="AU61" i="31" s="1"/>
  <c r="I61" i="31"/>
  <c r="AN61" i="31" s="1"/>
  <c r="AV61" i="31" s="1"/>
  <c r="J61" i="31"/>
  <c r="AO61" i="31" s="1"/>
  <c r="AW61" i="31" s="1"/>
  <c r="M61" i="31"/>
  <c r="N61" i="31"/>
  <c r="Q62" i="31"/>
  <c r="F62" i="31"/>
  <c r="G62" i="31"/>
  <c r="AL62" i="31" s="1"/>
  <c r="AT62" i="31" s="1"/>
  <c r="H62" i="31"/>
  <c r="AM62" i="31" s="1"/>
  <c r="AU62" i="31" s="1"/>
  <c r="I62" i="31"/>
  <c r="AN62" i="31" s="1"/>
  <c r="AV62" i="31" s="1"/>
  <c r="J62" i="31"/>
  <c r="AO62" i="31" s="1"/>
  <c r="AW62" i="31" s="1"/>
  <c r="M62" i="31"/>
  <c r="N62" i="31"/>
  <c r="Q63" i="31"/>
  <c r="F63" i="31"/>
  <c r="G63" i="31"/>
  <c r="AL63" i="31" s="1"/>
  <c r="AT63" i="31" s="1"/>
  <c r="H63" i="31"/>
  <c r="AM63" i="31" s="1"/>
  <c r="AU63" i="31" s="1"/>
  <c r="I63" i="31"/>
  <c r="AN63" i="31" s="1"/>
  <c r="AV63" i="31" s="1"/>
  <c r="J63" i="31"/>
  <c r="AO63" i="31" s="1"/>
  <c r="AW63" i="31" s="1"/>
  <c r="M63" i="31"/>
  <c r="N63" i="31"/>
  <c r="Q64" i="31"/>
  <c r="F64" i="31"/>
  <c r="G64" i="31"/>
  <c r="AL64" i="31" s="1"/>
  <c r="AT64" i="31" s="1"/>
  <c r="H64" i="31"/>
  <c r="AM64" i="31" s="1"/>
  <c r="AU64" i="31" s="1"/>
  <c r="I64" i="31"/>
  <c r="AN64" i="31" s="1"/>
  <c r="AV64" i="31" s="1"/>
  <c r="J64" i="31"/>
  <c r="AO64" i="31" s="1"/>
  <c r="AW64" i="31" s="1"/>
  <c r="M64" i="31"/>
  <c r="N64" i="31"/>
  <c r="Q65" i="31"/>
  <c r="F65" i="31"/>
  <c r="G65" i="31"/>
  <c r="AL65" i="31" s="1"/>
  <c r="AT65" i="31" s="1"/>
  <c r="H65" i="31"/>
  <c r="AM65" i="31" s="1"/>
  <c r="AU65" i="31" s="1"/>
  <c r="I65" i="31"/>
  <c r="AN65" i="31" s="1"/>
  <c r="AV65" i="31" s="1"/>
  <c r="J65" i="31"/>
  <c r="AO65" i="31" s="1"/>
  <c r="AW65" i="31" s="1"/>
  <c r="M65" i="31"/>
  <c r="Q66" i="31"/>
  <c r="F66" i="31"/>
  <c r="G66" i="31"/>
  <c r="AL66" i="31" s="1"/>
  <c r="AT66" i="31" s="1"/>
  <c r="H66" i="31"/>
  <c r="AM66" i="31" s="1"/>
  <c r="AU66" i="31" s="1"/>
  <c r="I66" i="31"/>
  <c r="AN66" i="31" s="1"/>
  <c r="AV66" i="31" s="1"/>
  <c r="J66" i="31"/>
  <c r="AO66" i="31" s="1"/>
  <c r="AW66" i="31" s="1"/>
  <c r="N66" i="31"/>
  <c r="Q67" i="31"/>
  <c r="F67" i="31"/>
  <c r="G67" i="31"/>
  <c r="AL67" i="31" s="1"/>
  <c r="AT67" i="31" s="1"/>
  <c r="H67" i="31"/>
  <c r="AM67" i="31" s="1"/>
  <c r="AU67" i="31" s="1"/>
  <c r="I67" i="31"/>
  <c r="AN67" i="31" s="1"/>
  <c r="AV67" i="31" s="1"/>
  <c r="J67" i="31"/>
  <c r="AO67" i="31" s="1"/>
  <c r="AW67" i="31" s="1"/>
  <c r="M67" i="31"/>
  <c r="N67" i="31"/>
  <c r="Q68" i="31"/>
  <c r="F68" i="31"/>
  <c r="G68" i="31"/>
  <c r="AL68" i="31" s="1"/>
  <c r="AT68" i="31" s="1"/>
  <c r="H68" i="31"/>
  <c r="AM68" i="31" s="1"/>
  <c r="AU68" i="31" s="1"/>
  <c r="I68" i="31"/>
  <c r="AN68" i="31" s="1"/>
  <c r="AV68" i="31" s="1"/>
  <c r="J68" i="31"/>
  <c r="AO68" i="31" s="1"/>
  <c r="AW68" i="31" s="1"/>
  <c r="M68" i="31"/>
  <c r="N68" i="31"/>
  <c r="Q69" i="31"/>
  <c r="F69" i="31"/>
  <c r="G69" i="31"/>
  <c r="AL69" i="31" s="1"/>
  <c r="AT69" i="31" s="1"/>
  <c r="H69" i="31"/>
  <c r="AM69" i="31" s="1"/>
  <c r="AU69" i="31" s="1"/>
  <c r="I69" i="31"/>
  <c r="AN69" i="31" s="1"/>
  <c r="AV69" i="31" s="1"/>
  <c r="J69" i="31"/>
  <c r="AO69" i="31" s="1"/>
  <c r="AW69" i="31" s="1"/>
  <c r="M69" i="31"/>
  <c r="Q70" i="31"/>
  <c r="F70" i="31"/>
  <c r="G70" i="31"/>
  <c r="AL70" i="31" s="1"/>
  <c r="AT70" i="31" s="1"/>
  <c r="H70" i="31"/>
  <c r="AM70" i="31" s="1"/>
  <c r="AU70" i="31" s="1"/>
  <c r="I70" i="31"/>
  <c r="AN70" i="31" s="1"/>
  <c r="AV70" i="31" s="1"/>
  <c r="J70" i="31"/>
  <c r="AO70" i="31" s="1"/>
  <c r="AW70" i="31" s="1"/>
  <c r="M70" i="31"/>
  <c r="N70" i="31"/>
  <c r="Q71" i="31"/>
  <c r="F71" i="31"/>
  <c r="G71" i="31"/>
  <c r="AL71" i="31" s="1"/>
  <c r="AT71" i="31" s="1"/>
  <c r="H71" i="31"/>
  <c r="AM71" i="31" s="1"/>
  <c r="AU71" i="31" s="1"/>
  <c r="I71" i="31"/>
  <c r="AN71" i="31" s="1"/>
  <c r="AV71" i="31" s="1"/>
  <c r="J71" i="31"/>
  <c r="AO71" i="31" s="1"/>
  <c r="AW71" i="31" s="1"/>
  <c r="M71" i="31"/>
  <c r="N71" i="31"/>
  <c r="Q72" i="31"/>
  <c r="F72" i="31"/>
  <c r="G72" i="31"/>
  <c r="AL72" i="31" s="1"/>
  <c r="AT72" i="31" s="1"/>
  <c r="H72" i="31"/>
  <c r="AM72" i="31" s="1"/>
  <c r="AU72" i="31" s="1"/>
  <c r="I72" i="31"/>
  <c r="AN72" i="31" s="1"/>
  <c r="AV72" i="31" s="1"/>
  <c r="J72" i="31"/>
  <c r="AO72" i="31" s="1"/>
  <c r="AW72" i="31" s="1"/>
  <c r="M72" i="31"/>
  <c r="N72" i="31"/>
  <c r="Q73" i="31"/>
  <c r="F73" i="31"/>
  <c r="G73" i="31"/>
  <c r="AL73" i="31" s="1"/>
  <c r="AT73" i="31" s="1"/>
  <c r="H73" i="31"/>
  <c r="AM73" i="31" s="1"/>
  <c r="AU73" i="31" s="1"/>
  <c r="I73" i="31"/>
  <c r="AN73" i="31" s="1"/>
  <c r="AV73" i="31" s="1"/>
  <c r="J73" i="31"/>
  <c r="AO73" i="31" s="1"/>
  <c r="AW73" i="31" s="1"/>
  <c r="M73" i="31"/>
  <c r="N73" i="31"/>
  <c r="Q74" i="31"/>
  <c r="F74" i="31"/>
  <c r="G74" i="31"/>
  <c r="AL74" i="31" s="1"/>
  <c r="AT74" i="31" s="1"/>
  <c r="H74" i="31"/>
  <c r="AM74" i="31" s="1"/>
  <c r="AU74" i="31" s="1"/>
  <c r="I74" i="31"/>
  <c r="AN74" i="31" s="1"/>
  <c r="AV74" i="31" s="1"/>
  <c r="J74" i="31"/>
  <c r="AO74" i="31" s="1"/>
  <c r="AW74" i="31" s="1"/>
  <c r="M74" i="31"/>
  <c r="Q75" i="31"/>
  <c r="F75" i="31"/>
  <c r="G75" i="31"/>
  <c r="AL75" i="31" s="1"/>
  <c r="AT75" i="31" s="1"/>
  <c r="H75" i="31"/>
  <c r="AM75" i="31" s="1"/>
  <c r="AU75" i="31" s="1"/>
  <c r="I75" i="31"/>
  <c r="AN75" i="31" s="1"/>
  <c r="AV75" i="31" s="1"/>
  <c r="J75" i="31"/>
  <c r="AO75" i="31" s="1"/>
  <c r="AW75" i="31" s="1"/>
  <c r="M75" i="31"/>
  <c r="N75" i="31"/>
  <c r="Q76" i="31"/>
  <c r="F76" i="31"/>
  <c r="G76" i="31"/>
  <c r="AL76" i="31" s="1"/>
  <c r="AT76" i="31" s="1"/>
  <c r="H76" i="31"/>
  <c r="AM76" i="31" s="1"/>
  <c r="AU76" i="31" s="1"/>
  <c r="I76" i="31"/>
  <c r="AN76" i="31" s="1"/>
  <c r="AV76" i="31" s="1"/>
  <c r="J76" i="31"/>
  <c r="AO76" i="31" s="1"/>
  <c r="AW76" i="31" s="1"/>
  <c r="M76" i="31"/>
  <c r="N76" i="31"/>
  <c r="Q77" i="31"/>
  <c r="F77" i="31"/>
  <c r="G77" i="31"/>
  <c r="AL77" i="31" s="1"/>
  <c r="AT77" i="31" s="1"/>
  <c r="H77" i="31"/>
  <c r="AM77" i="31" s="1"/>
  <c r="AU77" i="31" s="1"/>
  <c r="I77" i="31"/>
  <c r="AN77" i="31" s="1"/>
  <c r="AV77" i="31" s="1"/>
  <c r="J77" i="31"/>
  <c r="AO77" i="31" s="1"/>
  <c r="AW77" i="31" s="1"/>
  <c r="M77" i="31"/>
  <c r="N77" i="31"/>
  <c r="Q78" i="31"/>
  <c r="F78" i="31"/>
  <c r="G78" i="31"/>
  <c r="AL78" i="31" s="1"/>
  <c r="AT78" i="31" s="1"/>
  <c r="H78" i="31"/>
  <c r="AM78" i="31" s="1"/>
  <c r="AU78" i="31" s="1"/>
  <c r="I78" i="31"/>
  <c r="AN78" i="31" s="1"/>
  <c r="AV78" i="31" s="1"/>
  <c r="J78" i="31"/>
  <c r="AO78" i="31" s="1"/>
  <c r="AW78" i="31" s="1"/>
  <c r="M78" i="31"/>
  <c r="N78" i="31"/>
  <c r="Q79" i="31"/>
  <c r="F79" i="31"/>
  <c r="G79" i="31"/>
  <c r="AL79" i="31" s="1"/>
  <c r="AT79" i="31" s="1"/>
  <c r="H79" i="31"/>
  <c r="AM79" i="31" s="1"/>
  <c r="AU79" i="31" s="1"/>
  <c r="I79" i="31"/>
  <c r="AN79" i="31" s="1"/>
  <c r="AV79" i="31" s="1"/>
  <c r="J79" i="31"/>
  <c r="AO79" i="31" s="1"/>
  <c r="AW79" i="31" s="1"/>
  <c r="M79" i="31"/>
  <c r="N79" i="31"/>
  <c r="Q80" i="31"/>
  <c r="F80" i="31"/>
  <c r="G80" i="31"/>
  <c r="AL80" i="31" s="1"/>
  <c r="AT80" i="31" s="1"/>
  <c r="H80" i="31"/>
  <c r="AM80" i="31" s="1"/>
  <c r="AU80" i="31" s="1"/>
  <c r="I80" i="31"/>
  <c r="AN80" i="31" s="1"/>
  <c r="AV80" i="31" s="1"/>
  <c r="J80" i="31"/>
  <c r="AO80" i="31" s="1"/>
  <c r="AW80" i="31" s="1"/>
  <c r="M80" i="31"/>
  <c r="Q81" i="31"/>
  <c r="F81" i="31"/>
  <c r="G81" i="31"/>
  <c r="AL81" i="31" s="1"/>
  <c r="AT81" i="31" s="1"/>
  <c r="H81" i="31"/>
  <c r="AM81" i="31" s="1"/>
  <c r="AU81" i="31" s="1"/>
  <c r="I81" i="31"/>
  <c r="AN81" i="31" s="1"/>
  <c r="AV81" i="31" s="1"/>
  <c r="J81" i="31"/>
  <c r="AO81" i="31" s="1"/>
  <c r="AW81" i="31" s="1"/>
  <c r="M81" i="31"/>
  <c r="N81" i="31"/>
  <c r="Q82" i="31"/>
  <c r="F82" i="31"/>
  <c r="G82" i="31"/>
  <c r="AL82" i="31" s="1"/>
  <c r="AT82" i="31" s="1"/>
  <c r="H82" i="31"/>
  <c r="AM82" i="31" s="1"/>
  <c r="AU82" i="31" s="1"/>
  <c r="I82" i="31"/>
  <c r="AN82" i="31" s="1"/>
  <c r="AV82" i="31" s="1"/>
  <c r="J82" i="31"/>
  <c r="AO82" i="31" s="1"/>
  <c r="AW82" i="31" s="1"/>
  <c r="M82" i="31"/>
  <c r="N82" i="31"/>
  <c r="Q83" i="31"/>
  <c r="F83" i="31"/>
  <c r="G83" i="31"/>
  <c r="AL83" i="31" s="1"/>
  <c r="AT83" i="31" s="1"/>
  <c r="H83" i="31"/>
  <c r="AM83" i="31" s="1"/>
  <c r="AU83" i="31" s="1"/>
  <c r="I83" i="31"/>
  <c r="AN83" i="31" s="1"/>
  <c r="AV83" i="31" s="1"/>
  <c r="J83" i="31"/>
  <c r="AO83" i="31" s="1"/>
  <c r="AW83" i="31" s="1"/>
  <c r="M83" i="31"/>
  <c r="N83" i="31"/>
  <c r="Q84" i="31"/>
  <c r="F84" i="31"/>
  <c r="G84" i="31"/>
  <c r="AL84" i="31" s="1"/>
  <c r="AT84" i="31" s="1"/>
  <c r="H84" i="31"/>
  <c r="AM84" i="31" s="1"/>
  <c r="AU84" i="31" s="1"/>
  <c r="I84" i="31"/>
  <c r="AN84" i="31" s="1"/>
  <c r="AV84" i="31" s="1"/>
  <c r="J84" i="31"/>
  <c r="AO84" i="31" s="1"/>
  <c r="AW84" i="31" s="1"/>
  <c r="M84" i="31"/>
  <c r="N84" i="31"/>
  <c r="Q85" i="31"/>
  <c r="F85" i="31"/>
  <c r="G85" i="31"/>
  <c r="AL85" i="31" s="1"/>
  <c r="AT85" i="31" s="1"/>
  <c r="H85" i="31"/>
  <c r="AM85" i="31" s="1"/>
  <c r="AU85" i="31" s="1"/>
  <c r="I85" i="31"/>
  <c r="AN85" i="31" s="1"/>
  <c r="AV85" i="31" s="1"/>
  <c r="J85" i="31"/>
  <c r="AO85" i="31" s="1"/>
  <c r="AW85" i="31" s="1"/>
  <c r="M85" i="31"/>
  <c r="N85" i="31"/>
  <c r="Q86" i="31"/>
  <c r="F86" i="31"/>
  <c r="G86" i="31"/>
  <c r="AL86" i="31" s="1"/>
  <c r="AT86" i="31" s="1"/>
  <c r="H86" i="31"/>
  <c r="AM86" i="31" s="1"/>
  <c r="AU86" i="31" s="1"/>
  <c r="I86" i="31"/>
  <c r="AN86" i="31" s="1"/>
  <c r="AV86" i="31" s="1"/>
  <c r="J86" i="31"/>
  <c r="AO86" i="31" s="1"/>
  <c r="AW86" i="31" s="1"/>
  <c r="M86" i="31"/>
  <c r="N86" i="31"/>
  <c r="Q87" i="31"/>
  <c r="F87" i="31"/>
  <c r="G87" i="31"/>
  <c r="AL87" i="31" s="1"/>
  <c r="AT87" i="31" s="1"/>
  <c r="H87" i="31"/>
  <c r="AM87" i="31" s="1"/>
  <c r="AU87" i="31" s="1"/>
  <c r="I87" i="31"/>
  <c r="AN87" i="31" s="1"/>
  <c r="AV87" i="31" s="1"/>
  <c r="J87" i="31"/>
  <c r="AO87" i="31" s="1"/>
  <c r="AW87" i="31" s="1"/>
  <c r="M87" i="31"/>
  <c r="N87" i="31"/>
  <c r="Q88" i="31"/>
  <c r="F88" i="31"/>
  <c r="G88" i="31"/>
  <c r="AL88" i="31" s="1"/>
  <c r="AT88" i="31" s="1"/>
  <c r="H88" i="31"/>
  <c r="AM88" i="31" s="1"/>
  <c r="AU88" i="31" s="1"/>
  <c r="I88" i="31"/>
  <c r="AN88" i="31" s="1"/>
  <c r="AV88" i="31" s="1"/>
  <c r="J88" i="31"/>
  <c r="AO88" i="31" s="1"/>
  <c r="AW88" i="31" s="1"/>
  <c r="M88" i="31"/>
  <c r="N88" i="31"/>
  <c r="Q89" i="31"/>
  <c r="F89" i="31"/>
  <c r="G89" i="31"/>
  <c r="AL89" i="31" s="1"/>
  <c r="AT89" i="31" s="1"/>
  <c r="H89" i="31"/>
  <c r="AM89" i="31" s="1"/>
  <c r="AU89" i="31" s="1"/>
  <c r="I89" i="31"/>
  <c r="AN89" i="31" s="1"/>
  <c r="AV89" i="31" s="1"/>
  <c r="J89" i="31"/>
  <c r="AO89" i="31" s="1"/>
  <c r="AW89" i="31" s="1"/>
  <c r="M89" i="31"/>
  <c r="N89" i="31"/>
  <c r="Q90" i="31"/>
  <c r="F90" i="31"/>
  <c r="G90" i="31"/>
  <c r="AL90" i="31" s="1"/>
  <c r="AT90" i="31" s="1"/>
  <c r="H90" i="31"/>
  <c r="AM90" i="31" s="1"/>
  <c r="AU90" i="31" s="1"/>
  <c r="I90" i="31"/>
  <c r="AN90" i="31" s="1"/>
  <c r="AV90" i="31" s="1"/>
  <c r="J90" i="31"/>
  <c r="AO90" i="31" s="1"/>
  <c r="AW90" i="31" s="1"/>
  <c r="M90" i="31"/>
  <c r="N90" i="31"/>
  <c r="Q91" i="31"/>
  <c r="F91" i="31"/>
  <c r="G91" i="31"/>
  <c r="AL91" i="31" s="1"/>
  <c r="AT91" i="31" s="1"/>
  <c r="H91" i="31"/>
  <c r="AM91" i="31" s="1"/>
  <c r="AU91" i="31" s="1"/>
  <c r="I91" i="31"/>
  <c r="AN91" i="31" s="1"/>
  <c r="AV91" i="31" s="1"/>
  <c r="J91" i="31"/>
  <c r="AO91" i="31" s="1"/>
  <c r="AW91" i="31" s="1"/>
  <c r="M91" i="31"/>
  <c r="N91" i="31"/>
  <c r="Q92" i="31"/>
  <c r="F92" i="31"/>
  <c r="G92" i="31"/>
  <c r="AL92" i="31" s="1"/>
  <c r="AT92" i="31" s="1"/>
  <c r="H92" i="31"/>
  <c r="AM92" i="31" s="1"/>
  <c r="AU92" i="31" s="1"/>
  <c r="I92" i="31"/>
  <c r="AN92" i="31" s="1"/>
  <c r="AV92" i="31" s="1"/>
  <c r="J92" i="31"/>
  <c r="AO92" i="31" s="1"/>
  <c r="AW92" i="31" s="1"/>
  <c r="M92" i="31"/>
  <c r="N92" i="31"/>
  <c r="Q93" i="31"/>
  <c r="F93" i="31"/>
  <c r="G93" i="31"/>
  <c r="AL93" i="31" s="1"/>
  <c r="AT93" i="31" s="1"/>
  <c r="H93" i="31"/>
  <c r="AM93" i="31" s="1"/>
  <c r="AU93" i="31" s="1"/>
  <c r="I93" i="31"/>
  <c r="AN93" i="31" s="1"/>
  <c r="AV93" i="31" s="1"/>
  <c r="J93" i="31"/>
  <c r="AO93" i="31" s="1"/>
  <c r="AW93" i="31" s="1"/>
  <c r="M93" i="31"/>
  <c r="N93" i="31"/>
  <c r="Q94" i="31"/>
  <c r="F94" i="31"/>
  <c r="G94" i="31"/>
  <c r="AL94" i="31" s="1"/>
  <c r="AT94" i="31" s="1"/>
  <c r="H94" i="31"/>
  <c r="AM94" i="31" s="1"/>
  <c r="AU94" i="31" s="1"/>
  <c r="I94" i="31"/>
  <c r="AN94" i="31" s="1"/>
  <c r="AV94" i="31" s="1"/>
  <c r="J94" i="31"/>
  <c r="AO94" i="31" s="1"/>
  <c r="AW94" i="31" s="1"/>
  <c r="M94" i="31"/>
  <c r="Q95" i="31"/>
  <c r="F95" i="31"/>
  <c r="G95" i="31"/>
  <c r="AL95" i="31" s="1"/>
  <c r="AT95" i="31" s="1"/>
  <c r="H95" i="31"/>
  <c r="AM95" i="31" s="1"/>
  <c r="AU95" i="31" s="1"/>
  <c r="I95" i="31"/>
  <c r="AN95" i="31" s="1"/>
  <c r="AV95" i="31" s="1"/>
  <c r="J95" i="31"/>
  <c r="AO95" i="31" s="1"/>
  <c r="AW95" i="31" s="1"/>
  <c r="N95" i="31"/>
  <c r="Q96" i="31"/>
  <c r="F96" i="31"/>
  <c r="G96" i="31"/>
  <c r="AL96" i="31" s="1"/>
  <c r="AT96" i="31" s="1"/>
  <c r="H96" i="31"/>
  <c r="AM96" i="31" s="1"/>
  <c r="AU96" i="31" s="1"/>
  <c r="I96" i="31"/>
  <c r="AN96" i="31" s="1"/>
  <c r="AV96" i="31" s="1"/>
  <c r="J96" i="31"/>
  <c r="AO96" i="31" s="1"/>
  <c r="AW96" i="31" s="1"/>
  <c r="M96" i="31"/>
  <c r="N96" i="31"/>
  <c r="Q97" i="31"/>
  <c r="F97" i="31"/>
  <c r="G97" i="31"/>
  <c r="AL97" i="31" s="1"/>
  <c r="AT97" i="31" s="1"/>
  <c r="H97" i="31"/>
  <c r="AM97" i="31" s="1"/>
  <c r="AU97" i="31" s="1"/>
  <c r="I97" i="31"/>
  <c r="AN97" i="31" s="1"/>
  <c r="AV97" i="31" s="1"/>
  <c r="J97" i="31"/>
  <c r="AO97" i="31" s="1"/>
  <c r="AW97" i="31" s="1"/>
  <c r="M97" i="31"/>
  <c r="N97" i="31"/>
  <c r="Q98" i="31"/>
  <c r="F98" i="31"/>
  <c r="G98" i="31"/>
  <c r="AL98" i="31" s="1"/>
  <c r="AT98" i="31" s="1"/>
  <c r="H98" i="31"/>
  <c r="AM98" i="31" s="1"/>
  <c r="AU98" i="31" s="1"/>
  <c r="I98" i="31"/>
  <c r="AN98" i="31" s="1"/>
  <c r="AV98" i="31" s="1"/>
  <c r="J98" i="31"/>
  <c r="AO98" i="31" s="1"/>
  <c r="AW98" i="31" s="1"/>
  <c r="M98" i="31"/>
  <c r="N98" i="31"/>
  <c r="Q99" i="31"/>
  <c r="F99" i="31"/>
  <c r="G99" i="31"/>
  <c r="AL99" i="31" s="1"/>
  <c r="AT99" i="31" s="1"/>
  <c r="H99" i="31"/>
  <c r="AM99" i="31" s="1"/>
  <c r="AU99" i="31" s="1"/>
  <c r="I99" i="31"/>
  <c r="AN99" i="31" s="1"/>
  <c r="AV99" i="31" s="1"/>
  <c r="J99" i="31"/>
  <c r="AO99" i="31" s="1"/>
  <c r="AW99" i="31" s="1"/>
  <c r="M99" i="31"/>
  <c r="N99" i="31"/>
  <c r="Q100" i="31"/>
  <c r="F100" i="31"/>
  <c r="G100" i="31"/>
  <c r="AL100" i="31" s="1"/>
  <c r="AT100" i="31" s="1"/>
  <c r="H100" i="31"/>
  <c r="AM100" i="31" s="1"/>
  <c r="AU100" i="31" s="1"/>
  <c r="I100" i="31"/>
  <c r="AN100" i="31" s="1"/>
  <c r="AV100" i="31" s="1"/>
  <c r="J100" i="31"/>
  <c r="AO100" i="31" s="1"/>
  <c r="AW100" i="31" s="1"/>
  <c r="M100" i="31"/>
  <c r="N100" i="31"/>
  <c r="Q101" i="31"/>
  <c r="F101" i="31"/>
  <c r="G101" i="31"/>
  <c r="AL101" i="31" s="1"/>
  <c r="AT101" i="31" s="1"/>
  <c r="H101" i="31"/>
  <c r="AM101" i="31" s="1"/>
  <c r="AU101" i="31" s="1"/>
  <c r="I101" i="31"/>
  <c r="AN101" i="31" s="1"/>
  <c r="AV101" i="31" s="1"/>
  <c r="J101" i="31"/>
  <c r="AO101" i="31" s="1"/>
  <c r="AW101" i="31" s="1"/>
  <c r="M101" i="31"/>
  <c r="Q102" i="31"/>
  <c r="F102" i="31"/>
  <c r="G102" i="31"/>
  <c r="AL102" i="31" s="1"/>
  <c r="AT102" i="31" s="1"/>
  <c r="H102" i="31"/>
  <c r="AM102" i="31" s="1"/>
  <c r="AU102" i="31" s="1"/>
  <c r="I102" i="31"/>
  <c r="AN102" i="31" s="1"/>
  <c r="AV102" i="31" s="1"/>
  <c r="J102" i="31"/>
  <c r="AO102" i="31" s="1"/>
  <c r="AW102" i="31" s="1"/>
  <c r="M102" i="31"/>
  <c r="N102" i="31"/>
  <c r="Q103" i="31"/>
  <c r="F103" i="31"/>
  <c r="G103" i="31"/>
  <c r="AL103" i="31" s="1"/>
  <c r="AT103" i="31" s="1"/>
  <c r="H103" i="31"/>
  <c r="AM103" i="31" s="1"/>
  <c r="AU103" i="31" s="1"/>
  <c r="I103" i="31"/>
  <c r="AN103" i="31" s="1"/>
  <c r="AV103" i="31" s="1"/>
  <c r="J103" i="31"/>
  <c r="AO103" i="31" s="1"/>
  <c r="AW103" i="31" s="1"/>
  <c r="M103" i="31"/>
  <c r="N103" i="31"/>
  <c r="Q104" i="31"/>
  <c r="F104" i="31"/>
  <c r="G104" i="31"/>
  <c r="AL104" i="31" s="1"/>
  <c r="AT104" i="31" s="1"/>
  <c r="H104" i="31"/>
  <c r="AM104" i="31" s="1"/>
  <c r="AU104" i="31" s="1"/>
  <c r="I104" i="31"/>
  <c r="AN104" i="31" s="1"/>
  <c r="AV104" i="31" s="1"/>
  <c r="J104" i="31"/>
  <c r="AO104" i="31" s="1"/>
  <c r="AW104" i="31" s="1"/>
  <c r="M104" i="31"/>
  <c r="N104" i="31"/>
  <c r="Q105" i="31"/>
  <c r="F105" i="31"/>
  <c r="G105" i="31"/>
  <c r="AL105" i="31" s="1"/>
  <c r="AT105" i="31" s="1"/>
  <c r="H105" i="31"/>
  <c r="AM105" i="31" s="1"/>
  <c r="AU105" i="31" s="1"/>
  <c r="I105" i="31"/>
  <c r="AN105" i="31" s="1"/>
  <c r="AV105" i="31" s="1"/>
  <c r="J105" i="31"/>
  <c r="AO105" i="31" s="1"/>
  <c r="AW105" i="31" s="1"/>
  <c r="M105" i="31"/>
  <c r="N105" i="31"/>
  <c r="Q106" i="31"/>
  <c r="F106" i="31"/>
  <c r="H106" i="31"/>
  <c r="AM106" i="31" s="1"/>
  <c r="AU106" i="31" s="1"/>
  <c r="I106" i="31"/>
  <c r="AN106" i="31" s="1"/>
  <c r="AV106" i="31" s="1"/>
  <c r="J106" i="31"/>
  <c r="AO106" i="31" s="1"/>
  <c r="AW106" i="31" s="1"/>
  <c r="N106" i="31"/>
  <c r="Q107" i="31"/>
  <c r="F107" i="31"/>
  <c r="G107" i="31"/>
  <c r="AL107" i="31" s="1"/>
  <c r="AT107" i="31" s="1"/>
  <c r="H107" i="31"/>
  <c r="AM107" i="31" s="1"/>
  <c r="AU107" i="31" s="1"/>
  <c r="I107" i="31"/>
  <c r="AN107" i="31" s="1"/>
  <c r="AV107" i="31" s="1"/>
  <c r="J107" i="31"/>
  <c r="AO107" i="31" s="1"/>
  <c r="AW107" i="31" s="1"/>
  <c r="M107" i="31"/>
  <c r="Q108" i="31"/>
  <c r="F108" i="31"/>
  <c r="G108" i="31"/>
  <c r="AL108" i="31" s="1"/>
  <c r="AT108" i="31" s="1"/>
  <c r="H108" i="31"/>
  <c r="AM108" i="31" s="1"/>
  <c r="AU108" i="31" s="1"/>
  <c r="I108" i="31"/>
  <c r="AN108" i="31" s="1"/>
  <c r="AV108" i="31" s="1"/>
  <c r="J108" i="31"/>
  <c r="AO108" i="31" s="1"/>
  <c r="AW108" i="31" s="1"/>
  <c r="M108" i="31"/>
  <c r="N108" i="31"/>
  <c r="Q109" i="31"/>
  <c r="F109" i="31"/>
  <c r="G109" i="31"/>
  <c r="AL109" i="31" s="1"/>
  <c r="AT109" i="31" s="1"/>
  <c r="H109" i="31"/>
  <c r="AM109" i="31" s="1"/>
  <c r="AU109" i="31" s="1"/>
  <c r="I109" i="31"/>
  <c r="AN109" i="31" s="1"/>
  <c r="AV109" i="31" s="1"/>
  <c r="J109" i="31"/>
  <c r="AO109" i="31" s="1"/>
  <c r="AW109" i="31" s="1"/>
  <c r="M109" i="31"/>
  <c r="N109" i="31"/>
  <c r="Q110" i="31"/>
  <c r="F110" i="31"/>
  <c r="G110" i="31"/>
  <c r="AL110" i="31" s="1"/>
  <c r="AT110" i="31" s="1"/>
  <c r="H110" i="31"/>
  <c r="AM110" i="31" s="1"/>
  <c r="AU110" i="31" s="1"/>
  <c r="I110" i="31"/>
  <c r="AN110" i="31" s="1"/>
  <c r="AV110" i="31" s="1"/>
  <c r="J110" i="31"/>
  <c r="AO110" i="31" s="1"/>
  <c r="AW110" i="31" s="1"/>
  <c r="M110" i="31"/>
  <c r="N110" i="31"/>
  <c r="Q111" i="31"/>
  <c r="F111" i="31"/>
  <c r="G111" i="31"/>
  <c r="AL111" i="31" s="1"/>
  <c r="AT111" i="31" s="1"/>
  <c r="H111" i="31"/>
  <c r="AM111" i="31" s="1"/>
  <c r="AU111" i="31" s="1"/>
  <c r="I111" i="31"/>
  <c r="AN111" i="31" s="1"/>
  <c r="AV111" i="31" s="1"/>
  <c r="J111" i="31"/>
  <c r="AO111" i="31" s="1"/>
  <c r="AW111" i="31" s="1"/>
  <c r="M111" i="31"/>
  <c r="Q112" i="31"/>
  <c r="F112" i="31"/>
  <c r="G112" i="31"/>
  <c r="AL112" i="31" s="1"/>
  <c r="AT112" i="31" s="1"/>
  <c r="H112" i="31"/>
  <c r="AM112" i="31" s="1"/>
  <c r="AU112" i="31" s="1"/>
  <c r="I112" i="31"/>
  <c r="AN112" i="31" s="1"/>
  <c r="AV112" i="31" s="1"/>
  <c r="J112" i="31"/>
  <c r="AO112" i="31" s="1"/>
  <c r="AW112" i="31" s="1"/>
  <c r="M112" i="31"/>
  <c r="N112" i="31"/>
  <c r="Q113" i="31"/>
  <c r="F113" i="31"/>
  <c r="G113" i="31"/>
  <c r="AL113" i="31" s="1"/>
  <c r="AT113" i="31" s="1"/>
  <c r="H113" i="31"/>
  <c r="AM113" i="31" s="1"/>
  <c r="AU113" i="31" s="1"/>
  <c r="I113" i="31"/>
  <c r="AN113" i="31" s="1"/>
  <c r="AV113" i="31" s="1"/>
  <c r="J113" i="31"/>
  <c r="AO113" i="31" s="1"/>
  <c r="AW113" i="31" s="1"/>
  <c r="M113" i="31"/>
  <c r="N113" i="31"/>
  <c r="Q114" i="31"/>
  <c r="F114" i="31"/>
  <c r="G114" i="31"/>
  <c r="AL114" i="31" s="1"/>
  <c r="AT114" i="31" s="1"/>
  <c r="H114" i="31"/>
  <c r="AM114" i="31" s="1"/>
  <c r="AU114" i="31" s="1"/>
  <c r="I114" i="31"/>
  <c r="AN114" i="31" s="1"/>
  <c r="AV114" i="31" s="1"/>
  <c r="J114" i="31"/>
  <c r="AO114" i="31" s="1"/>
  <c r="AW114" i="31" s="1"/>
  <c r="M114" i="31"/>
  <c r="N114" i="31"/>
  <c r="Q115" i="31"/>
  <c r="F115" i="31"/>
  <c r="G115" i="31"/>
  <c r="AL115" i="31" s="1"/>
  <c r="AT115" i="31" s="1"/>
  <c r="H115" i="31"/>
  <c r="AM115" i="31" s="1"/>
  <c r="AU115" i="31" s="1"/>
  <c r="I115" i="31"/>
  <c r="AN115" i="31" s="1"/>
  <c r="AV115" i="31" s="1"/>
  <c r="J115" i="31"/>
  <c r="AO115" i="31" s="1"/>
  <c r="AW115" i="31" s="1"/>
  <c r="M115" i="31"/>
  <c r="Q116" i="31"/>
  <c r="F116" i="31"/>
  <c r="G116" i="31"/>
  <c r="AL116" i="31" s="1"/>
  <c r="AT116" i="31" s="1"/>
  <c r="H116" i="31"/>
  <c r="AM116" i="31" s="1"/>
  <c r="AU116" i="31" s="1"/>
  <c r="I116" i="31"/>
  <c r="AN116" i="31" s="1"/>
  <c r="AV116" i="31" s="1"/>
  <c r="J116" i="31"/>
  <c r="AO116" i="31" s="1"/>
  <c r="AW116" i="31" s="1"/>
  <c r="M116" i="31"/>
  <c r="N116" i="31"/>
  <c r="Q117" i="31"/>
  <c r="F117" i="31"/>
  <c r="G117" i="31"/>
  <c r="AL117" i="31" s="1"/>
  <c r="AT117" i="31" s="1"/>
  <c r="H117" i="31"/>
  <c r="AM117" i="31" s="1"/>
  <c r="AU117" i="31" s="1"/>
  <c r="I117" i="31"/>
  <c r="AN117" i="31" s="1"/>
  <c r="AV117" i="31" s="1"/>
  <c r="J117" i="31"/>
  <c r="AO117" i="31" s="1"/>
  <c r="AW117" i="31" s="1"/>
  <c r="M117" i="31"/>
  <c r="Q118" i="31"/>
  <c r="F118" i="31"/>
  <c r="G118" i="31"/>
  <c r="AL118" i="31" s="1"/>
  <c r="AT118" i="31" s="1"/>
  <c r="H118" i="31"/>
  <c r="AM118" i="31" s="1"/>
  <c r="AU118" i="31" s="1"/>
  <c r="I118" i="31"/>
  <c r="AN118" i="31" s="1"/>
  <c r="AV118" i="31" s="1"/>
  <c r="J118" i="31"/>
  <c r="AO118" i="31" s="1"/>
  <c r="AW118" i="31" s="1"/>
  <c r="M118" i="31"/>
  <c r="N118" i="31"/>
  <c r="Q119" i="31"/>
  <c r="F119" i="31"/>
  <c r="G119" i="31"/>
  <c r="AL119" i="31" s="1"/>
  <c r="AT119" i="31" s="1"/>
  <c r="H119" i="31"/>
  <c r="AM119" i="31" s="1"/>
  <c r="AU119" i="31" s="1"/>
  <c r="I119" i="31"/>
  <c r="AN119" i="31" s="1"/>
  <c r="AV119" i="31" s="1"/>
  <c r="J119" i="31"/>
  <c r="AO119" i="31" s="1"/>
  <c r="AW119" i="31" s="1"/>
  <c r="M119" i="31"/>
  <c r="Q120" i="31"/>
  <c r="F120" i="31"/>
  <c r="G120" i="31"/>
  <c r="AL120" i="31" s="1"/>
  <c r="AT120" i="31" s="1"/>
  <c r="H120" i="31"/>
  <c r="AM120" i="31" s="1"/>
  <c r="AU120" i="31" s="1"/>
  <c r="I120" i="31"/>
  <c r="AN120" i="31" s="1"/>
  <c r="AV120" i="31" s="1"/>
  <c r="J120" i="31"/>
  <c r="AO120" i="31" s="1"/>
  <c r="AW120" i="31" s="1"/>
  <c r="M120" i="31"/>
  <c r="N120" i="31"/>
  <c r="Q121" i="31"/>
  <c r="F121" i="31"/>
  <c r="G121" i="31"/>
  <c r="AL121" i="31" s="1"/>
  <c r="AT121" i="31" s="1"/>
  <c r="H121" i="31"/>
  <c r="AM121" i="31" s="1"/>
  <c r="AU121" i="31" s="1"/>
  <c r="I121" i="31"/>
  <c r="AN121" i="31" s="1"/>
  <c r="AV121" i="31" s="1"/>
  <c r="J121" i="31"/>
  <c r="AO121" i="31" s="1"/>
  <c r="AW121" i="31" s="1"/>
  <c r="M121" i="31"/>
  <c r="Q122" i="31"/>
  <c r="F122" i="31"/>
  <c r="G122" i="31"/>
  <c r="AL122" i="31" s="1"/>
  <c r="AT122" i="31" s="1"/>
  <c r="H122" i="31"/>
  <c r="AM122" i="31" s="1"/>
  <c r="AU122" i="31" s="1"/>
  <c r="I122" i="31"/>
  <c r="AN122" i="31" s="1"/>
  <c r="AV122" i="31" s="1"/>
  <c r="J122" i="31"/>
  <c r="AO122" i="31" s="1"/>
  <c r="AW122" i="31" s="1"/>
  <c r="M122" i="31"/>
  <c r="N122" i="31"/>
  <c r="Q123" i="31"/>
  <c r="F123" i="31"/>
  <c r="G123" i="31"/>
  <c r="AL123" i="31" s="1"/>
  <c r="AT123" i="31" s="1"/>
  <c r="H123" i="31"/>
  <c r="AM123" i="31" s="1"/>
  <c r="AU123" i="31" s="1"/>
  <c r="I123" i="31"/>
  <c r="AN123" i="31" s="1"/>
  <c r="AV123" i="31" s="1"/>
  <c r="J123" i="31"/>
  <c r="AO123" i="31" s="1"/>
  <c r="AW123" i="31" s="1"/>
  <c r="M123" i="31"/>
  <c r="N123" i="31"/>
  <c r="Q124" i="31"/>
  <c r="F124" i="31"/>
  <c r="G124" i="31"/>
  <c r="AL124" i="31" s="1"/>
  <c r="AT124" i="31" s="1"/>
  <c r="H124" i="31"/>
  <c r="AM124" i="31" s="1"/>
  <c r="AU124" i="31" s="1"/>
  <c r="I124" i="31"/>
  <c r="AN124" i="31" s="1"/>
  <c r="AV124" i="31" s="1"/>
  <c r="J124" i="31"/>
  <c r="AO124" i="31" s="1"/>
  <c r="AW124" i="31" s="1"/>
  <c r="M124" i="31"/>
  <c r="N124" i="31"/>
  <c r="Q125" i="31"/>
  <c r="F125" i="31"/>
  <c r="G125" i="31"/>
  <c r="AL125" i="31" s="1"/>
  <c r="AT125" i="31" s="1"/>
  <c r="H125" i="31"/>
  <c r="AM125" i="31" s="1"/>
  <c r="AU125" i="31" s="1"/>
  <c r="I125" i="31"/>
  <c r="AN125" i="31" s="1"/>
  <c r="AV125" i="31" s="1"/>
  <c r="J125" i="31"/>
  <c r="AO125" i="31" s="1"/>
  <c r="AW125" i="31" s="1"/>
  <c r="M125" i="31"/>
  <c r="N125" i="31"/>
  <c r="Q126" i="31"/>
  <c r="F126" i="31"/>
  <c r="G126" i="31"/>
  <c r="AL126" i="31" s="1"/>
  <c r="AT126" i="31" s="1"/>
  <c r="H126" i="31"/>
  <c r="AM126" i="31" s="1"/>
  <c r="AU126" i="31" s="1"/>
  <c r="I126" i="31"/>
  <c r="AN126" i="31" s="1"/>
  <c r="AV126" i="31" s="1"/>
  <c r="J126" i="31"/>
  <c r="AO126" i="31" s="1"/>
  <c r="AW126" i="31" s="1"/>
  <c r="M126" i="31"/>
  <c r="N126" i="31"/>
  <c r="Q127" i="31"/>
  <c r="F127" i="31"/>
  <c r="G127" i="31"/>
  <c r="AL127" i="31" s="1"/>
  <c r="AT127" i="31" s="1"/>
  <c r="H127" i="31"/>
  <c r="AM127" i="31" s="1"/>
  <c r="AU127" i="31" s="1"/>
  <c r="I127" i="31"/>
  <c r="AN127" i="31" s="1"/>
  <c r="AV127" i="31" s="1"/>
  <c r="J127" i="31"/>
  <c r="AO127" i="31" s="1"/>
  <c r="AW127" i="31" s="1"/>
  <c r="M127" i="31"/>
  <c r="N127" i="31"/>
  <c r="Q128" i="31"/>
  <c r="F128" i="31"/>
  <c r="G128" i="31"/>
  <c r="AL128" i="31" s="1"/>
  <c r="AT128" i="31" s="1"/>
  <c r="H128" i="31"/>
  <c r="AM128" i="31" s="1"/>
  <c r="AU128" i="31" s="1"/>
  <c r="I128" i="31"/>
  <c r="AN128" i="31" s="1"/>
  <c r="AV128" i="31" s="1"/>
  <c r="J128" i="31"/>
  <c r="AO128" i="31" s="1"/>
  <c r="AW128" i="31" s="1"/>
  <c r="M128" i="31"/>
  <c r="N128" i="31"/>
  <c r="Q129" i="31"/>
  <c r="F129" i="31"/>
  <c r="G129" i="31"/>
  <c r="AL129" i="31" s="1"/>
  <c r="AT129" i="31" s="1"/>
  <c r="H129" i="31"/>
  <c r="AM129" i="31" s="1"/>
  <c r="AU129" i="31" s="1"/>
  <c r="I129" i="31"/>
  <c r="AN129" i="31" s="1"/>
  <c r="AV129" i="31" s="1"/>
  <c r="J129" i="31"/>
  <c r="AO129" i="31" s="1"/>
  <c r="AW129" i="31" s="1"/>
  <c r="M129" i="31"/>
  <c r="N129" i="31"/>
  <c r="Q130" i="31"/>
  <c r="F130" i="31"/>
  <c r="G130" i="31"/>
  <c r="AL130" i="31" s="1"/>
  <c r="AT130" i="31" s="1"/>
  <c r="H130" i="31"/>
  <c r="AM130" i="31" s="1"/>
  <c r="AU130" i="31" s="1"/>
  <c r="I130" i="31"/>
  <c r="AN130" i="31" s="1"/>
  <c r="AV130" i="31" s="1"/>
  <c r="J130" i="31"/>
  <c r="AO130" i="31" s="1"/>
  <c r="AW130" i="31" s="1"/>
  <c r="M130" i="31"/>
  <c r="N130" i="31"/>
  <c r="Q131" i="31"/>
  <c r="F131" i="31"/>
  <c r="G131" i="31"/>
  <c r="AL131" i="31" s="1"/>
  <c r="AT131" i="31" s="1"/>
  <c r="H131" i="31"/>
  <c r="AM131" i="31" s="1"/>
  <c r="AU131" i="31" s="1"/>
  <c r="I131" i="31"/>
  <c r="AN131" i="31" s="1"/>
  <c r="AV131" i="31" s="1"/>
  <c r="J131" i="31"/>
  <c r="AO131" i="31" s="1"/>
  <c r="AW131" i="31" s="1"/>
  <c r="M131" i="31"/>
  <c r="N131" i="31"/>
  <c r="Q132" i="31"/>
  <c r="F132" i="31"/>
  <c r="H132" i="31"/>
  <c r="AM132" i="31" s="1"/>
  <c r="AU132" i="31" s="1"/>
  <c r="I132" i="31"/>
  <c r="AN132" i="31" s="1"/>
  <c r="AV132" i="31" s="1"/>
  <c r="J132" i="31"/>
  <c r="AO132" i="31" s="1"/>
  <c r="AW132" i="31" s="1"/>
  <c r="N132" i="31"/>
  <c r="Q133" i="31"/>
  <c r="F133" i="31"/>
  <c r="G133" i="31"/>
  <c r="H133" i="31"/>
  <c r="AM133" i="31" s="1"/>
  <c r="AU133" i="31" s="1"/>
  <c r="I133" i="31"/>
  <c r="AN133" i="31" s="1"/>
  <c r="AV133" i="31" s="1"/>
  <c r="J133" i="31"/>
  <c r="AO133" i="31" s="1"/>
  <c r="AW133" i="31" s="1"/>
  <c r="M133" i="31"/>
  <c r="Q134" i="31"/>
  <c r="F134" i="31"/>
  <c r="G134" i="31"/>
  <c r="AL134" i="31" s="1"/>
  <c r="AT134" i="31" s="1"/>
  <c r="H134" i="31"/>
  <c r="AM134" i="31" s="1"/>
  <c r="AU134" i="31" s="1"/>
  <c r="I134" i="31"/>
  <c r="AN134" i="31" s="1"/>
  <c r="AV134" i="31" s="1"/>
  <c r="J134" i="31"/>
  <c r="AO134" i="31" s="1"/>
  <c r="AW134" i="31" s="1"/>
  <c r="M134" i="31"/>
  <c r="N134" i="31"/>
  <c r="Q135" i="31"/>
  <c r="F135" i="31"/>
  <c r="G135" i="31"/>
  <c r="AL135" i="31" s="1"/>
  <c r="AT135" i="31" s="1"/>
  <c r="H135" i="31"/>
  <c r="AM135" i="31" s="1"/>
  <c r="AU135" i="31" s="1"/>
  <c r="I135" i="31"/>
  <c r="AN135" i="31" s="1"/>
  <c r="AV135" i="31" s="1"/>
  <c r="J135" i="31"/>
  <c r="AO135" i="31" s="1"/>
  <c r="AW135" i="31" s="1"/>
  <c r="M135" i="31"/>
  <c r="N135" i="31"/>
  <c r="Q136" i="31"/>
  <c r="F136" i="31"/>
  <c r="G136" i="31"/>
  <c r="AL136" i="31" s="1"/>
  <c r="AT136" i="31" s="1"/>
  <c r="H136" i="31"/>
  <c r="AM136" i="31" s="1"/>
  <c r="AU136" i="31" s="1"/>
  <c r="I136" i="31"/>
  <c r="AN136" i="31" s="1"/>
  <c r="AV136" i="31" s="1"/>
  <c r="J136" i="31"/>
  <c r="AO136" i="31" s="1"/>
  <c r="AW136" i="31" s="1"/>
  <c r="M136" i="31"/>
  <c r="N136" i="31"/>
  <c r="Q137" i="31"/>
  <c r="F137" i="31"/>
  <c r="G137" i="31"/>
  <c r="AL137" i="31" s="1"/>
  <c r="AT137" i="31" s="1"/>
  <c r="H137" i="31"/>
  <c r="AM137" i="31" s="1"/>
  <c r="AU137" i="31" s="1"/>
  <c r="I137" i="31"/>
  <c r="AN137" i="31" s="1"/>
  <c r="AV137" i="31" s="1"/>
  <c r="J137" i="31"/>
  <c r="AO137" i="31" s="1"/>
  <c r="AW137" i="31" s="1"/>
  <c r="M137" i="31"/>
  <c r="N137" i="31"/>
  <c r="Q138" i="31"/>
  <c r="F138" i="31"/>
  <c r="G138" i="31"/>
  <c r="AL138" i="31" s="1"/>
  <c r="AT138" i="31" s="1"/>
  <c r="H138" i="31"/>
  <c r="AM138" i="31" s="1"/>
  <c r="AU138" i="31" s="1"/>
  <c r="I138" i="31"/>
  <c r="AN138" i="31" s="1"/>
  <c r="AV138" i="31" s="1"/>
  <c r="J138" i="31"/>
  <c r="AO138" i="31" s="1"/>
  <c r="AW138" i="31" s="1"/>
  <c r="M138" i="31"/>
  <c r="N138" i="31"/>
  <c r="Q139" i="31"/>
  <c r="F139" i="31"/>
  <c r="G139" i="31"/>
  <c r="AL139" i="31" s="1"/>
  <c r="AT139" i="31" s="1"/>
  <c r="H139" i="31"/>
  <c r="AM139" i="31" s="1"/>
  <c r="AU139" i="31" s="1"/>
  <c r="I139" i="31"/>
  <c r="AN139" i="31" s="1"/>
  <c r="AV139" i="31" s="1"/>
  <c r="J139" i="31"/>
  <c r="AO139" i="31" s="1"/>
  <c r="AW139" i="31" s="1"/>
  <c r="M139" i="31"/>
  <c r="N139" i="31"/>
  <c r="Q140" i="31"/>
  <c r="F140" i="31"/>
  <c r="G140" i="31"/>
  <c r="H140" i="31"/>
  <c r="AM140" i="31" s="1"/>
  <c r="AU140" i="31" s="1"/>
  <c r="I140" i="31"/>
  <c r="AN140" i="31" s="1"/>
  <c r="AV140" i="31" s="1"/>
  <c r="J140" i="31"/>
  <c r="AO140" i="31" s="1"/>
  <c r="AW140" i="31" s="1"/>
  <c r="M140" i="31"/>
  <c r="N140" i="31"/>
  <c r="Q141" i="31"/>
  <c r="F141" i="31"/>
  <c r="G141" i="31"/>
  <c r="H141" i="31"/>
  <c r="AM141" i="31" s="1"/>
  <c r="AU141" i="31" s="1"/>
  <c r="I141" i="31"/>
  <c r="AN141" i="31" s="1"/>
  <c r="AV141" i="31" s="1"/>
  <c r="J141" i="31"/>
  <c r="AO141" i="31" s="1"/>
  <c r="AW141" i="31" s="1"/>
  <c r="M141" i="31"/>
  <c r="N141" i="31"/>
  <c r="Q142" i="31"/>
  <c r="F142" i="31"/>
  <c r="G142" i="31"/>
  <c r="AL142" i="31" s="1"/>
  <c r="AT142" i="31" s="1"/>
  <c r="H142" i="31"/>
  <c r="AM142" i="31" s="1"/>
  <c r="AU142" i="31" s="1"/>
  <c r="I142" i="31"/>
  <c r="AN142" i="31" s="1"/>
  <c r="AV142" i="31" s="1"/>
  <c r="J142" i="31"/>
  <c r="AO142" i="31" s="1"/>
  <c r="AW142" i="31" s="1"/>
  <c r="N142" i="31"/>
  <c r="Q143" i="31"/>
  <c r="F143" i="31"/>
  <c r="G143" i="31"/>
  <c r="AL143" i="31" s="1"/>
  <c r="AT143" i="31" s="1"/>
  <c r="H143" i="31"/>
  <c r="AM143" i="31" s="1"/>
  <c r="AU143" i="31" s="1"/>
  <c r="I143" i="31"/>
  <c r="AN143" i="31" s="1"/>
  <c r="AV143" i="31" s="1"/>
  <c r="J143" i="31"/>
  <c r="AO143" i="31" s="1"/>
  <c r="AW143" i="31" s="1"/>
  <c r="M143" i="31"/>
  <c r="N143" i="31"/>
  <c r="Q144" i="31"/>
  <c r="F144" i="31"/>
  <c r="G144" i="31"/>
  <c r="AL144" i="31" s="1"/>
  <c r="AT144" i="31" s="1"/>
  <c r="H144" i="31"/>
  <c r="AM144" i="31" s="1"/>
  <c r="AU144" i="31" s="1"/>
  <c r="I144" i="31"/>
  <c r="AN144" i="31" s="1"/>
  <c r="AV144" i="31" s="1"/>
  <c r="J144" i="31"/>
  <c r="AO144" i="31" s="1"/>
  <c r="AW144" i="31" s="1"/>
  <c r="M144" i="31"/>
  <c r="N144" i="31"/>
  <c r="Q145" i="31"/>
  <c r="F145" i="31"/>
  <c r="G145" i="31"/>
  <c r="AL145" i="31" s="1"/>
  <c r="AT145" i="31" s="1"/>
  <c r="H145" i="31"/>
  <c r="AM145" i="31" s="1"/>
  <c r="AU145" i="31" s="1"/>
  <c r="I145" i="31"/>
  <c r="AN145" i="31" s="1"/>
  <c r="AV145" i="31" s="1"/>
  <c r="J145" i="31"/>
  <c r="AO145" i="31" s="1"/>
  <c r="AW145" i="31" s="1"/>
  <c r="M145" i="31"/>
  <c r="N145" i="31"/>
  <c r="Q146" i="31"/>
  <c r="F146" i="31"/>
  <c r="G146" i="31"/>
  <c r="AL146" i="31" s="1"/>
  <c r="AT146" i="31" s="1"/>
  <c r="H146" i="31"/>
  <c r="AM146" i="31" s="1"/>
  <c r="AU146" i="31" s="1"/>
  <c r="I146" i="31"/>
  <c r="AN146" i="31" s="1"/>
  <c r="AV146" i="31" s="1"/>
  <c r="J146" i="31"/>
  <c r="AO146" i="31" s="1"/>
  <c r="AW146" i="31" s="1"/>
  <c r="M146" i="31"/>
  <c r="N146" i="31"/>
  <c r="Q147" i="31"/>
  <c r="F147" i="31"/>
  <c r="G147" i="31"/>
  <c r="AL147" i="31" s="1"/>
  <c r="AT147" i="31" s="1"/>
  <c r="H147" i="31"/>
  <c r="AM147" i="31" s="1"/>
  <c r="AU147" i="31" s="1"/>
  <c r="I147" i="31"/>
  <c r="AN147" i="31" s="1"/>
  <c r="AV147" i="31" s="1"/>
  <c r="J147" i="31"/>
  <c r="AO147" i="31" s="1"/>
  <c r="AW147" i="31" s="1"/>
  <c r="M147" i="31"/>
  <c r="N147" i="31"/>
  <c r="Q148" i="31"/>
  <c r="F148" i="31"/>
  <c r="G148" i="31"/>
  <c r="AL148" i="31" s="1"/>
  <c r="AT148" i="31" s="1"/>
  <c r="H148" i="31"/>
  <c r="AM148" i="31" s="1"/>
  <c r="AU148" i="31" s="1"/>
  <c r="I148" i="31"/>
  <c r="AN148" i="31" s="1"/>
  <c r="AV148" i="31" s="1"/>
  <c r="J148" i="31"/>
  <c r="AO148" i="31" s="1"/>
  <c r="AW148" i="31" s="1"/>
  <c r="M148" i="31"/>
  <c r="N148" i="31"/>
  <c r="Q149" i="31"/>
  <c r="F149" i="31"/>
  <c r="G149" i="31"/>
  <c r="H149" i="31"/>
  <c r="AM149" i="31" s="1"/>
  <c r="AU149" i="31" s="1"/>
  <c r="I149" i="31"/>
  <c r="AN149" i="31" s="1"/>
  <c r="AV149" i="31" s="1"/>
  <c r="J149" i="31"/>
  <c r="AO149" i="31" s="1"/>
  <c r="AW149" i="31" s="1"/>
  <c r="M149" i="31"/>
  <c r="N149" i="31"/>
  <c r="Q150" i="31"/>
  <c r="F150" i="31"/>
  <c r="G150" i="31"/>
  <c r="AL150" i="31" s="1"/>
  <c r="AT150" i="31" s="1"/>
  <c r="H150" i="31"/>
  <c r="AM150" i="31" s="1"/>
  <c r="AU150" i="31" s="1"/>
  <c r="I150" i="31"/>
  <c r="AN150" i="31" s="1"/>
  <c r="AV150" i="31" s="1"/>
  <c r="J150" i="31"/>
  <c r="AO150" i="31" s="1"/>
  <c r="AW150" i="31" s="1"/>
  <c r="M150" i="31"/>
  <c r="N150" i="31"/>
  <c r="Q151" i="31"/>
  <c r="F151" i="31"/>
  <c r="G151" i="31"/>
  <c r="AL151" i="31" s="1"/>
  <c r="AT151" i="31" s="1"/>
  <c r="H151" i="31"/>
  <c r="AM151" i="31" s="1"/>
  <c r="AU151" i="31" s="1"/>
  <c r="I151" i="31"/>
  <c r="AN151" i="31" s="1"/>
  <c r="AV151" i="31" s="1"/>
  <c r="J151" i="31"/>
  <c r="AO151" i="31" s="1"/>
  <c r="AW151" i="31" s="1"/>
  <c r="M151" i="31"/>
  <c r="N151" i="31"/>
  <c r="Q152" i="31"/>
  <c r="F152" i="31"/>
  <c r="G152" i="31"/>
  <c r="H152" i="31"/>
  <c r="AM152" i="31" s="1"/>
  <c r="AU152" i="31" s="1"/>
  <c r="I152" i="31"/>
  <c r="AN152" i="31" s="1"/>
  <c r="AV152" i="31" s="1"/>
  <c r="J152" i="31"/>
  <c r="AO152" i="31" s="1"/>
  <c r="AW152" i="31" s="1"/>
  <c r="M152" i="31"/>
  <c r="N152" i="31"/>
  <c r="Q153" i="31"/>
  <c r="F153" i="31"/>
  <c r="G153" i="31"/>
  <c r="AL153" i="31" s="1"/>
  <c r="AT153" i="31" s="1"/>
  <c r="H153" i="31"/>
  <c r="AM153" i="31" s="1"/>
  <c r="AU153" i="31" s="1"/>
  <c r="I153" i="31"/>
  <c r="AN153" i="31" s="1"/>
  <c r="AV153" i="31" s="1"/>
  <c r="J153" i="31"/>
  <c r="AO153" i="31" s="1"/>
  <c r="AW153" i="31" s="1"/>
  <c r="M153" i="31"/>
  <c r="Q154" i="31"/>
  <c r="F154" i="31"/>
  <c r="G154" i="31"/>
  <c r="AL154" i="31" s="1"/>
  <c r="AT154" i="31" s="1"/>
  <c r="H154" i="31"/>
  <c r="AM154" i="31" s="1"/>
  <c r="AU154" i="31" s="1"/>
  <c r="I154" i="31"/>
  <c r="AN154" i="31" s="1"/>
  <c r="AV154" i="31" s="1"/>
  <c r="J154" i="31"/>
  <c r="AO154" i="31" s="1"/>
  <c r="AW154" i="31" s="1"/>
  <c r="N154" i="31"/>
  <c r="Q155" i="31"/>
  <c r="F155" i="31"/>
  <c r="G155" i="31"/>
  <c r="AL155" i="31" s="1"/>
  <c r="AT155" i="31" s="1"/>
  <c r="H155" i="31"/>
  <c r="AM155" i="31" s="1"/>
  <c r="AU155" i="31" s="1"/>
  <c r="I155" i="31"/>
  <c r="AN155" i="31" s="1"/>
  <c r="AV155" i="31" s="1"/>
  <c r="J155" i="31"/>
  <c r="AO155" i="31" s="1"/>
  <c r="AW155" i="31" s="1"/>
  <c r="M155" i="31"/>
  <c r="N155" i="31"/>
  <c r="Q156" i="31"/>
  <c r="F156" i="31"/>
  <c r="G156" i="31"/>
  <c r="AL156" i="31" s="1"/>
  <c r="AT156" i="31" s="1"/>
  <c r="H156" i="31"/>
  <c r="AM156" i="31" s="1"/>
  <c r="AU156" i="31" s="1"/>
  <c r="I156" i="31"/>
  <c r="AN156" i="31" s="1"/>
  <c r="AV156" i="31" s="1"/>
  <c r="J156" i="31"/>
  <c r="AO156" i="31" s="1"/>
  <c r="AW156" i="31" s="1"/>
  <c r="M156" i="31"/>
  <c r="N156" i="31"/>
  <c r="Q157" i="31"/>
  <c r="F157" i="31"/>
  <c r="G157" i="31"/>
  <c r="AL157" i="31" s="1"/>
  <c r="AT157" i="31" s="1"/>
  <c r="H157" i="31"/>
  <c r="AM157" i="31" s="1"/>
  <c r="AU157" i="31" s="1"/>
  <c r="I157" i="31"/>
  <c r="AN157" i="31" s="1"/>
  <c r="AV157" i="31" s="1"/>
  <c r="J157" i="31"/>
  <c r="AO157" i="31" s="1"/>
  <c r="AW157" i="31" s="1"/>
  <c r="M157" i="31"/>
  <c r="N157" i="31"/>
  <c r="Q158" i="31"/>
  <c r="F158" i="31"/>
  <c r="G158" i="31"/>
  <c r="AL158" i="31" s="1"/>
  <c r="AT158" i="31" s="1"/>
  <c r="H158" i="31"/>
  <c r="AM158" i="31" s="1"/>
  <c r="AU158" i="31" s="1"/>
  <c r="I158" i="31"/>
  <c r="AN158" i="31" s="1"/>
  <c r="AV158" i="31" s="1"/>
  <c r="J158" i="31"/>
  <c r="AO158" i="31" s="1"/>
  <c r="AW158" i="31" s="1"/>
  <c r="M158" i="31"/>
  <c r="N158" i="31"/>
  <c r="Q159" i="31"/>
  <c r="F159" i="31"/>
  <c r="G159" i="31"/>
  <c r="AL159" i="31" s="1"/>
  <c r="AT159" i="31" s="1"/>
  <c r="H159" i="31"/>
  <c r="AM159" i="31" s="1"/>
  <c r="AU159" i="31" s="1"/>
  <c r="I159" i="31"/>
  <c r="AN159" i="31" s="1"/>
  <c r="AV159" i="31" s="1"/>
  <c r="J159" i="31"/>
  <c r="AO159" i="31" s="1"/>
  <c r="AW159" i="31" s="1"/>
  <c r="M159" i="31"/>
  <c r="N159" i="31"/>
  <c r="Q160" i="31"/>
  <c r="F160" i="31"/>
  <c r="G160" i="31"/>
  <c r="AL160" i="31" s="1"/>
  <c r="AT160" i="31" s="1"/>
  <c r="H160" i="31"/>
  <c r="AM160" i="31" s="1"/>
  <c r="AU160" i="31" s="1"/>
  <c r="I160" i="31"/>
  <c r="AN160" i="31" s="1"/>
  <c r="AV160" i="31" s="1"/>
  <c r="J160" i="31"/>
  <c r="AO160" i="31" s="1"/>
  <c r="AW160" i="31" s="1"/>
  <c r="M160" i="31"/>
  <c r="N160" i="31"/>
  <c r="Q161" i="31"/>
  <c r="F161" i="31"/>
  <c r="G161" i="31"/>
  <c r="AL161" i="31" s="1"/>
  <c r="AT161" i="31" s="1"/>
  <c r="H161" i="31"/>
  <c r="AM161" i="31" s="1"/>
  <c r="AU161" i="31" s="1"/>
  <c r="I161" i="31"/>
  <c r="AN161" i="31" s="1"/>
  <c r="AV161" i="31" s="1"/>
  <c r="J161" i="31"/>
  <c r="AO161" i="31" s="1"/>
  <c r="AW161" i="31" s="1"/>
  <c r="M161" i="31"/>
  <c r="N161" i="31"/>
  <c r="Q162" i="31"/>
  <c r="F162" i="31"/>
  <c r="G162" i="31"/>
  <c r="AL162" i="31" s="1"/>
  <c r="AT162" i="31" s="1"/>
  <c r="H162" i="31"/>
  <c r="AM162" i="31" s="1"/>
  <c r="AU162" i="31" s="1"/>
  <c r="I162" i="31"/>
  <c r="AN162" i="31" s="1"/>
  <c r="AV162" i="31" s="1"/>
  <c r="J162" i="31"/>
  <c r="AO162" i="31" s="1"/>
  <c r="AW162" i="31" s="1"/>
  <c r="M162" i="31"/>
  <c r="N162" i="31"/>
  <c r="Q163" i="31"/>
  <c r="F163" i="31"/>
  <c r="G163" i="31"/>
  <c r="AL163" i="31" s="1"/>
  <c r="AT163" i="31" s="1"/>
  <c r="H163" i="31"/>
  <c r="AM163" i="31" s="1"/>
  <c r="AU163" i="31" s="1"/>
  <c r="I163" i="31"/>
  <c r="AN163" i="31" s="1"/>
  <c r="AV163" i="31" s="1"/>
  <c r="J163" i="31"/>
  <c r="AO163" i="31" s="1"/>
  <c r="AW163" i="31" s="1"/>
  <c r="M163" i="31"/>
  <c r="N163" i="31"/>
  <c r="Q164" i="31"/>
  <c r="F164" i="31"/>
  <c r="G164" i="31"/>
  <c r="AL164" i="31" s="1"/>
  <c r="AT164" i="31" s="1"/>
  <c r="H164" i="31"/>
  <c r="AM164" i="31" s="1"/>
  <c r="AU164" i="31" s="1"/>
  <c r="I164" i="31"/>
  <c r="AN164" i="31" s="1"/>
  <c r="AV164" i="31" s="1"/>
  <c r="J164" i="31"/>
  <c r="AO164" i="31" s="1"/>
  <c r="AW164" i="31" s="1"/>
  <c r="M164" i="31"/>
  <c r="N164" i="31"/>
  <c r="Q165" i="31"/>
  <c r="F165" i="31"/>
  <c r="G165" i="31"/>
  <c r="H165" i="31"/>
  <c r="AM165" i="31" s="1"/>
  <c r="AU165" i="31" s="1"/>
  <c r="I165" i="31"/>
  <c r="AN165" i="31" s="1"/>
  <c r="AV165" i="31" s="1"/>
  <c r="J165" i="31"/>
  <c r="AO165" i="31" s="1"/>
  <c r="AW165" i="31" s="1"/>
  <c r="M165" i="31"/>
  <c r="N165" i="31"/>
  <c r="N26" i="18" l="1"/>
  <c r="O26" i="18"/>
  <c r="T27" i="31"/>
  <c r="Y27" i="31" s="1"/>
  <c r="T118" i="31"/>
  <c r="Y118" i="31" s="1"/>
  <c r="T116" i="31"/>
  <c r="Y116" i="31" s="1"/>
  <c r="T114" i="31"/>
  <c r="Y114" i="31" s="1"/>
  <c r="T24" i="31"/>
  <c r="T16" i="31"/>
  <c r="Y16" i="31" s="1"/>
  <c r="T14" i="31"/>
  <c r="Y14" i="31" s="1"/>
  <c r="T155" i="31"/>
  <c r="Y155" i="31" s="1"/>
  <c r="T153" i="31"/>
  <c r="Y153" i="31" s="1"/>
  <c r="T151" i="31"/>
  <c r="Y151" i="31" s="1"/>
  <c r="T99" i="31"/>
  <c r="Y99" i="31" s="1"/>
  <c r="T93" i="31"/>
  <c r="Y93" i="31" s="1"/>
  <c r="T79" i="31"/>
  <c r="Y79" i="31" s="1"/>
  <c r="T77" i="31"/>
  <c r="Y77" i="31" s="1"/>
  <c r="T75" i="31"/>
  <c r="Y75" i="31" s="1"/>
  <c r="T73" i="31"/>
  <c r="Y73" i="31" s="1"/>
  <c r="T71" i="31"/>
  <c r="Y71" i="31" s="1"/>
  <c r="T34" i="31"/>
  <c r="Y34" i="31" s="1"/>
  <c r="T128" i="31"/>
  <c r="Y128" i="31" s="1"/>
  <c r="T120" i="31"/>
  <c r="Y120" i="31" s="1"/>
  <c r="T51" i="31"/>
  <c r="Y51" i="31" s="1"/>
  <c r="T49" i="31"/>
  <c r="Y49" i="31" s="1"/>
  <c r="T37" i="31"/>
  <c r="T146" i="31"/>
  <c r="Y146" i="31" s="1"/>
  <c r="T144" i="31"/>
  <c r="Y144" i="31" s="1"/>
  <c r="T142" i="31"/>
  <c r="Y142" i="31" s="1"/>
  <c r="T140" i="31"/>
  <c r="Y140" i="31" s="1"/>
  <c r="T138" i="31"/>
  <c r="Y138" i="31" s="1"/>
  <c r="T26" i="31"/>
  <c r="Y26" i="31" s="1"/>
  <c r="T147" i="31"/>
  <c r="Y147" i="31" s="1"/>
  <c r="T145" i="31"/>
  <c r="Y145" i="31" s="1"/>
  <c r="T143" i="31"/>
  <c r="Y143" i="31" s="1"/>
  <c r="T141" i="31"/>
  <c r="Y141" i="31" s="1"/>
  <c r="T139" i="31"/>
  <c r="Y139" i="31" s="1"/>
  <c r="T137" i="31"/>
  <c r="Y137" i="31" s="1"/>
  <c r="T100" i="31"/>
  <c r="Y100" i="31" s="1"/>
  <c r="T94" i="31"/>
  <c r="Y94" i="31" s="1"/>
  <c r="T92" i="31"/>
  <c r="Y92" i="31" s="1"/>
  <c r="T88" i="31"/>
  <c r="Y88" i="31" s="1"/>
  <c r="T86" i="31"/>
  <c r="Y86" i="31" s="1"/>
  <c r="T84" i="31"/>
  <c r="T62" i="31"/>
  <c r="Y62" i="31" s="1"/>
  <c r="T60" i="31"/>
  <c r="T58" i="31"/>
  <c r="Y58" i="31" s="1"/>
  <c r="T56" i="31"/>
  <c r="Y56" i="31" s="1"/>
  <c r="T54" i="31"/>
  <c r="Y54" i="31" s="1"/>
  <c r="T28" i="31"/>
  <c r="Y28" i="31" s="1"/>
  <c r="T113" i="31"/>
  <c r="Y113" i="31" s="1"/>
  <c r="T69" i="31"/>
  <c r="Y69" i="31" s="1"/>
  <c r="T67" i="31"/>
  <c r="Y67" i="31" s="1"/>
  <c r="T65" i="31"/>
  <c r="Y65" i="31" s="1"/>
  <c r="T23" i="31"/>
  <c r="Y23" i="31" s="1"/>
  <c r="T21" i="31"/>
  <c r="Y21" i="31" s="1"/>
  <c r="U155" i="31"/>
  <c r="T154" i="31"/>
  <c r="Y154" i="31" s="1"/>
  <c r="U153" i="31"/>
  <c r="T152" i="31"/>
  <c r="Y152" i="31" s="1"/>
  <c r="U151" i="31"/>
  <c r="T150" i="31"/>
  <c r="Y150" i="31" s="1"/>
  <c r="U149" i="31"/>
  <c r="T136" i="31"/>
  <c r="Y136" i="31" s="1"/>
  <c r="T134" i="31"/>
  <c r="Y134" i="31" s="1"/>
  <c r="T132" i="31"/>
  <c r="Y132" i="31" s="1"/>
  <c r="T125" i="31"/>
  <c r="Y125" i="31" s="1"/>
  <c r="T123" i="31"/>
  <c r="Y123" i="31" s="1"/>
  <c r="T121" i="31"/>
  <c r="Y121" i="31" s="1"/>
  <c r="T87" i="31"/>
  <c r="Y87" i="31" s="1"/>
  <c r="T85" i="31"/>
  <c r="Y85" i="31" s="1"/>
  <c r="T78" i="31"/>
  <c r="Y78" i="31" s="1"/>
  <c r="T76" i="31"/>
  <c r="Y76" i="31" s="1"/>
  <c r="T74" i="31"/>
  <c r="Y74" i="31" s="1"/>
  <c r="T72" i="31"/>
  <c r="Y72" i="31" s="1"/>
  <c r="T46" i="31"/>
  <c r="Y46" i="31" s="1"/>
  <c r="T44" i="31"/>
  <c r="Y44" i="31" s="1"/>
  <c r="T42" i="31"/>
  <c r="Y42" i="31" s="1"/>
  <c r="T31" i="31"/>
  <c r="Y31" i="31" s="1"/>
  <c r="T9" i="31"/>
  <c r="Y9" i="31" s="1"/>
  <c r="T7" i="31"/>
  <c r="Y7" i="31" s="1"/>
  <c r="T5" i="31"/>
  <c r="Y5" i="31" s="1"/>
  <c r="T149" i="31"/>
  <c r="Y149" i="31" s="1"/>
  <c r="U146" i="31"/>
  <c r="U144" i="31"/>
  <c r="T135" i="31"/>
  <c r="Y135" i="31" s="1"/>
  <c r="AK165" i="31"/>
  <c r="AS165" i="31" s="1"/>
  <c r="K165" i="31"/>
  <c r="AK157" i="31"/>
  <c r="AS157" i="31" s="1"/>
  <c r="K157" i="31"/>
  <c r="U142" i="31"/>
  <c r="M142" i="31"/>
  <c r="U140" i="31"/>
  <c r="U139" i="31"/>
  <c r="U137" i="31"/>
  <c r="U135" i="31"/>
  <c r="U133" i="31"/>
  <c r="AL133" i="31"/>
  <c r="AT133" i="31" s="1"/>
  <c r="AK132" i="31"/>
  <c r="AS132" i="31" s="1"/>
  <c r="U130" i="31"/>
  <c r="T129" i="31"/>
  <c r="Y129" i="31" s="1"/>
  <c r="AK129" i="31"/>
  <c r="AS129" i="31" s="1"/>
  <c r="K129" i="31"/>
  <c r="AK128" i="31"/>
  <c r="AS128" i="31" s="1"/>
  <c r="K128" i="31"/>
  <c r="U126" i="31"/>
  <c r="U124" i="31"/>
  <c r="U122" i="31"/>
  <c r="U119" i="31"/>
  <c r="U117" i="31"/>
  <c r="U115" i="31"/>
  <c r="AK114" i="31"/>
  <c r="AS114" i="31" s="1"/>
  <c r="K114" i="31"/>
  <c r="U112" i="31"/>
  <c r="T111" i="31"/>
  <c r="Y111" i="31" s="1"/>
  <c r="U110" i="31"/>
  <c r="T109" i="31"/>
  <c r="Y109" i="31" s="1"/>
  <c r="U108" i="31"/>
  <c r="T107" i="31"/>
  <c r="Y107" i="31" s="1"/>
  <c r="K107" i="31"/>
  <c r="AK107" i="31"/>
  <c r="AS107" i="31" s="1"/>
  <c r="T106" i="31"/>
  <c r="Y106" i="31" s="1"/>
  <c r="U105" i="31"/>
  <c r="T104" i="31"/>
  <c r="Y104" i="31" s="1"/>
  <c r="U103" i="31"/>
  <c r="T102" i="31"/>
  <c r="Y102" i="31" s="1"/>
  <c r="U101" i="31"/>
  <c r="AK100" i="31"/>
  <c r="AS100" i="31" s="1"/>
  <c r="K100" i="31"/>
  <c r="U98" i="31"/>
  <c r="T97" i="31"/>
  <c r="Y97" i="31" s="1"/>
  <c r="U96" i="31"/>
  <c r="U95" i="31"/>
  <c r="AK94" i="31"/>
  <c r="AS94" i="31" s="1"/>
  <c r="K94" i="31"/>
  <c r="T91" i="31"/>
  <c r="Y91" i="31" s="1"/>
  <c r="U90" i="31"/>
  <c r="AK89" i="31"/>
  <c r="AS89" i="31" s="1"/>
  <c r="K89" i="31"/>
  <c r="AK87" i="31"/>
  <c r="AS87" i="31" s="1"/>
  <c r="K87" i="31"/>
  <c r="AK85" i="31"/>
  <c r="AS85" i="31" s="1"/>
  <c r="K85" i="31"/>
  <c r="U83" i="31"/>
  <c r="T82" i="31"/>
  <c r="Y82" i="31" s="1"/>
  <c r="U81" i="31"/>
  <c r="T80" i="31"/>
  <c r="Y80" i="31" s="1"/>
  <c r="AK78" i="31"/>
  <c r="AS78" i="31" s="1"/>
  <c r="K78" i="31"/>
  <c r="K76" i="31"/>
  <c r="AK76" i="31"/>
  <c r="AS76" i="31" s="1"/>
  <c r="AK74" i="31"/>
  <c r="AS74" i="31" s="1"/>
  <c r="K74" i="31"/>
  <c r="AK72" i="31"/>
  <c r="AS72" i="31" s="1"/>
  <c r="K72" i="31"/>
  <c r="AK70" i="31"/>
  <c r="AS70" i="31" s="1"/>
  <c r="K70" i="31"/>
  <c r="U68" i="31"/>
  <c r="M66" i="31"/>
  <c r="U64" i="31"/>
  <c r="AK63" i="31"/>
  <c r="AS63" i="31" s="1"/>
  <c r="K63" i="31"/>
  <c r="AK61" i="31"/>
  <c r="AS61" i="31" s="1"/>
  <c r="K61" i="31"/>
  <c r="AK59" i="31"/>
  <c r="AS59" i="31" s="1"/>
  <c r="K59" i="31"/>
  <c r="AK57" i="31"/>
  <c r="AS57" i="31" s="1"/>
  <c r="K57" i="31"/>
  <c r="AK55" i="31"/>
  <c r="AS55" i="31" s="1"/>
  <c r="K55" i="31"/>
  <c r="U53" i="31"/>
  <c r="U50" i="31"/>
  <c r="U48" i="31"/>
  <c r="AK47" i="31"/>
  <c r="AS47" i="31" s="1"/>
  <c r="K47" i="31"/>
  <c r="AK45" i="31"/>
  <c r="AS45" i="31" s="1"/>
  <c r="K45" i="31"/>
  <c r="AK43" i="31"/>
  <c r="AS43" i="31" s="1"/>
  <c r="K43" i="31"/>
  <c r="T40" i="31"/>
  <c r="Y40" i="31" s="1"/>
  <c r="AK40" i="31"/>
  <c r="AS40" i="31" s="1"/>
  <c r="K40" i="31"/>
  <c r="N39" i="31"/>
  <c r="AK38" i="31"/>
  <c r="AS38" i="31" s="1"/>
  <c r="K38" i="31"/>
  <c r="U36" i="31"/>
  <c r="U35" i="31"/>
  <c r="U33" i="31"/>
  <c r="AK32" i="31"/>
  <c r="AS32" i="31" s="1"/>
  <c r="K32" i="31"/>
  <c r="U30" i="31"/>
  <c r="AK29" i="31"/>
  <c r="AS29" i="31" s="1"/>
  <c r="K29" i="31"/>
  <c r="AK27" i="31"/>
  <c r="AS27" i="31" s="1"/>
  <c r="K27" i="31"/>
  <c r="N26" i="31"/>
  <c r="S25" i="31"/>
  <c r="X25" i="31" s="1"/>
  <c r="N23" i="31"/>
  <c r="AK22" i="31"/>
  <c r="AS22" i="31" s="1"/>
  <c r="K22" i="31"/>
  <c r="N21" i="31"/>
  <c r="U20" i="31"/>
  <c r="AK19" i="31"/>
  <c r="AS19" i="31" s="1"/>
  <c r="K19" i="31"/>
  <c r="U17" i="31"/>
  <c r="U15" i="31"/>
  <c r="AK14" i="31"/>
  <c r="AS14" i="31" s="1"/>
  <c r="K14" i="31"/>
  <c r="AK12" i="31"/>
  <c r="AS12" i="31" s="1"/>
  <c r="K12" i="31"/>
  <c r="G10" i="31"/>
  <c r="AL10" i="31" s="1"/>
  <c r="AT10" i="31" s="1"/>
  <c r="U8" i="31"/>
  <c r="U6" i="31"/>
  <c r="I176" i="31"/>
  <c r="AN5" i="31"/>
  <c r="Q176" i="31"/>
  <c r="BA165" i="31"/>
  <c r="BA163" i="31"/>
  <c r="BB160" i="31"/>
  <c r="BB158" i="31"/>
  <c r="BB156" i="31"/>
  <c r="BA154" i="31"/>
  <c r="AZ154" i="31" s="1"/>
  <c r="BA152" i="31"/>
  <c r="BD150" i="31"/>
  <c r="BB149" i="31"/>
  <c r="BB147" i="31"/>
  <c r="BB145" i="31"/>
  <c r="BB143" i="31"/>
  <c r="BB141" i="31"/>
  <c r="BA139" i="31"/>
  <c r="BB136" i="31"/>
  <c r="BB134" i="31"/>
  <c r="BB132" i="31"/>
  <c r="BB130" i="31"/>
  <c r="BA128" i="31"/>
  <c r="AZ128" i="31" s="1"/>
  <c r="BA126" i="31"/>
  <c r="BA124" i="31"/>
  <c r="BA122" i="31"/>
  <c r="BA120" i="31"/>
  <c r="BA118" i="31"/>
  <c r="BB115" i="31"/>
  <c r="BB113" i="31"/>
  <c r="BB111" i="31"/>
  <c r="BB109" i="31"/>
  <c r="BB107" i="31"/>
  <c r="BA105" i="31"/>
  <c r="AZ105" i="31" s="1"/>
  <c r="BA103" i="31"/>
  <c r="BA101" i="31"/>
  <c r="BA99" i="31"/>
  <c r="BA97" i="31"/>
  <c r="BB94" i="31"/>
  <c r="BB92" i="31"/>
  <c r="BA90" i="31"/>
  <c r="BA88" i="31"/>
  <c r="BA86" i="31"/>
  <c r="BA84" i="31"/>
  <c r="BB83" i="31"/>
  <c r="AZ83" i="31" s="1"/>
  <c r="BK81" i="31"/>
  <c r="BB81" i="31"/>
  <c r="BB79" i="31"/>
  <c r="BK77" i="31"/>
  <c r="BB77" i="31"/>
  <c r="BB75" i="31"/>
  <c r="BK73" i="31"/>
  <c r="BB73" i="31"/>
  <c r="BB71" i="31"/>
  <c r="BA69" i="31"/>
  <c r="BA67" i="31"/>
  <c r="BB64" i="31"/>
  <c r="BB62" i="31"/>
  <c r="BB60" i="31"/>
  <c r="BB58" i="31"/>
  <c r="BB56" i="31"/>
  <c r="BB54" i="31"/>
  <c r="BB51" i="31"/>
  <c r="BA49" i="31"/>
  <c r="BB48" i="31"/>
  <c r="AZ48" i="31" s="1"/>
  <c r="BB46" i="31"/>
  <c r="BB41" i="31"/>
  <c r="BA38" i="31"/>
  <c r="BA36" i="31"/>
  <c r="BA34" i="31"/>
  <c r="BA32" i="31"/>
  <c r="BA30" i="31"/>
  <c r="BA25" i="31"/>
  <c r="BB24" i="31"/>
  <c r="BB22" i="31"/>
  <c r="BA20" i="31"/>
  <c r="BB19" i="31"/>
  <c r="AZ19" i="31" s="1"/>
  <c r="BB17" i="31"/>
  <c r="BA15" i="31"/>
  <c r="BA13" i="31"/>
  <c r="BB12" i="31"/>
  <c r="BA10" i="31"/>
  <c r="BA8" i="31"/>
  <c r="BA6" i="31"/>
  <c r="AK161" i="31"/>
  <c r="AS161" i="31" s="1"/>
  <c r="K161" i="31"/>
  <c r="T165" i="31"/>
  <c r="Y165" i="31" s="1"/>
  <c r="U164" i="31"/>
  <c r="T163" i="31"/>
  <c r="Y163" i="31" s="1"/>
  <c r="U162" i="31"/>
  <c r="T161" i="31"/>
  <c r="Y161" i="31" s="1"/>
  <c r="U160" i="31"/>
  <c r="T159" i="31"/>
  <c r="Y159" i="31" s="1"/>
  <c r="U158" i="31"/>
  <c r="T157" i="31"/>
  <c r="Y157" i="31" s="1"/>
  <c r="U156" i="31"/>
  <c r="AK155" i="31"/>
  <c r="AS155" i="31" s="1"/>
  <c r="K155" i="31"/>
  <c r="AK153" i="31"/>
  <c r="AS153" i="31" s="1"/>
  <c r="K153" i="31"/>
  <c r="AK151" i="31"/>
  <c r="AS151" i="31" s="1"/>
  <c r="K151" i="31"/>
  <c r="AL149" i="31"/>
  <c r="AT149" i="31" s="1"/>
  <c r="T148" i="31"/>
  <c r="Y148" i="31" s="1"/>
  <c r="AK148" i="31"/>
  <c r="AS148" i="31" s="1"/>
  <c r="K148" i="31"/>
  <c r="AK146" i="31"/>
  <c r="AS146" i="31" s="1"/>
  <c r="K146" i="31"/>
  <c r="K144" i="31"/>
  <c r="AK144" i="31"/>
  <c r="AS144" i="31" s="1"/>
  <c r="AK142" i="31"/>
  <c r="AS142" i="31" s="1"/>
  <c r="K142" i="31"/>
  <c r="AK139" i="31"/>
  <c r="AS139" i="31" s="1"/>
  <c r="K139" i="31"/>
  <c r="AK137" i="31"/>
  <c r="AS137" i="31" s="1"/>
  <c r="K137" i="31"/>
  <c r="AK135" i="31"/>
  <c r="AS135" i="31" s="1"/>
  <c r="K135" i="31"/>
  <c r="AK133" i="31"/>
  <c r="AS133" i="31" s="1"/>
  <c r="K133" i="31"/>
  <c r="U131" i="31"/>
  <c r="AK130" i="31"/>
  <c r="AS130" i="31" s="1"/>
  <c r="K130" i="31"/>
  <c r="U127" i="31"/>
  <c r="AK126" i="31"/>
  <c r="AS126" i="31" s="1"/>
  <c r="K126" i="31"/>
  <c r="AK124" i="31"/>
  <c r="AS124" i="31" s="1"/>
  <c r="K124" i="31"/>
  <c r="AK122" i="31"/>
  <c r="AS122" i="31" s="1"/>
  <c r="K122" i="31"/>
  <c r="N121" i="31"/>
  <c r="U120" i="31"/>
  <c r="AK119" i="31"/>
  <c r="AS119" i="31" s="1"/>
  <c r="K119" i="31"/>
  <c r="AK117" i="31"/>
  <c r="AS117" i="31" s="1"/>
  <c r="K117" i="31"/>
  <c r="AK115" i="31"/>
  <c r="AS115" i="31" s="1"/>
  <c r="K115" i="31"/>
  <c r="AK112" i="31"/>
  <c r="AS112" i="31" s="1"/>
  <c r="K112" i="31"/>
  <c r="N111" i="31"/>
  <c r="AK110" i="31"/>
  <c r="AS110" i="31" s="1"/>
  <c r="K110" i="31"/>
  <c r="AK108" i="31"/>
  <c r="AS108" i="31" s="1"/>
  <c r="K108" i="31"/>
  <c r="AK105" i="31"/>
  <c r="AS105" i="31" s="1"/>
  <c r="K105" i="31"/>
  <c r="AK103" i="31"/>
  <c r="AS103" i="31" s="1"/>
  <c r="K103" i="31"/>
  <c r="AK101" i="31"/>
  <c r="AS101" i="31" s="1"/>
  <c r="K101" i="31"/>
  <c r="U99" i="31"/>
  <c r="AK98" i="31"/>
  <c r="AS98" i="31" s="1"/>
  <c r="K98" i="31"/>
  <c r="M95" i="31"/>
  <c r="U93" i="31"/>
  <c r="AK92" i="31"/>
  <c r="AS92" i="31" s="1"/>
  <c r="K92" i="31"/>
  <c r="T89" i="31"/>
  <c r="Y89" i="31" s="1"/>
  <c r="U88" i="31"/>
  <c r="U86" i="31"/>
  <c r="U84" i="31"/>
  <c r="AK83" i="31"/>
  <c r="AS83" i="31" s="1"/>
  <c r="K83" i="31"/>
  <c r="AK81" i="31"/>
  <c r="AS81" i="31" s="1"/>
  <c r="K81" i="31"/>
  <c r="N80" i="31"/>
  <c r="U79" i="31"/>
  <c r="U77" i="31"/>
  <c r="U75" i="31"/>
  <c r="U73" i="31"/>
  <c r="U71" i="31"/>
  <c r="T70" i="31"/>
  <c r="Y70" i="31" s="1"/>
  <c r="U69" i="31"/>
  <c r="N69" i="31"/>
  <c r="U67" i="31"/>
  <c r="T66" i="31"/>
  <c r="Y66" i="31" s="1"/>
  <c r="AK66" i="31"/>
  <c r="AS66" i="31" s="1"/>
  <c r="K66" i="31"/>
  <c r="N65" i="31"/>
  <c r="T63" i="31"/>
  <c r="Y63" i="31" s="1"/>
  <c r="U62" i="31"/>
  <c r="T61" i="31"/>
  <c r="Y61" i="31" s="1"/>
  <c r="U60" i="31"/>
  <c r="T59" i="31"/>
  <c r="Y59" i="31" s="1"/>
  <c r="U58" i="31"/>
  <c r="T57" i="31"/>
  <c r="Y57" i="31" s="1"/>
  <c r="U56" i="31"/>
  <c r="T55" i="31"/>
  <c r="Y55" i="31" s="1"/>
  <c r="U54" i="31"/>
  <c r="T52" i="31"/>
  <c r="Y52" i="31" s="1"/>
  <c r="AK52" i="31"/>
  <c r="AS52" i="31" s="1"/>
  <c r="K52" i="31"/>
  <c r="AK50" i="31"/>
  <c r="AS50" i="31" s="1"/>
  <c r="K50" i="31"/>
  <c r="T47" i="31"/>
  <c r="Y47" i="31" s="1"/>
  <c r="U46" i="31"/>
  <c r="T45" i="31"/>
  <c r="Y45" i="31" s="1"/>
  <c r="U44" i="31"/>
  <c r="T43" i="31"/>
  <c r="Y43" i="31" s="1"/>
  <c r="U42" i="31"/>
  <c r="T41" i="31"/>
  <c r="Y41" i="31" s="1"/>
  <c r="AK41" i="31"/>
  <c r="AS41" i="31" s="1"/>
  <c r="K41" i="31"/>
  <c r="U39" i="31"/>
  <c r="T38" i="31"/>
  <c r="Y38" i="31" s="1"/>
  <c r="U37" i="31"/>
  <c r="AK35" i="31"/>
  <c r="AS35" i="31" s="1"/>
  <c r="K35" i="31"/>
  <c r="AK33" i="31"/>
  <c r="AS33" i="31" s="1"/>
  <c r="K33" i="31"/>
  <c r="T32" i="31"/>
  <c r="Y32" i="31" s="1"/>
  <c r="T29" i="31"/>
  <c r="Y29" i="31" s="1"/>
  <c r="U28" i="31"/>
  <c r="AK28" i="31"/>
  <c r="AS28" i="31" s="1"/>
  <c r="K28" i="31"/>
  <c r="U26" i="31"/>
  <c r="T25" i="31"/>
  <c r="Y25" i="31" s="1"/>
  <c r="AK25" i="31"/>
  <c r="AS25" i="31" s="1"/>
  <c r="K25" i="31"/>
  <c r="N24" i="31"/>
  <c r="H24" i="31"/>
  <c r="AM24" i="31" s="1"/>
  <c r="AU24" i="31" s="1"/>
  <c r="U23" i="31"/>
  <c r="T22" i="31"/>
  <c r="Y22" i="31" s="1"/>
  <c r="U21" i="31"/>
  <c r="AK20" i="31"/>
  <c r="AS20" i="31" s="1"/>
  <c r="K20" i="31"/>
  <c r="T19" i="31"/>
  <c r="Y19" i="31" s="1"/>
  <c r="U18" i="31"/>
  <c r="M18" i="31"/>
  <c r="AK17" i="31"/>
  <c r="AS17" i="31" s="1"/>
  <c r="K17" i="31"/>
  <c r="AK15" i="31"/>
  <c r="AS15" i="31" s="1"/>
  <c r="K15" i="31"/>
  <c r="U13" i="31"/>
  <c r="T12" i="31"/>
  <c r="Y12" i="31" s="1"/>
  <c r="U11" i="31"/>
  <c r="T10" i="31"/>
  <c r="Y10" i="31" s="1"/>
  <c r="AK10" i="31"/>
  <c r="AS10" i="31" s="1"/>
  <c r="AK8" i="31"/>
  <c r="AS8" i="31" s="1"/>
  <c r="K8" i="31"/>
  <c r="K6" i="31"/>
  <c r="AK6" i="31"/>
  <c r="AS6" i="31" s="1"/>
  <c r="AM5" i="31"/>
  <c r="BB165" i="31"/>
  <c r="BB163" i="31"/>
  <c r="BA161" i="31"/>
  <c r="BA159" i="31"/>
  <c r="BA157" i="31"/>
  <c r="BA155" i="31"/>
  <c r="BB152" i="31"/>
  <c r="BA148" i="31"/>
  <c r="BA146" i="31"/>
  <c r="BA144" i="31"/>
  <c r="BA142" i="31"/>
  <c r="BB139" i="31"/>
  <c r="BA137" i="31"/>
  <c r="BA135" i="31"/>
  <c r="BA133" i="31"/>
  <c r="BA131" i="31"/>
  <c r="BA129" i="31"/>
  <c r="BB126" i="31"/>
  <c r="BB124" i="31"/>
  <c r="BB122" i="31"/>
  <c r="BB120" i="31"/>
  <c r="BB118" i="31"/>
  <c r="BA116" i="31"/>
  <c r="BA114" i="31"/>
  <c r="BA112" i="31"/>
  <c r="BA110" i="31"/>
  <c r="BA108" i="31"/>
  <c r="BA106" i="31"/>
  <c r="BB103" i="31"/>
  <c r="BB101" i="31"/>
  <c r="BB99" i="31"/>
  <c r="BB97" i="31"/>
  <c r="BA93" i="31"/>
  <c r="BB90" i="31"/>
  <c r="BB88" i="31"/>
  <c r="BB86" i="31"/>
  <c r="BB84" i="31"/>
  <c r="BA82" i="31"/>
  <c r="BA80" i="31"/>
  <c r="BA78" i="31"/>
  <c r="BA76" i="31"/>
  <c r="BA74" i="31"/>
  <c r="BA72" i="31"/>
  <c r="BA70" i="31"/>
  <c r="BB69" i="31"/>
  <c r="BB67" i="31"/>
  <c r="BA65" i="31"/>
  <c r="BA63" i="31"/>
  <c r="BA61" i="31"/>
  <c r="BA59" i="31"/>
  <c r="BA57" i="31"/>
  <c r="BA55" i="31"/>
  <c r="BA52" i="31"/>
  <c r="BA50" i="31"/>
  <c r="BB49" i="31"/>
  <c r="BA47" i="31"/>
  <c r="BA45" i="31"/>
  <c r="BB44" i="31"/>
  <c r="AZ44" i="31" s="1"/>
  <c r="BA42" i="31"/>
  <c r="AZ42" i="31" s="1"/>
  <c r="BA40" i="31"/>
  <c r="BB38" i="31"/>
  <c r="BB36" i="31"/>
  <c r="BB34" i="31"/>
  <c r="BB32" i="31"/>
  <c r="BB30" i="31"/>
  <c r="BA28" i="31"/>
  <c r="BB27" i="31"/>
  <c r="AZ27" i="31" s="1"/>
  <c r="BB25" i="31"/>
  <c r="BA23" i="31"/>
  <c r="BA21" i="31"/>
  <c r="BB20" i="31"/>
  <c r="BA18" i="31"/>
  <c r="BB15" i="31"/>
  <c r="BB13" i="31"/>
  <c r="BB10" i="31"/>
  <c r="BB8" i="31"/>
  <c r="BB6" i="31"/>
  <c r="K164" i="31"/>
  <c r="AK164" i="31"/>
  <c r="AS164" i="31" s="1"/>
  <c r="AK162" i="31"/>
  <c r="AS162" i="31" s="1"/>
  <c r="K162" i="31"/>
  <c r="AK160" i="31"/>
  <c r="AS160" i="31" s="1"/>
  <c r="K160" i="31"/>
  <c r="AK158" i="31"/>
  <c r="AS158" i="31" s="1"/>
  <c r="K158" i="31"/>
  <c r="U154" i="31"/>
  <c r="M154" i="31"/>
  <c r="U152" i="31"/>
  <c r="AL152" i="31"/>
  <c r="AT152" i="31" s="1"/>
  <c r="U150" i="31"/>
  <c r="AK149" i="31"/>
  <c r="AS149" i="31" s="1"/>
  <c r="K149" i="31"/>
  <c r="U147" i="31"/>
  <c r="U145" i="31"/>
  <c r="U143" i="31"/>
  <c r="U141" i="31"/>
  <c r="AL141" i="31"/>
  <c r="AT141" i="31" s="1"/>
  <c r="AL140" i="31"/>
  <c r="AT140" i="31" s="1"/>
  <c r="U138" i="31"/>
  <c r="U136" i="31"/>
  <c r="U134" i="31"/>
  <c r="T133" i="31"/>
  <c r="Y133" i="31" s="1"/>
  <c r="U132" i="31"/>
  <c r="T130" i="31"/>
  <c r="Y130" i="31" s="1"/>
  <c r="U129" i="31"/>
  <c r="U128" i="31"/>
  <c r="T126" i="31"/>
  <c r="Y126" i="31" s="1"/>
  <c r="U125" i="31"/>
  <c r="T124" i="31"/>
  <c r="Y124" i="31" s="1"/>
  <c r="U123" i="31"/>
  <c r="T122" i="31"/>
  <c r="Y122" i="31" s="1"/>
  <c r="U121" i="31"/>
  <c r="T119" i="31"/>
  <c r="Y119" i="31" s="1"/>
  <c r="U118" i="31"/>
  <c r="T117" i="31"/>
  <c r="Y117" i="31" s="1"/>
  <c r="U116" i="31"/>
  <c r="T115" i="31"/>
  <c r="Y115" i="31" s="1"/>
  <c r="U114" i="31"/>
  <c r="U113" i="31"/>
  <c r="T112" i="31"/>
  <c r="Y112" i="31" s="1"/>
  <c r="U111" i="31"/>
  <c r="T110" i="31"/>
  <c r="Y110" i="31" s="1"/>
  <c r="U109" i="31"/>
  <c r="T108" i="31"/>
  <c r="Y108" i="31" s="1"/>
  <c r="U107" i="31"/>
  <c r="N107" i="31"/>
  <c r="U106" i="31"/>
  <c r="M106" i="31"/>
  <c r="G106" i="31"/>
  <c r="AL106" i="31" s="1"/>
  <c r="AT106" i="31" s="1"/>
  <c r="T105" i="31"/>
  <c r="Y105" i="31" s="1"/>
  <c r="U104" i="31"/>
  <c r="T103" i="31"/>
  <c r="Y103" i="31" s="1"/>
  <c r="U102" i="31"/>
  <c r="T101" i="31"/>
  <c r="Y101" i="31" s="1"/>
  <c r="T98" i="31"/>
  <c r="Y98" i="31" s="1"/>
  <c r="U97" i="31"/>
  <c r="T96" i="31"/>
  <c r="Y96" i="31" s="1"/>
  <c r="AK96" i="31"/>
  <c r="AS96" i="31" s="1"/>
  <c r="K96" i="31"/>
  <c r="T95" i="31"/>
  <c r="Y95" i="31" s="1"/>
  <c r="AK95" i="31"/>
  <c r="AS95" i="31" s="1"/>
  <c r="K95" i="31"/>
  <c r="N94" i="31"/>
  <c r="AK93" i="31"/>
  <c r="AS93" i="31" s="1"/>
  <c r="K93" i="31"/>
  <c r="U91" i="31"/>
  <c r="T90" i="31"/>
  <c r="Y90" i="31" s="1"/>
  <c r="AK90" i="31"/>
  <c r="AS90" i="31" s="1"/>
  <c r="K90" i="31"/>
  <c r="AK88" i="31"/>
  <c r="AS88" i="31" s="1"/>
  <c r="K88" i="31"/>
  <c r="AK86" i="31"/>
  <c r="AS86" i="31" s="1"/>
  <c r="K86" i="31"/>
  <c r="T83" i="31"/>
  <c r="Y83" i="31" s="1"/>
  <c r="U82" i="31"/>
  <c r="T81" i="31"/>
  <c r="Y81" i="31" s="1"/>
  <c r="U80" i="31"/>
  <c r="AK79" i="31"/>
  <c r="AS79" i="31" s="1"/>
  <c r="K79" i="31"/>
  <c r="AK77" i="31"/>
  <c r="AS77" i="31" s="1"/>
  <c r="K77" i="31"/>
  <c r="AK75" i="31"/>
  <c r="AS75" i="31" s="1"/>
  <c r="K75" i="31"/>
  <c r="N74" i="31"/>
  <c r="AK73" i="31"/>
  <c r="AS73" i="31" s="1"/>
  <c r="K73" i="31"/>
  <c r="AK71" i="31"/>
  <c r="AS71" i="31" s="1"/>
  <c r="K71" i="31"/>
  <c r="T68" i="31"/>
  <c r="Y68" i="31" s="1"/>
  <c r="AK67" i="31"/>
  <c r="AS67" i="31" s="1"/>
  <c r="K67" i="31"/>
  <c r="U65" i="31"/>
  <c r="T64" i="31"/>
  <c r="Y64" i="31" s="1"/>
  <c r="AK64" i="31"/>
  <c r="AS64" i="31" s="1"/>
  <c r="K64" i="31"/>
  <c r="AK62" i="31"/>
  <c r="AS62" i="31" s="1"/>
  <c r="K62" i="31"/>
  <c r="K60" i="31"/>
  <c r="AK60" i="31"/>
  <c r="AS60" i="31" s="1"/>
  <c r="N59" i="31"/>
  <c r="AK58" i="31"/>
  <c r="AS58" i="31" s="1"/>
  <c r="K58" i="31"/>
  <c r="AK56" i="31"/>
  <c r="AS56" i="31" s="1"/>
  <c r="K56" i="31"/>
  <c r="AK54" i="31"/>
  <c r="AS54" i="31" s="1"/>
  <c r="K54" i="31"/>
  <c r="T53" i="31"/>
  <c r="Y53" i="31" s="1"/>
  <c r="AK53" i="31"/>
  <c r="AS53" i="31" s="1"/>
  <c r="K53" i="31"/>
  <c r="U51" i="31"/>
  <c r="T50" i="31"/>
  <c r="Y50" i="31" s="1"/>
  <c r="U49" i="31"/>
  <c r="T48" i="31"/>
  <c r="Y48" i="31" s="1"/>
  <c r="AK48" i="31"/>
  <c r="AS48" i="31" s="1"/>
  <c r="K48" i="31"/>
  <c r="AK46" i="31"/>
  <c r="AS46" i="31" s="1"/>
  <c r="K46" i="31"/>
  <c r="AK44" i="31"/>
  <c r="AS44" i="31" s="1"/>
  <c r="K44" i="31"/>
  <c r="AK42" i="31"/>
  <c r="AS42" i="31" s="1"/>
  <c r="K42" i="31"/>
  <c r="U40" i="31"/>
  <c r="AK39" i="31"/>
  <c r="AS39" i="31" s="1"/>
  <c r="K39" i="31"/>
  <c r="T36" i="31"/>
  <c r="Y36" i="31" s="1"/>
  <c r="M36" i="31"/>
  <c r="G36" i="31"/>
  <c r="AL36" i="31" s="1"/>
  <c r="AT36" i="31" s="1"/>
  <c r="T35" i="31"/>
  <c r="Y35" i="31" s="1"/>
  <c r="U34" i="31"/>
  <c r="T33" i="31"/>
  <c r="Y33" i="31" s="1"/>
  <c r="U31" i="31"/>
  <c r="T30" i="31"/>
  <c r="Y30" i="31" s="1"/>
  <c r="AK30" i="31"/>
  <c r="AS30" i="31" s="1"/>
  <c r="K30" i="31"/>
  <c r="N29" i="31"/>
  <c r="U27" i="31"/>
  <c r="AK26" i="31"/>
  <c r="AS26" i="31" s="1"/>
  <c r="K26" i="31"/>
  <c r="U24" i="31"/>
  <c r="AK23" i="31"/>
  <c r="AS23" i="31" s="1"/>
  <c r="K23" i="31"/>
  <c r="AK21" i="31"/>
  <c r="AS21" i="31" s="1"/>
  <c r="K21" i="31"/>
  <c r="T20" i="31"/>
  <c r="Y20" i="31" s="1"/>
  <c r="N19" i="31"/>
  <c r="AK18" i="31"/>
  <c r="AS18" i="31" s="1"/>
  <c r="K18" i="31"/>
  <c r="T17" i="31"/>
  <c r="Y17" i="31" s="1"/>
  <c r="U16" i="31"/>
  <c r="T15" i="31"/>
  <c r="Y15" i="31" s="1"/>
  <c r="U14" i="31"/>
  <c r="AK13" i="31"/>
  <c r="AS13" i="31" s="1"/>
  <c r="K13" i="31"/>
  <c r="N12" i="31"/>
  <c r="AK11" i="31"/>
  <c r="AS11" i="31" s="1"/>
  <c r="K11" i="31"/>
  <c r="U9" i="31"/>
  <c r="T8" i="31"/>
  <c r="Y8" i="31" s="1"/>
  <c r="U7" i="31"/>
  <c r="T6" i="31"/>
  <c r="Y6" i="31" s="1"/>
  <c r="U5" i="31"/>
  <c r="AL5" i="31"/>
  <c r="BA164" i="31"/>
  <c r="BB161" i="31"/>
  <c r="BB159" i="31"/>
  <c r="BB157" i="31"/>
  <c r="BB155" i="31"/>
  <c r="BA153" i="31"/>
  <c r="BA151" i="31"/>
  <c r="BB150" i="31"/>
  <c r="AZ150" i="31" s="1"/>
  <c r="BB148" i="31"/>
  <c r="BB146" i="31"/>
  <c r="BB144" i="31"/>
  <c r="BB142" i="31"/>
  <c r="BB137" i="31"/>
  <c r="BB135" i="31"/>
  <c r="BB133" i="31"/>
  <c r="BB131" i="31"/>
  <c r="BB129" i="31"/>
  <c r="BA127" i="31"/>
  <c r="BA125" i="31"/>
  <c r="BA123" i="31"/>
  <c r="BA121" i="31"/>
  <c r="BA119" i="31"/>
  <c r="BB116" i="31"/>
  <c r="BB114" i="31"/>
  <c r="BK112" i="31"/>
  <c r="BB112" i="31"/>
  <c r="BB110" i="31"/>
  <c r="BB108" i="31"/>
  <c r="BB106" i="31"/>
  <c r="BA104" i="31"/>
  <c r="BA102" i="31"/>
  <c r="BA100" i="31"/>
  <c r="BA98" i="31"/>
  <c r="BA96" i="31"/>
  <c r="BB95" i="31"/>
  <c r="AZ95" i="31" s="1"/>
  <c r="BB93" i="31"/>
  <c r="BA89" i="31"/>
  <c r="BA87" i="31"/>
  <c r="BA85" i="31"/>
  <c r="BB82" i="31"/>
  <c r="BB80" i="31"/>
  <c r="BB78" i="31"/>
  <c r="BB76" i="31"/>
  <c r="BB74" i="31"/>
  <c r="BB72" i="31"/>
  <c r="BB70" i="31"/>
  <c r="BA68" i="31"/>
  <c r="BB65" i="31"/>
  <c r="BB63" i="31"/>
  <c r="BB61" i="31"/>
  <c r="BB59" i="31"/>
  <c r="BB57" i="31"/>
  <c r="BB55" i="31"/>
  <c r="BA53" i="31"/>
  <c r="BB52" i="31"/>
  <c r="BK50" i="31"/>
  <c r="BB50" i="31"/>
  <c r="BB47" i="31"/>
  <c r="BB45" i="31"/>
  <c r="BA43" i="31"/>
  <c r="BB40" i="31"/>
  <c r="BA37" i="31"/>
  <c r="BA35" i="31"/>
  <c r="BA33" i="31"/>
  <c r="BA31" i="31"/>
  <c r="BA29" i="31"/>
  <c r="BB28" i="31"/>
  <c r="BA26" i="31"/>
  <c r="BB23" i="31"/>
  <c r="BB21" i="31"/>
  <c r="BB18" i="31"/>
  <c r="BA16" i="31"/>
  <c r="BA14" i="31"/>
  <c r="BA9" i="31"/>
  <c r="BA7" i="31"/>
  <c r="BA5" i="31"/>
  <c r="AK163" i="31"/>
  <c r="AS163" i="31" s="1"/>
  <c r="K163" i="31"/>
  <c r="AK159" i="31"/>
  <c r="AS159" i="31" s="1"/>
  <c r="K159" i="31"/>
  <c r="U165" i="31"/>
  <c r="AL165" i="31"/>
  <c r="AT165" i="31" s="1"/>
  <c r="T164" i="31"/>
  <c r="Y164" i="31" s="1"/>
  <c r="U163" i="31"/>
  <c r="T162" i="31"/>
  <c r="Y162" i="31" s="1"/>
  <c r="U161" i="31"/>
  <c r="T160" i="31"/>
  <c r="Y160" i="31" s="1"/>
  <c r="U159" i="31"/>
  <c r="T158" i="31"/>
  <c r="Y158" i="31" s="1"/>
  <c r="U157" i="31"/>
  <c r="T156" i="31"/>
  <c r="Y156" i="31" s="1"/>
  <c r="K156" i="31"/>
  <c r="AK156" i="31"/>
  <c r="AS156" i="31" s="1"/>
  <c r="AK154" i="31"/>
  <c r="AS154" i="31" s="1"/>
  <c r="K154" i="31"/>
  <c r="N153" i="31"/>
  <c r="AK152" i="31"/>
  <c r="AS152" i="31" s="1"/>
  <c r="K152" i="31"/>
  <c r="AK150" i="31"/>
  <c r="AS150" i="31" s="1"/>
  <c r="K150" i="31"/>
  <c r="U148" i="31"/>
  <c r="AK147" i="31"/>
  <c r="AS147" i="31" s="1"/>
  <c r="K147" i="31"/>
  <c r="AK145" i="31"/>
  <c r="AS145" i="31" s="1"/>
  <c r="K145" i="31"/>
  <c r="AK143" i="31"/>
  <c r="AS143" i="31" s="1"/>
  <c r="K143" i="31"/>
  <c r="AK141" i="31"/>
  <c r="AS141" i="31" s="1"/>
  <c r="K141" i="31"/>
  <c r="AK140" i="31"/>
  <c r="AS140" i="31" s="1"/>
  <c r="K140" i="31"/>
  <c r="AK138" i="31"/>
  <c r="AS138" i="31" s="1"/>
  <c r="K138" i="31"/>
  <c r="AK136" i="31"/>
  <c r="AS136" i="31" s="1"/>
  <c r="K136" i="31"/>
  <c r="AK134" i="31"/>
  <c r="AS134" i="31" s="1"/>
  <c r="K134" i="31"/>
  <c r="N133" i="31"/>
  <c r="M132" i="31"/>
  <c r="G132" i="31"/>
  <c r="AL132" i="31" s="1"/>
  <c r="AT132" i="31" s="1"/>
  <c r="T131" i="31"/>
  <c r="Y131" i="31" s="1"/>
  <c r="AK131" i="31"/>
  <c r="AS131" i="31" s="1"/>
  <c r="K131" i="31"/>
  <c r="T127" i="31"/>
  <c r="Y127" i="31" s="1"/>
  <c r="K127" i="31"/>
  <c r="AK127" i="31"/>
  <c r="AS127" i="31" s="1"/>
  <c r="AK125" i="31"/>
  <c r="AS125" i="31" s="1"/>
  <c r="K125" i="31"/>
  <c r="AK123" i="31"/>
  <c r="AS123" i="31" s="1"/>
  <c r="K123" i="31"/>
  <c r="AK121" i="31"/>
  <c r="AS121" i="31" s="1"/>
  <c r="K121" i="31"/>
  <c r="K120" i="31"/>
  <c r="AK120" i="31"/>
  <c r="AS120" i="31" s="1"/>
  <c r="N119" i="31"/>
  <c r="AK118" i="31"/>
  <c r="AS118" i="31" s="1"/>
  <c r="K118" i="31"/>
  <c r="N117" i="31"/>
  <c r="AK116" i="31"/>
  <c r="AS116" i="31" s="1"/>
  <c r="K116" i="31"/>
  <c r="N115" i="31"/>
  <c r="AK113" i="31"/>
  <c r="AS113" i="31" s="1"/>
  <c r="K113" i="31"/>
  <c r="AK111" i="31"/>
  <c r="AS111" i="31" s="1"/>
  <c r="K111" i="31"/>
  <c r="AK109" i="31"/>
  <c r="AS109" i="31" s="1"/>
  <c r="K109" i="31"/>
  <c r="AK106" i="31"/>
  <c r="AS106" i="31" s="1"/>
  <c r="AK104" i="31"/>
  <c r="AS104" i="31" s="1"/>
  <c r="K104" i="31"/>
  <c r="AK102" i="31"/>
  <c r="AS102" i="31" s="1"/>
  <c r="K102" i="31"/>
  <c r="N101" i="31"/>
  <c r="U100" i="31"/>
  <c r="K99" i="31"/>
  <c r="AK99" i="31"/>
  <c r="AS99" i="31" s="1"/>
  <c r="AK97" i="31"/>
  <c r="AS97" i="31" s="1"/>
  <c r="K97" i="31"/>
  <c r="U94" i="31"/>
  <c r="U92" i="31"/>
  <c r="AK91" i="31"/>
  <c r="AS91" i="31" s="1"/>
  <c r="K91" i="31"/>
  <c r="U89" i="31"/>
  <c r="U87" i="31"/>
  <c r="U85" i="31"/>
  <c r="Y84" i="31"/>
  <c r="K84" i="31"/>
  <c r="AK84" i="31"/>
  <c r="AS84" i="31" s="1"/>
  <c r="AK82" i="31"/>
  <c r="AS82" i="31" s="1"/>
  <c r="K82" i="31"/>
  <c r="AK80" i="31"/>
  <c r="AS80" i="31" s="1"/>
  <c r="K80" i="31"/>
  <c r="U78" i="31"/>
  <c r="U76" i="31"/>
  <c r="U74" i="31"/>
  <c r="U72" i="31"/>
  <c r="U70" i="31"/>
  <c r="AK69" i="31"/>
  <c r="AS69" i="31" s="1"/>
  <c r="K69" i="31"/>
  <c r="AK68" i="31"/>
  <c r="AS68" i="31" s="1"/>
  <c r="K68" i="31"/>
  <c r="U66" i="31"/>
  <c r="AK65" i="31"/>
  <c r="AS65" i="31" s="1"/>
  <c r="K65" i="31"/>
  <c r="U63" i="31"/>
  <c r="U61" i="31"/>
  <c r="Y60" i="31"/>
  <c r="U59" i="31"/>
  <c r="U57" i="31"/>
  <c r="U55" i="31"/>
  <c r="U52" i="31"/>
  <c r="K51" i="31"/>
  <c r="AK51" i="31"/>
  <c r="AS51" i="31" s="1"/>
  <c r="AK49" i="31"/>
  <c r="AS49" i="31" s="1"/>
  <c r="K49" i="31"/>
  <c r="U47" i="31"/>
  <c r="U45" i="31"/>
  <c r="U43" i="31"/>
  <c r="U41" i="31"/>
  <c r="S40" i="31"/>
  <c r="X40" i="31" s="1"/>
  <c r="T39" i="31"/>
  <c r="Y39" i="31" s="1"/>
  <c r="U38" i="31"/>
  <c r="Y37" i="31"/>
  <c r="AK37" i="31"/>
  <c r="AS37" i="31" s="1"/>
  <c r="K37" i="31"/>
  <c r="AK36" i="31"/>
  <c r="AS36" i="31" s="1"/>
  <c r="AK34" i="31"/>
  <c r="AS34" i="31" s="1"/>
  <c r="K34" i="31"/>
  <c r="N33" i="31"/>
  <c r="U32" i="31"/>
  <c r="AK31" i="31"/>
  <c r="AS31" i="31" s="1"/>
  <c r="K31" i="31"/>
  <c r="U29" i="31"/>
  <c r="U25" i="31"/>
  <c r="AK24" i="31"/>
  <c r="AS24" i="31" s="1"/>
  <c r="U22" i="31"/>
  <c r="S20" i="31"/>
  <c r="X20" i="31" s="1"/>
  <c r="U19" i="31"/>
  <c r="T18" i="31"/>
  <c r="Y18" i="31" s="1"/>
  <c r="AK16" i="31"/>
  <c r="AS16" i="31" s="1"/>
  <c r="K16" i="31"/>
  <c r="M14" i="31"/>
  <c r="T13" i="31"/>
  <c r="Y13" i="31" s="1"/>
  <c r="U12" i="31"/>
  <c r="T11" i="31"/>
  <c r="Y11" i="31" s="1"/>
  <c r="U10" i="31"/>
  <c r="AK9" i="31"/>
  <c r="AS9" i="31" s="1"/>
  <c r="K9" i="31"/>
  <c r="F7" i="31"/>
  <c r="F176" i="31" s="1"/>
  <c r="N6" i="31"/>
  <c r="J176" i="31"/>
  <c r="AO5" i="31"/>
  <c r="AK5" i="31"/>
  <c r="K5" i="31"/>
  <c r="BB164" i="31"/>
  <c r="BA162" i="31"/>
  <c r="BA160" i="31"/>
  <c r="BA158" i="31"/>
  <c r="BA156" i="31"/>
  <c r="BB153" i="31"/>
  <c r="BB151" i="31"/>
  <c r="BA149" i="31"/>
  <c r="BA147" i="31"/>
  <c r="BA145" i="31"/>
  <c r="BA143" i="31"/>
  <c r="BA141" i="31"/>
  <c r="BB140" i="31"/>
  <c r="AZ140" i="31" s="1"/>
  <c r="BA138" i="31"/>
  <c r="BA136" i="31"/>
  <c r="BA134" i="31"/>
  <c r="BA132" i="31"/>
  <c r="BA130" i="31"/>
  <c r="BB127" i="31"/>
  <c r="BB125" i="31"/>
  <c r="BB123" i="31"/>
  <c r="BB121" i="31"/>
  <c r="BB119" i="31"/>
  <c r="BA117" i="31"/>
  <c r="AZ117" i="31" s="1"/>
  <c r="BA115" i="31"/>
  <c r="BA113" i="31"/>
  <c r="BA111" i="31"/>
  <c r="BA109" i="31"/>
  <c r="BA107" i="31"/>
  <c r="BE105" i="31"/>
  <c r="BB104" i="31"/>
  <c r="BB102" i="31"/>
  <c r="BB100" i="31"/>
  <c r="BK98" i="31"/>
  <c r="BB98" i="31"/>
  <c r="BK96" i="31"/>
  <c r="BB96" i="31"/>
  <c r="BA94" i="31"/>
  <c r="BA92" i="31"/>
  <c r="BB91" i="31"/>
  <c r="AZ91" i="31" s="1"/>
  <c r="BB89" i="31"/>
  <c r="BB87" i="31"/>
  <c r="BB85" i="31"/>
  <c r="BA81" i="31"/>
  <c r="BA79" i="31"/>
  <c r="BA77" i="31"/>
  <c r="BA75" i="31"/>
  <c r="BA73" i="31"/>
  <c r="BA71" i="31"/>
  <c r="BB68" i="31"/>
  <c r="BA66" i="31"/>
  <c r="AZ66" i="31" s="1"/>
  <c r="BA64" i="31"/>
  <c r="BA62" i="31"/>
  <c r="BA60" i="31"/>
  <c r="BA58" i="31"/>
  <c r="BA56" i="31"/>
  <c r="BA54" i="31"/>
  <c r="BK53" i="31"/>
  <c r="BB53" i="31"/>
  <c r="BA51" i="31"/>
  <c r="BA46" i="31"/>
  <c r="BB43" i="31"/>
  <c r="BA41" i="31"/>
  <c r="BB39" i="31"/>
  <c r="AZ39" i="31" s="1"/>
  <c r="BB37" i="31"/>
  <c r="BB35" i="31"/>
  <c r="BB33" i="31"/>
  <c r="BB31" i="31"/>
  <c r="BB29" i="31"/>
  <c r="BB26" i="31"/>
  <c r="BA24" i="31"/>
  <c r="BA22" i="31"/>
  <c r="BA17" i="31"/>
  <c r="BB16" i="31"/>
  <c r="BB14" i="31"/>
  <c r="BA12" i="31"/>
  <c r="BB11" i="31"/>
  <c r="AZ11" i="31" s="1"/>
  <c r="BB9" i="31"/>
  <c r="BB7" i="31"/>
  <c r="BB5" i="31"/>
  <c r="O150" i="31"/>
  <c r="P150" i="31" s="1"/>
  <c r="O46" i="31"/>
  <c r="P46" i="31" s="1"/>
  <c r="O153" i="31"/>
  <c r="Z153" i="31" s="1"/>
  <c r="O85" i="31"/>
  <c r="P85" i="31" s="1"/>
  <c r="O142" i="31"/>
  <c r="O132" i="31"/>
  <c r="O116" i="31"/>
  <c r="P116" i="31" s="1"/>
  <c r="O95" i="31"/>
  <c r="O39" i="31"/>
  <c r="O9" i="31"/>
  <c r="P9" i="31" s="1"/>
  <c r="O28" i="31"/>
  <c r="P28" i="31" s="1"/>
  <c r="O22" i="31"/>
  <c r="P22" i="31" s="1"/>
  <c r="O25" i="31"/>
  <c r="P25" i="31" s="1"/>
  <c r="BK41" i="31"/>
  <c r="BK103" i="31"/>
  <c r="BK46" i="31"/>
  <c r="BK44" i="31"/>
  <c r="BK38" i="31"/>
  <c r="BK101" i="31"/>
  <c r="BK95" i="31"/>
  <c r="BK47" i="31"/>
  <c r="BK8" i="31"/>
  <c r="BK24" i="31"/>
  <c r="BK99" i="31"/>
  <c r="BK83" i="31"/>
  <c r="BK36" i="31"/>
  <c r="BK135" i="31"/>
  <c r="BK127" i="31"/>
  <c r="BK163" i="31"/>
  <c r="BK155" i="31"/>
  <c r="BK147" i="31"/>
  <c r="BN147" i="31" s="1"/>
  <c r="BK131" i="31"/>
  <c r="BK124" i="31"/>
  <c r="BK122" i="31"/>
  <c r="BK120" i="31"/>
  <c r="BK118" i="31"/>
  <c r="BK110" i="31"/>
  <c r="BK92" i="31"/>
  <c r="BK84" i="31"/>
  <c r="BK94" i="31"/>
  <c r="BK86" i="31"/>
  <c r="BK35" i="31"/>
  <c r="BK102" i="31"/>
  <c r="BK88" i="31"/>
  <c r="BK32" i="31"/>
  <c r="BK100" i="31"/>
  <c r="BK90" i="31"/>
  <c r="BK82" i="31"/>
  <c r="BK79" i="31"/>
  <c r="BK75" i="31"/>
  <c r="BK19" i="31"/>
  <c r="BK45" i="31"/>
  <c r="BK23" i="31"/>
  <c r="BK70" i="31"/>
  <c r="BK68" i="31"/>
  <c r="BK66" i="31"/>
  <c r="BK64" i="31"/>
  <c r="BK62" i="31"/>
  <c r="BK60" i="31"/>
  <c r="BK58" i="31"/>
  <c r="BK56" i="31"/>
  <c r="BK54" i="31"/>
  <c r="BK52" i="31"/>
  <c r="BK48" i="31"/>
  <c r="BK27" i="31"/>
  <c r="BK15" i="31"/>
  <c r="BK25" i="31"/>
  <c r="BK21" i="31"/>
  <c r="BK17" i="31"/>
  <c r="BK13" i="31"/>
  <c r="BK9" i="31"/>
  <c r="O115" i="31"/>
  <c r="O97" i="31"/>
  <c r="P97" i="31" s="1"/>
  <c r="O55" i="31"/>
  <c r="P55" i="31" s="1"/>
  <c r="O53" i="31"/>
  <c r="P53" i="31" s="1"/>
  <c r="O14" i="31"/>
  <c r="O10" i="31"/>
  <c r="P10" i="31" s="1"/>
  <c r="BN15" i="31" l="1"/>
  <c r="BQ15" i="31" s="1"/>
  <c r="AZ34" i="31"/>
  <c r="K106" i="31"/>
  <c r="L106" i="31" s="1"/>
  <c r="AQ106" i="31" s="1"/>
  <c r="AY106" i="31" s="1"/>
  <c r="O59" i="31"/>
  <c r="Z59" i="31" s="1"/>
  <c r="O92" i="31"/>
  <c r="P92" i="31" s="1"/>
  <c r="BN84" i="31"/>
  <c r="BQ84" i="31" s="1"/>
  <c r="BN122" i="31"/>
  <c r="BQ122" i="31" s="1"/>
  <c r="S128" i="31"/>
  <c r="R128" i="31" s="1"/>
  <c r="AZ159" i="31"/>
  <c r="BN17" i="31"/>
  <c r="CJ17" i="31" s="1"/>
  <c r="P39" i="31"/>
  <c r="AZ57" i="31"/>
  <c r="AZ142" i="31"/>
  <c r="O20" i="31"/>
  <c r="P20" i="31" s="1"/>
  <c r="AZ110" i="31"/>
  <c r="AZ135" i="31"/>
  <c r="AZ163" i="31"/>
  <c r="K10" i="31"/>
  <c r="AP10" i="31" s="1"/>
  <c r="AX10" i="31" s="1"/>
  <c r="AZ10" i="31"/>
  <c r="AZ32" i="31"/>
  <c r="AZ23" i="31"/>
  <c r="AZ72" i="31"/>
  <c r="AZ80" i="31"/>
  <c r="AZ144" i="31"/>
  <c r="O32" i="31"/>
  <c r="P32" i="31" s="1"/>
  <c r="AZ18" i="31"/>
  <c r="AZ106" i="31"/>
  <c r="AZ146" i="31"/>
  <c r="AZ126" i="31"/>
  <c r="O38" i="31"/>
  <c r="P38" i="31" s="1"/>
  <c r="O112" i="31"/>
  <c r="P112" i="31" s="1"/>
  <c r="AZ76" i="31"/>
  <c r="O90" i="31"/>
  <c r="P90" i="31" s="1"/>
  <c r="BN13" i="31"/>
  <c r="CJ13" i="31" s="1"/>
  <c r="S115" i="31"/>
  <c r="X115" i="31" s="1"/>
  <c r="O101" i="31"/>
  <c r="Z101" i="31" s="1"/>
  <c r="S23" i="31"/>
  <c r="X23" i="31" s="1"/>
  <c r="AZ9" i="31"/>
  <c r="AZ118" i="31"/>
  <c r="P59" i="31"/>
  <c r="P142" i="31"/>
  <c r="AZ85" i="31"/>
  <c r="AZ38" i="31"/>
  <c r="AZ86" i="31"/>
  <c r="BN9" i="31"/>
  <c r="BQ9" i="31" s="1"/>
  <c r="BN131" i="31"/>
  <c r="BQ131" i="31" s="1"/>
  <c r="BN135" i="31"/>
  <c r="BQ135" i="31" s="1"/>
  <c r="AZ114" i="31"/>
  <c r="AZ103" i="31"/>
  <c r="AZ131" i="31"/>
  <c r="AZ67" i="31"/>
  <c r="AZ97" i="31"/>
  <c r="AZ20" i="31"/>
  <c r="AZ90" i="31"/>
  <c r="AZ122" i="31"/>
  <c r="BN118" i="31"/>
  <c r="BQ118" i="31" s="1"/>
  <c r="K24" i="31"/>
  <c r="L24" i="31" s="1"/>
  <c r="AQ24" i="31" s="1"/>
  <c r="AY24" i="31" s="1"/>
  <c r="AZ137" i="31"/>
  <c r="AZ89" i="31"/>
  <c r="AZ151" i="31"/>
  <c r="AZ129" i="31"/>
  <c r="AZ15" i="31"/>
  <c r="AZ49" i="31"/>
  <c r="AZ88" i="31"/>
  <c r="AZ6" i="31"/>
  <c r="AZ47" i="31"/>
  <c r="AZ28" i="31"/>
  <c r="AZ45" i="31"/>
  <c r="AZ61" i="31"/>
  <c r="AZ52" i="31"/>
  <c r="BN35" i="31"/>
  <c r="CJ35" i="31" s="1"/>
  <c r="O8" i="31"/>
  <c r="P8" i="31" s="1"/>
  <c r="AZ87" i="31"/>
  <c r="AZ93" i="31"/>
  <c r="AZ25" i="31"/>
  <c r="AZ99" i="31"/>
  <c r="AZ165" i="31"/>
  <c r="AZ65" i="31"/>
  <c r="AZ16" i="31"/>
  <c r="BN45" i="31"/>
  <c r="BQ45" i="31" s="1"/>
  <c r="AZ21" i="31"/>
  <c r="AZ50" i="31"/>
  <c r="AZ133" i="31"/>
  <c r="AZ148" i="31"/>
  <c r="AZ155" i="31"/>
  <c r="AZ8" i="31"/>
  <c r="AZ30" i="31"/>
  <c r="AZ36" i="31"/>
  <c r="AZ69" i="31"/>
  <c r="AZ84" i="31"/>
  <c r="AZ101" i="31"/>
  <c r="AZ139" i="31"/>
  <c r="O69" i="31"/>
  <c r="P69" i="31" s="1"/>
  <c r="O99" i="31"/>
  <c r="P99" i="31" s="1"/>
  <c r="S135" i="31"/>
  <c r="X135" i="31" s="1"/>
  <c r="O122" i="31"/>
  <c r="P122" i="31" s="1"/>
  <c r="O120" i="31"/>
  <c r="P120" i="31" s="1"/>
  <c r="K36" i="31"/>
  <c r="AP36" i="31" s="1"/>
  <c r="AX36" i="31" s="1"/>
  <c r="AZ120" i="31"/>
  <c r="AZ124" i="31"/>
  <c r="AZ152" i="31"/>
  <c r="H176" i="31"/>
  <c r="O24" i="31"/>
  <c r="P24" i="31" s="1"/>
  <c r="S148" i="31"/>
  <c r="X148" i="31" s="1"/>
  <c r="S143" i="31"/>
  <c r="X143" i="31" s="1"/>
  <c r="O26" i="31"/>
  <c r="P26" i="31" s="1"/>
  <c r="O60" i="31"/>
  <c r="P60" i="31" s="1"/>
  <c r="O61" i="31"/>
  <c r="P61" i="31" s="1"/>
  <c r="S144" i="31"/>
  <c r="X144" i="31" s="1"/>
  <c r="O6" i="31"/>
  <c r="Z6" i="31" s="1"/>
  <c r="O40" i="31"/>
  <c r="P40" i="31" s="1"/>
  <c r="O123" i="31"/>
  <c r="P123" i="31" s="1"/>
  <c r="BK11" i="31"/>
  <c r="BN11" i="31" s="1"/>
  <c r="BQ11" i="31" s="1"/>
  <c r="BK43" i="31"/>
  <c r="BN43" i="31" s="1"/>
  <c r="BQ43" i="31" s="1"/>
  <c r="O105" i="31"/>
  <c r="P105" i="31" s="1"/>
  <c r="S42" i="31"/>
  <c r="X42" i="31" s="1"/>
  <c r="BK7" i="31"/>
  <c r="BN7" i="31" s="1"/>
  <c r="BQ7" i="31" s="1"/>
  <c r="BK85" i="31"/>
  <c r="BN85" i="31" s="1"/>
  <c r="BQ85" i="31" s="1"/>
  <c r="O18" i="31"/>
  <c r="P18" i="31" s="1"/>
  <c r="O148" i="31"/>
  <c r="P148" i="31" s="1"/>
  <c r="S124" i="31"/>
  <c r="X124" i="31" s="1"/>
  <c r="O139" i="31"/>
  <c r="P139" i="31" s="1"/>
  <c r="BK31" i="31"/>
  <c r="BN31" i="31" s="1"/>
  <c r="BQ31" i="31" s="1"/>
  <c r="S6" i="31"/>
  <c r="X6" i="31" s="1"/>
  <c r="BK108" i="31"/>
  <c r="BN108" i="31" s="1"/>
  <c r="O30" i="31"/>
  <c r="P30" i="31" s="1"/>
  <c r="S60" i="31"/>
  <c r="X60" i="31" s="1"/>
  <c r="O158" i="31"/>
  <c r="P158" i="31" s="1"/>
  <c r="S33" i="31"/>
  <c r="X33" i="31" s="1"/>
  <c r="O51" i="31"/>
  <c r="P51" i="31" s="1"/>
  <c r="O70" i="31"/>
  <c r="P70" i="31" s="1"/>
  <c r="S113" i="31"/>
  <c r="X113" i="31" s="1"/>
  <c r="O117" i="31"/>
  <c r="Z117" i="31" s="1"/>
  <c r="BK116" i="31"/>
  <c r="BN116" i="31" s="1"/>
  <c r="O45" i="31"/>
  <c r="P45" i="31" s="1"/>
  <c r="O44" i="31"/>
  <c r="P44" i="31" s="1"/>
  <c r="AZ7" i="31"/>
  <c r="AZ14" i="31"/>
  <c r="AZ31" i="31"/>
  <c r="AZ35" i="31"/>
  <c r="AZ43" i="31"/>
  <c r="AZ53" i="31"/>
  <c r="AZ68" i="31"/>
  <c r="AZ98" i="31"/>
  <c r="AZ102" i="31"/>
  <c r="BK128" i="31"/>
  <c r="BN128" i="31" s="1"/>
  <c r="AZ164" i="31"/>
  <c r="BN23" i="31"/>
  <c r="BQ23" i="31" s="1"/>
  <c r="BE28" i="31"/>
  <c r="BN32" i="31"/>
  <c r="BN99" i="31"/>
  <c r="BE139" i="31"/>
  <c r="BK139" i="31"/>
  <c r="BN163" i="31"/>
  <c r="BN92" i="31"/>
  <c r="BE107" i="31"/>
  <c r="BE141" i="31"/>
  <c r="O12" i="31"/>
  <c r="P12" i="31" s="1"/>
  <c r="BE119" i="31"/>
  <c r="BN127" i="31"/>
  <c r="BE153" i="31"/>
  <c r="BN47" i="31"/>
  <c r="BE72" i="31"/>
  <c r="BE117" i="31"/>
  <c r="BK129" i="31"/>
  <c r="BE137" i="31"/>
  <c r="BK51" i="31"/>
  <c r="BN51" i="31" s="1"/>
  <c r="BQ51" i="31" s="1"/>
  <c r="O124" i="31"/>
  <c r="P124" i="31" s="1"/>
  <c r="O164" i="31"/>
  <c r="P164" i="31" s="1"/>
  <c r="BE104" i="31"/>
  <c r="BK104" i="31"/>
  <c r="AZ121" i="31"/>
  <c r="AZ125" i="31"/>
  <c r="BE18" i="31"/>
  <c r="AZ40" i="31"/>
  <c r="AZ55" i="31"/>
  <c r="AZ59" i="31"/>
  <c r="AZ63" i="31"/>
  <c r="AZ70" i="31"/>
  <c r="AZ74" i="31"/>
  <c r="AZ82" i="31"/>
  <c r="BE106" i="31"/>
  <c r="BK106" i="31"/>
  <c r="BE114" i="31"/>
  <c r="BK114" i="31"/>
  <c r="BE144" i="31"/>
  <c r="BE148" i="31"/>
  <c r="BE38" i="31"/>
  <c r="O49" i="31"/>
  <c r="P49" i="31" s="1"/>
  <c r="O64" i="31"/>
  <c r="P64" i="31" s="1"/>
  <c r="O84" i="31"/>
  <c r="P84" i="31" s="1"/>
  <c r="O136" i="31"/>
  <c r="P136" i="31" s="1"/>
  <c r="O144" i="31"/>
  <c r="P144" i="31" s="1"/>
  <c r="O145" i="31"/>
  <c r="P145" i="31" s="1"/>
  <c r="O83" i="31"/>
  <c r="P83" i="31" s="1"/>
  <c r="O79" i="31"/>
  <c r="P79" i="31" s="1"/>
  <c r="O113" i="31"/>
  <c r="Z113" i="31" s="1"/>
  <c r="AZ119" i="31"/>
  <c r="AZ123" i="31"/>
  <c r="AZ127" i="31"/>
  <c r="AZ108" i="31"/>
  <c r="AZ112" i="31"/>
  <c r="AZ116" i="31"/>
  <c r="AZ157" i="31"/>
  <c r="AZ161" i="31"/>
  <c r="AZ13" i="31"/>
  <c r="S8" i="31"/>
  <c r="X8" i="31" s="1"/>
  <c r="S127" i="31"/>
  <c r="X127" i="31" s="1"/>
  <c r="BK33" i="31"/>
  <c r="BK37" i="31"/>
  <c r="BN37" i="31" s="1"/>
  <c r="O128" i="31"/>
  <c r="P128" i="31" s="1"/>
  <c r="O157" i="31"/>
  <c r="P157" i="31" s="1"/>
  <c r="O31" i="31"/>
  <c r="P31" i="31" s="1"/>
  <c r="O114" i="31"/>
  <c r="P114" i="31" s="1"/>
  <c r="S147" i="31"/>
  <c r="X147" i="31" s="1"/>
  <c r="S29" i="31"/>
  <c r="X29" i="31" s="1"/>
  <c r="O74" i="31"/>
  <c r="P74" i="31" s="1"/>
  <c r="S14" i="31"/>
  <c r="X14" i="31" s="1"/>
  <c r="O57" i="31"/>
  <c r="P57" i="31" s="1"/>
  <c r="S70" i="31"/>
  <c r="R70" i="31" s="1"/>
  <c r="O88" i="31"/>
  <c r="P88" i="31" s="1"/>
  <c r="O119" i="31"/>
  <c r="P119" i="31" s="1"/>
  <c r="BK5" i="31"/>
  <c r="BN5" i="31" s="1"/>
  <c r="BK29" i="31"/>
  <c r="BN29" i="31" s="1"/>
  <c r="BK91" i="31"/>
  <c r="BN91" i="31" s="1"/>
  <c r="O17" i="31"/>
  <c r="P17" i="31" s="1"/>
  <c r="O86" i="31"/>
  <c r="P86" i="31" s="1"/>
  <c r="S49" i="31"/>
  <c r="X49" i="31" s="1"/>
  <c r="S31" i="31"/>
  <c r="X31" i="31" s="1"/>
  <c r="O87" i="31"/>
  <c r="P87" i="31" s="1"/>
  <c r="S118" i="31"/>
  <c r="X118" i="31" s="1"/>
  <c r="S5" i="31"/>
  <c r="X5" i="31" s="1"/>
  <c r="O29" i="31"/>
  <c r="P29" i="31" s="1"/>
  <c r="O93" i="31"/>
  <c r="P93" i="31" s="1"/>
  <c r="O121" i="31"/>
  <c r="P121" i="31" s="1"/>
  <c r="O126" i="31"/>
  <c r="P126" i="31" s="1"/>
  <c r="S133" i="31"/>
  <c r="X133" i="31" s="1"/>
  <c r="BK125" i="31"/>
  <c r="BN125" i="31" s="1"/>
  <c r="BK89" i="31"/>
  <c r="BN89" i="31" s="1"/>
  <c r="CJ89" i="31" s="1"/>
  <c r="O50" i="31"/>
  <c r="P50" i="31" s="1"/>
  <c r="O73" i="31"/>
  <c r="P73" i="31" s="1"/>
  <c r="O118" i="31"/>
  <c r="P118" i="31" s="1"/>
  <c r="O152" i="31"/>
  <c r="P152" i="31" s="1"/>
  <c r="O154" i="31"/>
  <c r="P154" i="31" s="1"/>
  <c r="O7" i="31"/>
  <c r="P7" i="31" s="1"/>
  <c r="O81" i="31"/>
  <c r="P81" i="31" s="1"/>
  <c r="O13" i="31"/>
  <c r="P13" i="31" s="1"/>
  <c r="O43" i="31"/>
  <c r="P43" i="31" s="1"/>
  <c r="O91" i="31"/>
  <c r="P91" i="31" s="1"/>
  <c r="Z85" i="31"/>
  <c r="S107" i="31"/>
  <c r="X107" i="31" s="1"/>
  <c r="S98" i="31"/>
  <c r="X98" i="31" s="1"/>
  <c r="S117" i="31"/>
  <c r="X117" i="31" s="1"/>
  <c r="O5" i="31"/>
  <c r="P5" i="31" s="1"/>
  <c r="O16" i="31"/>
  <c r="P16" i="31" s="1"/>
  <c r="O109" i="31"/>
  <c r="Z109" i="31" s="1"/>
  <c r="O111" i="31"/>
  <c r="P111" i="31" s="1"/>
  <c r="O151" i="31"/>
  <c r="Z151" i="31" s="1"/>
  <c r="O77" i="31"/>
  <c r="P77" i="31" s="1"/>
  <c r="S86" i="31"/>
  <c r="X86" i="31" s="1"/>
  <c r="N176" i="31"/>
  <c r="S10" i="31"/>
  <c r="X10" i="31" s="1"/>
  <c r="S85" i="31"/>
  <c r="X85" i="31" s="1"/>
  <c r="S122" i="31"/>
  <c r="X122" i="31" s="1"/>
  <c r="O37" i="31"/>
  <c r="P37" i="31" s="1"/>
  <c r="O62" i="31"/>
  <c r="P62" i="31" s="1"/>
  <c r="S71" i="31"/>
  <c r="X71" i="31" s="1"/>
  <c r="O129" i="31"/>
  <c r="P129" i="31" s="1"/>
  <c r="O165" i="31"/>
  <c r="P165" i="31" s="1"/>
  <c r="O160" i="31"/>
  <c r="P160" i="31" s="1"/>
  <c r="O133" i="31"/>
  <c r="P133" i="31" s="1"/>
  <c r="P115" i="31"/>
  <c r="P117" i="31"/>
  <c r="S22" i="31"/>
  <c r="X22" i="31" s="1"/>
  <c r="S19" i="31"/>
  <c r="X19" i="31" s="1"/>
  <c r="S37" i="31"/>
  <c r="X37" i="31" s="1"/>
  <c r="S46" i="31"/>
  <c r="X46" i="31" s="1"/>
  <c r="S9" i="31"/>
  <c r="X9" i="31" s="1"/>
  <c r="S28" i="31"/>
  <c r="X28" i="31" s="1"/>
  <c r="S39" i="31"/>
  <c r="X39" i="31" s="1"/>
  <c r="S83" i="31"/>
  <c r="X83" i="31" s="1"/>
  <c r="S152" i="31"/>
  <c r="X152" i="31" s="1"/>
  <c r="S163" i="31"/>
  <c r="X163" i="31" s="1"/>
  <c r="BK153" i="31"/>
  <c r="BN153" i="31" s="1"/>
  <c r="BK113" i="31"/>
  <c r="BN113" i="31" s="1"/>
  <c r="BK57" i="31"/>
  <c r="BK12" i="31"/>
  <c r="BN12" i="31" s="1"/>
  <c r="S11" i="31"/>
  <c r="X11" i="31" s="1"/>
  <c r="S17" i="31"/>
  <c r="X17" i="31" s="1"/>
  <c r="O72" i="31"/>
  <c r="P72" i="31" s="1"/>
  <c r="S77" i="31"/>
  <c r="X77" i="31" s="1"/>
  <c r="S91" i="31"/>
  <c r="X91" i="31" s="1"/>
  <c r="S12" i="31"/>
  <c r="X12" i="31" s="1"/>
  <c r="S24" i="31"/>
  <c r="X24" i="31" s="1"/>
  <c r="S35" i="31"/>
  <c r="X35" i="31" s="1"/>
  <c r="S56" i="31"/>
  <c r="X56" i="31" s="1"/>
  <c r="S67" i="31"/>
  <c r="X67" i="31" s="1"/>
  <c r="S73" i="31"/>
  <c r="X73" i="31" s="1"/>
  <c r="S75" i="31"/>
  <c r="X75" i="31" s="1"/>
  <c r="S108" i="31"/>
  <c r="X108" i="31" s="1"/>
  <c r="S123" i="31"/>
  <c r="X123" i="31" s="1"/>
  <c r="S102" i="31"/>
  <c r="X102" i="31" s="1"/>
  <c r="S112" i="31"/>
  <c r="X112" i="31" s="1"/>
  <c r="S119" i="31"/>
  <c r="X119" i="31" s="1"/>
  <c r="S150" i="31"/>
  <c r="X150" i="31" s="1"/>
  <c r="S156" i="31"/>
  <c r="S154" i="31"/>
  <c r="BQ17" i="31"/>
  <c r="BK149" i="31"/>
  <c r="BK137" i="31"/>
  <c r="BK143" i="31"/>
  <c r="BN143" i="31" s="1"/>
  <c r="BK69" i="31"/>
  <c r="BK10" i="31"/>
  <c r="BK59" i="31"/>
  <c r="BN59" i="31" s="1"/>
  <c r="BK22" i="31"/>
  <c r="BN22" i="31" s="1"/>
  <c r="BK87" i="31"/>
  <c r="BN87" i="31" s="1"/>
  <c r="BK6" i="31"/>
  <c r="BN6" i="31" s="1"/>
  <c r="BK72" i="31"/>
  <c r="BN72" i="31" s="1"/>
  <c r="BK30" i="31"/>
  <c r="BN30" i="31" s="1"/>
  <c r="BK109" i="31"/>
  <c r="BN109" i="31" s="1"/>
  <c r="BK117" i="31"/>
  <c r="BN117" i="31" s="1"/>
  <c r="BK123" i="31"/>
  <c r="BN123" i="31" s="1"/>
  <c r="BK115" i="31"/>
  <c r="BN115" i="31" s="1"/>
  <c r="BK65" i="31"/>
  <c r="O19" i="31"/>
  <c r="P19" i="31" s="1"/>
  <c r="S30" i="31"/>
  <c r="X30" i="31" s="1"/>
  <c r="O35" i="31"/>
  <c r="P35" i="31" s="1"/>
  <c r="O47" i="31"/>
  <c r="P47" i="31" s="1"/>
  <c r="O54" i="31"/>
  <c r="P54" i="31" s="1"/>
  <c r="O23" i="31"/>
  <c r="P23" i="31" s="1"/>
  <c r="S68" i="31"/>
  <c r="O78" i="31"/>
  <c r="P78" i="31" s="1"/>
  <c r="O68" i="31"/>
  <c r="P68" i="31" s="1"/>
  <c r="O80" i="31"/>
  <c r="P80" i="31" s="1"/>
  <c r="S64" i="31"/>
  <c r="X64" i="31" s="1"/>
  <c r="S111" i="31"/>
  <c r="X111" i="31" s="1"/>
  <c r="O135" i="31"/>
  <c r="P135" i="31" s="1"/>
  <c r="O143" i="31"/>
  <c r="P143" i="31" s="1"/>
  <c r="O130" i="31"/>
  <c r="P130" i="31" s="1"/>
  <c r="S132" i="31"/>
  <c r="S142" i="31"/>
  <c r="X142" i="31" s="1"/>
  <c r="S162" i="31"/>
  <c r="X162" i="31" s="1"/>
  <c r="S13" i="31"/>
  <c r="X13" i="31" s="1"/>
  <c r="O41" i="31"/>
  <c r="P41" i="31" s="1"/>
  <c r="O76" i="31"/>
  <c r="P76" i="31" s="1"/>
  <c r="O58" i="31"/>
  <c r="P58" i="31" s="1"/>
  <c r="O52" i="31"/>
  <c r="P52" i="31" s="1"/>
  <c r="O67" i="31"/>
  <c r="P67" i="31" s="1"/>
  <c r="O106" i="31"/>
  <c r="P106" i="31" s="1"/>
  <c r="O100" i="31"/>
  <c r="O110" i="31"/>
  <c r="P110" i="31" s="1"/>
  <c r="O161" i="31"/>
  <c r="P161" i="31" s="1"/>
  <c r="O155" i="31"/>
  <c r="O162" i="31"/>
  <c r="P162" i="31" s="1"/>
  <c r="O42" i="31"/>
  <c r="P42" i="31" s="1"/>
  <c r="O65" i="31"/>
  <c r="P65" i="31" s="1"/>
  <c r="R20" i="31"/>
  <c r="S45" i="31"/>
  <c r="X45" i="31" s="1"/>
  <c r="S138" i="31"/>
  <c r="X138" i="31" s="1"/>
  <c r="BE5" i="31"/>
  <c r="BE9" i="31"/>
  <c r="BE16" i="31"/>
  <c r="BF22" i="31"/>
  <c r="BE26" i="31"/>
  <c r="BE29" i="31"/>
  <c r="BE85" i="31"/>
  <c r="BE89" i="31"/>
  <c r="AZ153" i="31"/>
  <c r="AW5" i="31"/>
  <c r="AO176" i="31"/>
  <c r="AW176" i="31" s="1"/>
  <c r="K7" i="31"/>
  <c r="AK7" i="31"/>
  <c r="AS7" i="31" s="1"/>
  <c r="Z10" i="31"/>
  <c r="AP16" i="31"/>
  <c r="AX16" i="31" s="1"/>
  <c r="L16" i="31"/>
  <c r="AQ16" i="31" s="1"/>
  <c r="AY16" i="31" s="1"/>
  <c r="L34" i="31"/>
  <c r="AQ34" i="31" s="1"/>
  <c r="AY34" i="31" s="1"/>
  <c r="AP34" i="31"/>
  <c r="AX34" i="31" s="1"/>
  <c r="L37" i="31"/>
  <c r="AQ37" i="31" s="1"/>
  <c r="AY37" i="31" s="1"/>
  <c r="AP37" i="31"/>
  <c r="AX37" i="31" s="1"/>
  <c r="AP65" i="31"/>
  <c r="AX65" i="31" s="1"/>
  <c r="L65" i="31"/>
  <c r="AQ65" i="31" s="1"/>
  <c r="AY65" i="31" s="1"/>
  <c r="L68" i="31"/>
  <c r="AQ68" i="31" s="1"/>
  <c r="AY68" i="31" s="1"/>
  <c r="AP68" i="31"/>
  <c r="AX68" i="31" s="1"/>
  <c r="AP82" i="31"/>
  <c r="AX82" i="31" s="1"/>
  <c r="L82" i="31"/>
  <c r="AQ82" i="31" s="1"/>
  <c r="AY82" i="31" s="1"/>
  <c r="AP97" i="31"/>
  <c r="AX97" i="31" s="1"/>
  <c r="L97" i="31"/>
  <c r="AQ97" i="31" s="1"/>
  <c r="AY97" i="31" s="1"/>
  <c r="AP102" i="31"/>
  <c r="AX102" i="31" s="1"/>
  <c r="L102" i="31"/>
  <c r="AQ102" i="31" s="1"/>
  <c r="AY102" i="31" s="1"/>
  <c r="L116" i="31"/>
  <c r="AQ116" i="31" s="1"/>
  <c r="AY116" i="31" s="1"/>
  <c r="AP116" i="31"/>
  <c r="AX116" i="31" s="1"/>
  <c r="AP118" i="31"/>
  <c r="AX118" i="31" s="1"/>
  <c r="L118" i="31"/>
  <c r="AQ118" i="31" s="1"/>
  <c r="AY118" i="31" s="1"/>
  <c r="L123" i="31"/>
  <c r="AQ123" i="31" s="1"/>
  <c r="AY123" i="31" s="1"/>
  <c r="AP123" i="31"/>
  <c r="AX123" i="31" s="1"/>
  <c r="AP131" i="31"/>
  <c r="AX131" i="31" s="1"/>
  <c r="L131" i="31"/>
  <c r="AQ131" i="31" s="1"/>
  <c r="AY131" i="31" s="1"/>
  <c r="AP136" i="31"/>
  <c r="AX136" i="31" s="1"/>
  <c r="L136" i="31"/>
  <c r="AQ136" i="31" s="1"/>
  <c r="AY136" i="31" s="1"/>
  <c r="AP145" i="31"/>
  <c r="AX145" i="31" s="1"/>
  <c r="L145" i="31"/>
  <c r="AQ145" i="31" s="1"/>
  <c r="AY145" i="31" s="1"/>
  <c r="BF7" i="31"/>
  <c r="BF14" i="31"/>
  <c r="BF43" i="31"/>
  <c r="BE47" i="31"/>
  <c r="BF125" i="31"/>
  <c r="BE129" i="31"/>
  <c r="BE133" i="31"/>
  <c r="G176" i="31"/>
  <c r="L11" i="31"/>
  <c r="AQ11" i="31" s="1"/>
  <c r="AY11" i="31" s="1"/>
  <c r="AP11" i="31"/>
  <c r="AX11" i="31" s="1"/>
  <c r="L13" i="31"/>
  <c r="AQ13" i="31" s="1"/>
  <c r="AY13" i="31" s="1"/>
  <c r="AP13" i="31"/>
  <c r="AX13" i="31" s="1"/>
  <c r="L30" i="31"/>
  <c r="AQ30" i="31" s="1"/>
  <c r="AY30" i="31" s="1"/>
  <c r="AP30" i="31"/>
  <c r="AX30" i="31" s="1"/>
  <c r="L44" i="31"/>
  <c r="AQ44" i="31" s="1"/>
  <c r="AY44" i="31" s="1"/>
  <c r="AP44" i="31"/>
  <c r="AX44" i="31" s="1"/>
  <c r="AP60" i="31"/>
  <c r="AX60" i="31" s="1"/>
  <c r="L60" i="31"/>
  <c r="AQ60" i="31" s="1"/>
  <c r="AY60" i="31" s="1"/>
  <c r="AP86" i="31"/>
  <c r="AX86" i="31" s="1"/>
  <c r="L86" i="31"/>
  <c r="AQ86" i="31" s="1"/>
  <c r="AY86" i="31" s="1"/>
  <c r="L90" i="31"/>
  <c r="AQ90" i="31" s="1"/>
  <c r="AY90" i="31" s="1"/>
  <c r="AP90" i="31"/>
  <c r="AX90" i="31" s="1"/>
  <c r="AP96" i="31"/>
  <c r="AX96" i="31" s="1"/>
  <c r="L96" i="31"/>
  <c r="AQ96" i="31" s="1"/>
  <c r="AY96" i="31" s="1"/>
  <c r="Z97" i="31"/>
  <c r="Z116" i="31"/>
  <c r="Z132" i="31"/>
  <c r="L158" i="31"/>
  <c r="AQ158" i="31" s="1"/>
  <c r="AY158" i="31" s="1"/>
  <c r="AP158" i="31"/>
  <c r="AX158" i="31" s="1"/>
  <c r="AP162" i="31"/>
  <c r="AX162" i="31" s="1"/>
  <c r="L162" i="31"/>
  <c r="AQ162" i="31" s="1"/>
  <c r="AY162" i="31" s="1"/>
  <c r="BF11" i="31"/>
  <c r="BE15" i="31"/>
  <c r="BF23" i="31"/>
  <c r="BN27" i="31"/>
  <c r="BE27" i="31"/>
  <c r="BF27" i="31"/>
  <c r="BE30" i="31"/>
  <c r="BF91" i="31"/>
  <c r="BF129" i="31"/>
  <c r="BF133" i="31"/>
  <c r="BM137" i="31"/>
  <c r="BF144" i="31"/>
  <c r="BD157" i="31"/>
  <c r="BD161" i="31"/>
  <c r="BE165" i="31"/>
  <c r="AP33" i="31"/>
  <c r="AX33" i="31" s="1"/>
  <c r="L33" i="31"/>
  <c r="AQ33" i="31" s="1"/>
  <c r="AY33" i="31" s="1"/>
  <c r="Z46" i="31"/>
  <c r="AP66" i="31"/>
  <c r="AX66" i="31" s="1"/>
  <c r="L66" i="31"/>
  <c r="AQ66" i="31" s="1"/>
  <c r="AY66" i="31" s="1"/>
  <c r="S80" i="31"/>
  <c r="X80" i="31" s="1"/>
  <c r="AP124" i="31"/>
  <c r="AX124" i="31" s="1"/>
  <c r="L124" i="31"/>
  <c r="AQ124" i="31" s="1"/>
  <c r="AY124" i="31" s="1"/>
  <c r="L133" i="31"/>
  <c r="AP139" i="31"/>
  <c r="AX139" i="31" s="1"/>
  <c r="L139" i="31"/>
  <c r="AQ139" i="31" s="1"/>
  <c r="AY139" i="31" s="1"/>
  <c r="AP155" i="31"/>
  <c r="AX155" i="31" s="1"/>
  <c r="L155" i="31"/>
  <c r="AQ155" i="31" s="1"/>
  <c r="AY155" i="31" s="1"/>
  <c r="AP161" i="31"/>
  <c r="AX161" i="31" s="1"/>
  <c r="L161" i="31"/>
  <c r="AQ161" i="31" s="1"/>
  <c r="AY161" i="31" s="1"/>
  <c r="BF13" i="31"/>
  <c r="BE17" i="31"/>
  <c r="BN24" i="31"/>
  <c r="BE24" i="31"/>
  <c r="BF38" i="31"/>
  <c r="AZ46" i="31"/>
  <c r="AZ54" i="31"/>
  <c r="AZ58" i="31"/>
  <c r="AZ62" i="31"/>
  <c r="BN73" i="31"/>
  <c r="BN81" i="31"/>
  <c r="BF84" i="31"/>
  <c r="BE92" i="31"/>
  <c r="BE111" i="31"/>
  <c r="BE115" i="31"/>
  <c r="AZ132" i="31"/>
  <c r="AZ136" i="31"/>
  <c r="BE143" i="31"/>
  <c r="BE147" i="31"/>
  <c r="BD154" i="31"/>
  <c r="BE158" i="31"/>
  <c r="T176" i="31"/>
  <c r="L12" i="31"/>
  <c r="AQ12" i="31" s="1"/>
  <c r="AY12" i="31" s="1"/>
  <c r="AP12" i="31"/>
  <c r="AX12" i="31" s="1"/>
  <c r="AP19" i="31"/>
  <c r="AX19" i="31" s="1"/>
  <c r="L19" i="31"/>
  <c r="AQ19" i="31" s="1"/>
  <c r="AY19" i="31" s="1"/>
  <c r="AP32" i="31"/>
  <c r="AX32" i="31" s="1"/>
  <c r="L32" i="31"/>
  <c r="AQ32" i="31" s="1"/>
  <c r="AY32" i="31" s="1"/>
  <c r="S41" i="31"/>
  <c r="X41" i="31" s="1"/>
  <c r="L55" i="31"/>
  <c r="AQ55" i="31" s="1"/>
  <c r="AY55" i="31" s="1"/>
  <c r="AP55" i="31"/>
  <c r="AX55" i="31" s="1"/>
  <c r="L59" i="31"/>
  <c r="AQ59" i="31" s="1"/>
  <c r="AY59" i="31" s="1"/>
  <c r="AP59" i="31"/>
  <c r="AX59" i="31" s="1"/>
  <c r="AP70" i="31"/>
  <c r="AX70" i="31" s="1"/>
  <c r="L70" i="31"/>
  <c r="AQ70" i="31" s="1"/>
  <c r="AY70" i="31" s="1"/>
  <c r="AP74" i="31"/>
  <c r="AX74" i="31" s="1"/>
  <c r="L74" i="31"/>
  <c r="AQ74" i="31" s="1"/>
  <c r="AY74" i="31" s="1"/>
  <c r="L78" i="31"/>
  <c r="AQ78" i="31" s="1"/>
  <c r="AY78" i="31" s="1"/>
  <c r="AP78" i="31"/>
  <c r="AX78" i="31" s="1"/>
  <c r="AP87" i="31"/>
  <c r="AX87" i="31" s="1"/>
  <c r="L87" i="31"/>
  <c r="AQ87" i="31" s="1"/>
  <c r="AY87" i="31" s="1"/>
  <c r="O89" i="31"/>
  <c r="P89" i="31" s="1"/>
  <c r="AP107" i="31"/>
  <c r="AX107" i="31" s="1"/>
  <c r="L107" i="31"/>
  <c r="AQ107" i="31" s="1"/>
  <c r="AY107" i="31" s="1"/>
  <c r="S7" i="31"/>
  <c r="X7" i="31" s="1"/>
  <c r="S44" i="31"/>
  <c r="X44" i="31" s="1"/>
  <c r="S54" i="31"/>
  <c r="X54" i="31" s="1"/>
  <c r="S63" i="31"/>
  <c r="X63" i="31" s="1"/>
  <c r="S89" i="31"/>
  <c r="X89" i="31" s="1"/>
  <c r="S106" i="31"/>
  <c r="X106" i="31" s="1"/>
  <c r="S121" i="31"/>
  <c r="X121" i="31" s="1"/>
  <c r="S94" i="31"/>
  <c r="X94" i="31" s="1"/>
  <c r="S110" i="31"/>
  <c r="X110" i="31" s="1"/>
  <c r="S116" i="31"/>
  <c r="X116" i="31" s="1"/>
  <c r="S137" i="31"/>
  <c r="X137" i="31" s="1"/>
  <c r="S157" i="31"/>
  <c r="X157" i="31" s="1"/>
  <c r="S129" i="31"/>
  <c r="X129" i="31" s="1"/>
  <c r="S139" i="31"/>
  <c r="X139" i="31" s="1"/>
  <c r="S146" i="31"/>
  <c r="X146" i="31" s="1"/>
  <c r="S141" i="31"/>
  <c r="X141" i="31" s="1"/>
  <c r="S159" i="31"/>
  <c r="X159" i="31" s="1"/>
  <c r="S165" i="31"/>
  <c r="X165" i="31" s="1"/>
  <c r="BK141" i="31"/>
  <c r="BK145" i="31"/>
  <c r="BN145" i="31" s="1"/>
  <c r="BK20" i="31"/>
  <c r="BK18" i="31"/>
  <c r="BK26" i="31"/>
  <c r="BN26" i="31" s="1"/>
  <c r="BK107" i="31"/>
  <c r="BK111" i="31"/>
  <c r="BN111" i="31" s="1"/>
  <c r="BK148" i="31"/>
  <c r="BN148" i="31" s="1"/>
  <c r="BK55" i="31"/>
  <c r="BK71" i="31"/>
  <c r="BK49" i="31"/>
  <c r="O11" i="31"/>
  <c r="P11" i="31" s="1"/>
  <c r="O27" i="31"/>
  <c r="P27" i="31" s="1"/>
  <c r="S16" i="31"/>
  <c r="X16" i="31" s="1"/>
  <c r="R25" i="31"/>
  <c r="R40" i="31"/>
  <c r="S74" i="31"/>
  <c r="X74" i="31" s="1"/>
  <c r="O94" i="31"/>
  <c r="P94" i="31" s="1"/>
  <c r="O149" i="31"/>
  <c r="S151" i="31"/>
  <c r="X151" i="31" s="1"/>
  <c r="S36" i="31"/>
  <c r="X36" i="31" s="1"/>
  <c r="O48" i="31"/>
  <c r="P48" i="31" s="1"/>
  <c r="O71" i="31"/>
  <c r="P71" i="31" s="1"/>
  <c r="O21" i="31"/>
  <c r="P21" i="31" s="1"/>
  <c r="S43" i="31"/>
  <c r="X43" i="31" s="1"/>
  <c r="O82" i="31"/>
  <c r="P82" i="31" s="1"/>
  <c r="O96" i="31"/>
  <c r="P96" i="31" s="1"/>
  <c r="O108" i="31"/>
  <c r="P108" i="31" s="1"/>
  <c r="O137" i="31"/>
  <c r="P137" i="31" s="1"/>
  <c r="O156" i="31"/>
  <c r="P156" i="31" s="1"/>
  <c r="O163" i="31"/>
  <c r="P163" i="31" s="1"/>
  <c r="O131" i="31"/>
  <c r="P131" i="31" s="1"/>
  <c r="O141" i="31"/>
  <c r="P141" i="31" s="1"/>
  <c r="S72" i="31"/>
  <c r="X72" i="31" s="1"/>
  <c r="S153" i="31"/>
  <c r="X153" i="31" s="1"/>
  <c r="BM27" i="31"/>
  <c r="BD27" i="31"/>
  <c r="BF111" i="31"/>
  <c r="BE123" i="31"/>
  <c r="BE127" i="31"/>
  <c r="BD130" i="31"/>
  <c r="BD134" i="31"/>
  <c r="BD138" i="31"/>
  <c r="BD141" i="31"/>
  <c r="BD145" i="31"/>
  <c r="BM149" i="31"/>
  <c r="L5" i="31"/>
  <c r="AQ5" i="31" s="1"/>
  <c r="AP5" i="31"/>
  <c r="Z22" i="31"/>
  <c r="Z25" i="31"/>
  <c r="AP51" i="31"/>
  <c r="AX51" i="31" s="1"/>
  <c r="L51" i="31"/>
  <c r="AQ51" i="31" s="1"/>
  <c r="AY51" i="31" s="1"/>
  <c r="Z55" i="31"/>
  <c r="L111" i="31"/>
  <c r="AQ111" i="31" s="1"/>
  <c r="AY111" i="31" s="1"/>
  <c r="AP111" i="31"/>
  <c r="AX111" i="31" s="1"/>
  <c r="L120" i="31"/>
  <c r="AQ120" i="31" s="1"/>
  <c r="AY120" i="31" s="1"/>
  <c r="AP120" i="31"/>
  <c r="AX120" i="31" s="1"/>
  <c r="L127" i="31"/>
  <c r="AQ127" i="31" s="1"/>
  <c r="AY127" i="31" s="1"/>
  <c r="AP127" i="31"/>
  <c r="AX127" i="31" s="1"/>
  <c r="AP140" i="31"/>
  <c r="AX140" i="31" s="1"/>
  <c r="L140" i="31"/>
  <c r="AQ140" i="31" s="1"/>
  <c r="AY140" i="31" s="1"/>
  <c r="AP150" i="31"/>
  <c r="AX150" i="31" s="1"/>
  <c r="L150" i="31"/>
  <c r="AQ150" i="31" s="1"/>
  <c r="AY150" i="31" s="1"/>
  <c r="P153" i="31"/>
  <c r="AP159" i="31"/>
  <c r="AX159" i="31" s="1"/>
  <c r="L159" i="31"/>
  <c r="AQ159" i="31" s="1"/>
  <c r="AY159" i="31" s="1"/>
  <c r="BA176" i="31"/>
  <c r="BF19" i="31"/>
  <c r="BF31" i="31"/>
  <c r="BF35" i="31"/>
  <c r="BD48" i="31"/>
  <c r="BM48" i="31"/>
  <c r="BE66" i="31"/>
  <c r="BF66" i="31"/>
  <c r="BN66" i="31"/>
  <c r="BF85" i="31"/>
  <c r="BF89" i="31"/>
  <c r="BF95" i="31"/>
  <c r="BN95" i="31"/>
  <c r="BE95" i="31"/>
  <c r="BF102" i="31"/>
  <c r="BN110" i="31"/>
  <c r="BE110" i="31"/>
  <c r="BD151" i="31"/>
  <c r="BN155" i="31"/>
  <c r="BE155" i="31"/>
  <c r="BE159" i="31"/>
  <c r="AP21" i="31"/>
  <c r="AX21" i="31" s="1"/>
  <c r="L21" i="31"/>
  <c r="AQ21" i="31" s="1"/>
  <c r="AY21" i="31" s="1"/>
  <c r="S47" i="31"/>
  <c r="X47" i="31" s="1"/>
  <c r="AP54" i="31"/>
  <c r="AX54" i="31" s="1"/>
  <c r="L54" i="31"/>
  <c r="AQ54" i="31" s="1"/>
  <c r="AY54" i="31" s="1"/>
  <c r="AP62" i="31"/>
  <c r="AX62" i="31" s="1"/>
  <c r="L62" i="31"/>
  <c r="AQ62" i="31" s="1"/>
  <c r="AY62" i="31" s="1"/>
  <c r="AP67" i="31"/>
  <c r="AX67" i="31" s="1"/>
  <c r="L67" i="31"/>
  <c r="AQ67" i="31" s="1"/>
  <c r="AY67" i="31" s="1"/>
  <c r="AP73" i="31"/>
  <c r="AX73" i="31" s="1"/>
  <c r="L73" i="31"/>
  <c r="AQ73" i="31" s="1"/>
  <c r="AY73" i="31" s="1"/>
  <c r="AP75" i="31"/>
  <c r="AX75" i="31" s="1"/>
  <c r="L75" i="31"/>
  <c r="AQ75" i="31" s="1"/>
  <c r="AY75" i="31" s="1"/>
  <c r="L79" i="31"/>
  <c r="AQ79" i="31" s="1"/>
  <c r="AY79" i="31" s="1"/>
  <c r="AP79" i="31"/>
  <c r="AX79" i="31" s="1"/>
  <c r="L93" i="31"/>
  <c r="AQ93" i="31" s="1"/>
  <c r="AY93" i="31" s="1"/>
  <c r="AP93" i="31"/>
  <c r="AX93" i="31" s="1"/>
  <c r="L95" i="31"/>
  <c r="AQ95" i="31" s="1"/>
  <c r="AY95" i="31" s="1"/>
  <c r="AP95" i="31"/>
  <c r="AX95" i="31" s="1"/>
  <c r="BN8" i="31"/>
  <c r="BE8" i="31"/>
  <c r="BF45" i="31"/>
  <c r="BE84" i="31"/>
  <c r="BN88" i="31"/>
  <c r="BF114" i="31"/>
  <c r="BE118" i="31"/>
  <c r="BE122" i="31"/>
  <c r="BE126" i="31"/>
  <c r="AU5" i="31"/>
  <c r="AM176" i="31"/>
  <c r="AU176" i="31" s="1"/>
  <c r="AP6" i="31"/>
  <c r="AX6" i="31" s="1"/>
  <c r="L6" i="31"/>
  <c r="AQ6" i="31" s="1"/>
  <c r="AY6" i="31" s="1"/>
  <c r="L15" i="31"/>
  <c r="AQ15" i="31" s="1"/>
  <c r="AY15" i="31" s="1"/>
  <c r="AP15" i="31"/>
  <c r="AX15" i="31" s="1"/>
  <c r="L20" i="31"/>
  <c r="AQ20" i="31" s="1"/>
  <c r="AY20" i="31" s="1"/>
  <c r="AP20" i="31"/>
  <c r="AX20" i="31" s="1"/>
  <c r="AP25" i="31"/>
  <c r="AX25" i="31" s="1"/>
  <c r="L25" i="31"/>
  <c r="AQ25" i="31" s="1"/>
  <c r="AY25" i="31" s="1"/>
  <c r="Z28" i="31"/>
  <c r="Z39" i="31"/>
  <c r="L52" i="31"/>
  <c r="AQ52" i="31" s="1"/>
  <c r="AY52" i="31" s="1"/>
  <c r="AP52" i="31"/>
  <c r="AX52" i="31" s="1"/>
  <c r="AP81" i="31"/>
  <c r="AX81" i="31" s="1"/>
  <c r="L81" i="31"/>
  <c r="AQ81" i="31" s="1"/>
  <c r="AY81" i="31" s="1"/>
  <c r="S90" i="31"/>
  <c r="X90" i="31" s="1"/>
  <c r="Z93" i="31"/>
  <c r="L98" i="31"/>
  <c r="AQ98" i="31" s="1"/>
  <c r="AY98" i="31" s="1"/>
  <c r="AP98" i="31"/>
  <c r="AX98" i="31" s="1"/>
  <c r="AP101" i="31"/>
  <c r="AX101" i="31" s="1"/>
  <c r="L101" i="31"/>
  <c r="AQ101" i="31" s="1"/>
  <c r="AY101" i="31" s="1"/>
  <c r="AP105" i="31"/>
  <c r="AX105" i="31" s="1"/>
  <c r="L105" i="31"/>
  <c r="AQ105" i="31" s="1"/>
  <c r="AY105" i="31" s="1"/>
  <c r="AP110" i="31"/>
  <c r="AX110" i="31" s="1"/>
  <c r="L110" i="31"/>
  <c r="AQ110" i="31" s="1"/>
  <c r="AY110" i="31" s="1"/>
  <c r="AP112" i="31"/>
  <c r="AX112" i="31" s="1"/>
  <c r="L112" i="31"/>
  <c r="AQ112" i="31" s="1"/>
  <c r="AY112" i="31" s="1"/>
  <c r="AP117" i="31"/>
  <c r="AX117" i="31" s="1"/>
  <c r="L117" i="31"/>
  <c r="AQ117" i="31" s="1"/>
  <c r="AY117" i="31" s="1"/>
  <c r="L130" i="31"/>
  <c r="AQ130" i="31" s="1"/>
  <c r="AY130" i="31" s="1"/>
  <c r="AP130" i="31"/>
  <c r="AX130" i="31" s="1"/>
  <c r="AP137" i="31"/>
  <c r="AX137" i="31" s="1"/>
  <c r="L137" i="31"/>
  <c r="AQ137" i="31" s="1"/>
  <c r="AY137" i="31" s="1"/>
  <c r="AP148" i="31"/>
  <c r="AX148" i="31" s="1"/>
  <c r="L148" i="31"/>
  <c r="AQ148" i="31" s="1"/>
  <c r="AY148" i="31" s="1"/>
  <c r="AP153" i="31"/>
  <c r="AX153" i="31" s="1"/>
  <c r="L153" i="31"/>
  <c r="AQ153" i="31" s="1"/>
  <c r="AY153" i="31" s="1"/>
  <c r="AZ12" i="31"/>
  <c r="AZ22" i="31"/>
  <c r="AZ41" i="31"/>
  <c r="BE46" i="31"/>
  <c r="BN46" i="31"/>
  <c r="BN54" i="31"/>
  <c r="AZ71" i="31"/>
  <c r="AZ75" i="31"/>
  <c r="AZ79" i="31"/>
  <c r="AZ94" i="31"/>
  <c r="AZ109" i="31"/>
  <c r="AZ113" i="31"/>
  <c r="BF124" i="31"/>
  <c r="BF128" i="31"/>
  <c r="BE132" i="31"/>
  <c r="AZ141" i="31"/>
  <c r="AZ145" i="31"/>
  <c r="AZ149" i="31"/>
  <c r="AZ156" i="31"/>
  <c r="AZ160" i="31"/>
  <c r="BF163" i="31"/>
  <c r="AV5" i="31"/>
  <c r="AN176" i="31"/>
  <c r="AV176" i="31" s="1"/>
  <c r="P6" i="31"/>
  <c r="L29" i="31"/>
  <c r="AQ29" i="31" s="1"/>
  <c r="AY29" i="31" s="1"/>
  <c r="AP29" i="31"/>
  <c r="AX29" i="31" s="1"/>
  <c r="L43" i="31"/>
  <c r="AQ43" i="31" s="1"/>
  <c r="AY43" i="31" s="1"/>
  <c r="AP43" i="31"/>
  <c r="AX43" i="31" s="1"/>
  <c r="L47" i="31"/>
  <c r="AQ47" i="31" s="1"/>
  <c r="AY47" i="31" s="1"/>
  <c r="AP47" i="31"/>
  <c r="AX47" i="31" s="1"/>
  <c r="L63" i="31"/>
  <c r="AQ63" i="31" s="1"/>
  <c r="AY63" i="31" s="1"/>
  <c r="AP63" i="31"/>
  <c r="AX63" i="31" s="1"/>
  <c r="L85" i="31"/>
  <c r="AQ85" i="31" s="1"/>
  <c r="AY85" i="31" s="1"/>
  <c r="AP85" i="31"/>
  <c r="AX85" i="31" s="1"/>
  <c r="L94" i="31"/>
  <c r="AQ94" i="31" s="1"/>
  <c r="AY94" i="31" s="1"/>
  <c r="AP94" i="31"/>
  <c r="AX94" i="31" s="1"/>
  <c r="L128" i="31"/>
  <c r="AQ128" i="31" s="1"/>
  <c r="AY128" i="31" s="1"/>
  <c r="AP128" i="31"/>
  <c r="AX128" i="31" s="1"/>
  <c r="K132" i="31"/>
  <c r="AP165" i="31"/>
  <c r="AX165" i="31" s="1"/>
  <c r="L165" i="31"/>
  <c r="AQ165" i="31" s="1"/>
  <c r="AY165" i="31" s="1"/>
  <c r="S158" i="31"/>
  <c r="X158" i="31" s="1"/>
  <c r="BK16" i="31"/>
  <c r="BN16" i="31" s="1"/>
  <c r="BK67" i="31"/>
  <c r="BN67" i="31" s="1"/>
  <c r="BK105" i="31"/>
  <c r="BN105" i="31" s="1"/>
  <c r="BK121" i="31"/>
  <c r="BN121" i="31" s="1"/>
  <c r="BK144" i="31"/>
  <c r="BK126" i="31"/>
  <c r="BN126" i="31" s="1"/>
  <c r="BK160" i="31"/>
  <c r="BN160" i="31" s="1"/>
  <c r="S62" i="31"/>
  <c r="S78" i="31"/>
  <c r="S76" i="31"/>
  <c r="X76" i="31" s="1"/>
  <c r="O159" i="31"/>
  <c r="P159" i="31" s="1"/>
  <c r="S103" i="31"/>
  <c r="X103" i="31" s="1"/>
  <c r="S140" i="31"/>
  <c r="X140" i="31" s="1"/>
  <c r="S134" i="31"/>
  <c r="X134" i="31" s="1"/>
  <c r="S92" i="31"/>
  <c r="X92" i="31" s="1"/>
  <c r="O146" i="31"/>
  <c r="S53" i="31"/>
  <c r="X53" i="31" s="1"/>
  <c r="S82" i="31"/>
  <c r="X82" i="31" s="1"/>
  <c r="BE7" i="31"/>
  <c r="BE11" i="31"/>
  <c r="BE14" i="31"/>
  <c r="BF24" i="31"/>
  <c r="BE31" i="31"/>
  <c r="BE35" i="31"/>
  <c r="BE43" i="31"/>
  <c r="BF46" i="31"/>
  <c r="BN53" i="31"/>
  <c r="BN68" i="31"/>
  <c r="BE87" i="31"/>
  <c r="BE91" i="31"/>
  <c r="BN102" i="31"/>
  <c r="BE102" i="31"/>
  <c r="BE128" i="31"/>
  <c r="BF158" i="31"/>
  <c r="BD162" i="31"/>
  <c r="AS5" i="31"/>
  <c r="AP9" i="31"/>
  <c r="AX9" i="31" s="1"/>
  <c r="L9" i="31"/>
  <c r="AQ9" i="31" s="1"/>
  <c r="AY9" i="31" s="1"/>
  <c r="P14" i="31"/>
  <c r="L31" i="31"/>
  <c r="AQ31" i="31" s="1"/>
  <c r="AY31" i="31" s="1"/>
  <c r="AP31" i="31"/>
  <c r="AX31" i="31" s="1"/>
  <c r="L36" i="31"/>
  <c r="AQ36" i="31" s="1"/>
  <c r="AY36" i="31" s="1"/>
  <c r="AP49" i="31"/>
  <c r="AX49" i="31" s="1"/>
  <c r="L49" i="31"/>
  <c r="AQ49" i="31" s="1"/>
  <c r="AY49" i="31" s="1"/>
  <c r="AP69" i="31"/>
  <c r="AX69" i="31" s="1"/>
  <c r="L69" i="31"/>
  <c r="AQ69" i="31" s="1"/>
  <c r="AY69" i="31" s="1"/>
  <c r="AP80" i="31"/>
  <c r="AX80" i="31" s="1"/>
  <c r="L80" i="31"/>
  <c r="AQ80" i="31" s="1"/>
  <c r="AY80" i="31" s="1"/>
  <c r="AP104" i="31"/>
  <c r="AX104" i="31" s="1"/>
  <c r="L104" i="31"/>
  <c r="AQ104" i="31" s="1"/>
  <c r="AY104" i="31" s="1"/>
  <c r="AP121" i="31"/>
  <c r="AX121" i="31" s="1"/>
  <c r="L121" i="31"/>
  <c r="AQ121" i="31" s="1"/>
  <c r="AY121" i="31" s="1"/>
  <c r="AP125" i="31"/>
  <c r="AX125" i="31" s="1"/>
  <c r="L125" i="31"/>
  <c r="AQ125" i="31" s="1"/>
  <c r="AY125" i="31" s="1"/>
  <c r="P132" i="31"/>
  <c r="L134" i="31"/>
  <c r="AQ134" i="31" s="1"/>
  <c r="AY134" i="31" s="1"/>
  <c r="AP134" i="31"/>
  <c r="AX134" i="31" s="1"/>
  <c r="L143" i="31"/>
  <c r="AP147" i="31"/>
  <c r="AX147" i="31" s="1"/>
  <c r="L147" i="31"/>
  <c r="AQ147" i="31" s="1"/>
  <c r="AY147" i="31" s="1"/>
  <c r="BF9" i="31"/>
  <c r="BF16" i="31"/>
  <c r="BE45" i="31"/>
  <c r="BE59" i="31"/>
  <c r="BF123" i="31"/>
  <c r="BE131" i="31"/>
  <c r="BE135" i="31"/>
  <c r="M176" i="31"/>
  <c r="Z9" i="31"/>
  <c r="Z14" i="31"/>
  <c r="O36" i="31"/>
  <c r="P36" i="31" s="1"/>
  <c r="L42" i="31"/>
  <c r="AQ42" i="31" s="1"/>
  <c r="AY42" i="31" s="1"/>
  <c r="AP42" i="31"/>
  <c r="AX42" i="31" s="1"/>
  <c r="AP46" i="31"/>
  <c r="AX46" i="31" s="1"/>
  <c r="L46" i="31"/>
  <c r="AQ46" i="31" s="1"/>
  <c r="AY46" i="31" s="1"/>
  <c r="L48" i="31"/>
  <c r="AQ48" i="31" s="1"/>
  <c r="AY48" i="31" s="1"/>
  <c r="AP48" i="31"/>
  <c r="AX48" i="31" s="1"/>
  <c r="AP53" i="31"/>
  <c r="AX53" i="31" s="1"/>
  <c r="L53" i="31"/>
  <c r="AQ53" i="31" s="1"/>
  <c r="AY53" i="31" s="1"/>
  <c r="S57" i="31"/>
  <c r="X57" i="31" s="1"/>
  <c r="S69" i="31"/>
  <c r="X69" i="31" s="1"/>
  <c r="L88" i="31"/>
  <c r="AQ88" i="31" s="1"/>
  <c r="AY88" i="31" s="1"/>
  <c r="AP88" i="31"/>
  <c r="AX88" i="31" s="1"/>
  <c r="Z150" i="31"/>
  <c r="AP160" i="31"/>
  <c r="AX160" i="31" s="1"/>
  <c r="L160" i="31"/>
  <c r="AQ160" i="31" s="1"/>
  <c r="AY160" i="31" s="1"/>
  <c r="BE13" i="31"/>
  <c r="BF21" i="31"/>
  <c r="BN25" i="31"/>
  <c r="BE25" i="31"/>
  <c r="BE32" i="31"/>
  <c r="BE36" i="31"/>
  <c r="BN36" i="31"/>
  <c r="AZ78" i="31"/>
  <c r="BE99" i="31"/>
  <c r="BE103" i="31"/>
  <c r="BF103" i="31"/>
  <c r="BN103" i="31"/>
  <c r="BF135" i="31"/>
  <c r="BD142" i="31"/>
  <c r="BD146" i="31"/>
  <c r="BF159" i="31"/>
  <c r="BE163" i="31"/>
  <c r="L8" i="31"/>
  <c r="AQ8" i="31" s="1"/>
  <c r="AY8" i="31" s="1"/>
  <c r="AP8" i="31"/>
  <c r="AX8" i="31" s="1"/>
  <c r="L28" i="31"/>
  <c r="AQ28" i="31" s="1"/>
  <c r="AY28" i="31" s="1"/>
  <c r="AP28" i="31"/>
  <c r="AX28" i="31" s="1"/>
  <c r="S34" i="31"/>
  <c r="X34" i="31" s="1"/>
  <c r="L41" i="31"/>
  <c r="AQ41" i="31" s="1"/>
  <c r="AY41" i="31" s="1"/>
  <c r="AP41" i="31"/>
  <c r="AX41" i="31" s="1"/>
  <c r="AP92" i="31"/>
  <c r="AX92" i="31" s="1"/>
  <c r="L92" i="31"/>
  <c r="AQ92" i="31" s="1"/>
  <c r="AY92" i="31" s="1"/>
  <c r="P95" i="31"/>
  <c r="L122" i="31"/>
  <c r="AQ122" i="31" s="1"/>
  <c r="AY122" i="31" s="1"/>
  <c r="AP122" i="31"/>
  <c r="AX122" i="31" s="1"/>
  <c r="AP126" i="31"/>
  <c r="AX126" i="31" s="1"/>
  <c r="L126" i="31"/>
  <c r="AQ126" i="31" s="1"/>
  <c r="AY126" i="31" s="1"/>
  <c r="AP135" i="31"/>
  <c r="AX135" i="31" s="1"/>
  <c r="L135" i="31"/>
  <c r="AQ135" i="31" s="1"/>
  <c r="AY135" i="31" s="1"/>
  <c r="AP142" i="31"/>
  <c r="AX142" i="31" s="1"/>
  <c r="L142" i="31"/>
  <c r="AQ142" i="31" s="1"/>
  <c r="AY142" i="31" s="1"/>
  <c r="AP144" i="31"/>
  <c r="AX144" i="31" s="1"/>
  <c r="L144" i="31"/>
  <c r="AQ144" i="31" s="1"/>
  <c r="AY144" i="31" s="1"/>
  <c r="S164" i="31"/>
  <c r="X164" i="31" s="1"/>
  <c r="BF8" i="31"/>
  <c r="BF12" i="31"/>
  <c r="BE12" i="31"/>
  <c r="BE19" i="31"/>
  <c r="BN19" i="31"/>
  <c r="BE22" i="31"/>
  <c r="BF25" i="31"/>
  <c r="BF32" i="31"/>
  <c r="BF36" i="31"/>
  <c r="AZ51" i="31"/>
  <c r="AZ56" i="31"/>
  <c r="AZ60" i="31"/>
  <c r="AZ64" i="31"/>
  <c r="BF67" i="31"/>
  <c r="BN83" i="31"/>
  <c r="BE83" i="31"/>
  <c r="BN94" i="31"/>
  <c r="BD101" i="31"/>
  <c r="BM101" i="31"/>
  <c r="BE109" i="31"/>
  <c r="BE113" i="31"/>
  <c r="AZ130" i="31"/>
  <c r="AZ134" i="31"/>
  <c r="AZ138" i="31"/>
  <c r="BE145" i="31"/>
  <c r="BE149" i="31"/>
  <c r="BF152" i="31"/>
  <c r="BF160" i="31"/>
  <c r="BE160" i="31"/>
  <c r="L14" i="31"/>
  <c r="AQ14" i="31" s="1"/>
  <c r="AY14" i="31" s="1"/>
  <c r="AP14" i="31"/>
  <c r="AX14" i="31" s="1"/>
  <c r="L22" i="31"/>
  <c r="AQ22" i="31" s="1"/>
  <c r="AY22" i="31" s="1"/>
  <c r="AP22" i="31"/>
  <c r="AX22" i="31" s="1"/>
  <c r="Y24" i="31"/>
  <c r="Y176" i="31" s="1"/>
  <c r="L57" i="31"/>
  <c r="AQ57" i="31" s="1"/>
  <c r="AY57" i="31" s="1"/>
  <c r="AP57" i="31"/>
  <c r="AX57" i="31" s="1"/>
  <c r="AP61" i="31"/>
  <c r="AX61" i="31" s="1"/>
  <c r="L61" i="31"/>
  <c r="AQ61" i="31" s="1"/>
  <c r="AY61" i="31" s="1"/>
  <c r="L72" i="31"/>
  <c r="AQ72" i="31" s="1"/>
  <c r="AY72" i="31" s="1"/>
  <c r="AP72" i="31"/>
  <c r="AX72" i="31" s="1"/>
  <c r="AP89" i="31"/>
  <c r="AX89" i="31" s="1"/>
  <c r="L89" i="31"/>
  <c r="AQ89" i="31" s="1"/>
  <c r="AY89" i="31" s="1"/>
  <c r="L100" i="31"/>
  <c r="AQ100" i="31" s="1"/>
  <c r="AY100" i="31" s="1"/>
  <c r="AP100" i="31"/>
  <c r="AX100" i="31" s="1"/>
  <c r="O102" i="31"/>
  <c r="P102" i="31" s="1"/>
  <c r="O104" i="31"/>
  <c r="P104" i="31" s="1"/>
  <c r="Z115" i="31"/>
  <c r="Z142" i="31"/>
  <c r="AP157" i="31"/>
  <c r="AX157" i="31" s="1"/>
  <c r="L157" i="31"/>
  <c r="AQ157" i="31" s="1"/>
  <c r="AY157" i="31" s="1"/>
  <c r="S21" i="31"/>
  <c r="X21" i="31" s="1"/>
  <c r="S15" i="31"/>
  <c r="X15" i="31" s="1"/>
  <c r="S52" i="31"/>
  <c r="X52" i="31" s="1"/>
  <c r="S65" i="31"/>
  <c r="X65" i="31" s="1"/>
  <c r="S61" i="31"/>
  <c r="X61" i="31" s="1"/>
  <c r="S59" i="31"/>
  <c r="X59" i="31" s="1"/>
  <c r="S87" i="31"/>
  <c r="X87" i="31" s="1"/>
  <c r="S81" i="31"/>
  <c r="X81" i="31" s="1"/>
  <c r="S97" i="31"/>
  <c r="X97" i="31" s="1"/>
  <c r="S155" i="31"/>
  <c r="X155" i="31" s="1"/>
  <c r="BK133" i="31"/>
  <c r="BN133" i="31" s="1"/>
  <c r="S38" i="31"/>
  <c r="X38" i="31" s="1"/>
  <c r="S26" i="31"/>
  <c r="X26" i="31" s="1"/>
  <c r="S48" i="31"/>
  <c r="X48" i="31" s="1"/>
  <c r="S50" i="31"/>
  <c r="X50" i="31" s="1"/>
  <c r="S58" i="31"/>
  <c r="X58" i="31" s="1"/>
  <c r="S79" i="31"/>
  <c r="X79" i="31" s="1"/>
  <c r="S96" i="31"/>
  <c r="X96" i="31" s="1"/>
  <c r="S100" i="31"/>
  <c r="X100" i="31" s="1"/>
  <c r="S120" i="31"/>
  <c r="X120" i="31" s="1"/>
  <c r="S125" i="31"/>
  <c r="X125" i="31" s="1"/>
  <c r="S104" i="31"/>
  <c r="X104" i="31" s="1"/>
  <c r="S131" i="31"/>
  <c r="X131" i="31" s="1"/>
  <c r="S161" i="31"/>
  <c r="X161" i="31" s="1"/>
  <c r="BK157" i="31"/>
  <c r="BN157" i="31" s="1"/>
  <c r="BQ147" i="31"/>
  <c r="CJ147" i="31"/>
  <c r="BK161" i="31"/>
  <c r="BK165" i="31"/>
  <c r="BN165" i="31" s="1"/>
  <c r="BK151" i="31"/>
  <c r="BK159" i="31"/>
  <c r="BN159" i="31" s="1"/>
  <c r="BK61" i="31"/>
  <c r="BK14" i="31"/>
  <c r="BN14" i="31" s="1"/>
  <c r="BK132" i="31"/>
  <c r="BN132" i="31" s="1"/>
  <c r="BK119" i="31"/>
  <c r="BK152" i="31"/>
  <c r="BN152" i="31" s="1"/>
  <c r="BK63" i="31"/>
  <c r="S32" i="31"/>
  <c r="X32" i="31" s="1"/>
  <c r="O56" i="31"/>
  <c r="P56" i="31" s="1"/>
  <c r="BK28" i="31"/>
  <c r="S93" i="31"/>
  <c r="X93" i="31" s="1"/>
  <c r="O66" i="31"/>
  <c r="P66" i="31" s="1"/>
  <c r="O98" i="31"/>
  <c r="P98" i="31" s="1"/>
  <c r="S105" i="31"/>
  <c r="X105" i="31" s="1"/>
  <c r="S95" i="31"/>
  <c r="X95" i="31" s="1"/>
  <c r="O103" i="31"/>
  <c r="P103" i="31" s="1"/>
  <c r="S114" i="31"/>
  <c r="X114" i="31" s="1"/>
  <c r="S66" i="31"/>
  <c r="X66" i="31" s="1"/>
  <c r="S101" i="31"/>
  <c r="X101" i="31" s="1"/>
  <c r="O127" i="31"/>
  <c r="P127" i="31" s="1"/>
  <c r="O134" i="31"/>
  <c r="P134" i="31" s="1"/>
  <c r="S136" i="31"/>
  <c r="X136" i="31" s="1"/>
  <c r="S145" i="31"/>
  <c r="X145" i="31" s="1"/>
  <c r="O138" i="31"/>
  <c r="P138" i="31" s="1"/>
  <c r="S109" i="31"/>
  <c r="X109" i="31" s="1"/>
  <c r="O125" i="31"/>
  <c r="S149" i="31"/>
  <c r="X149" i="31" s="1"/>
  <c r="S27" i="31"/>
  <c r="X27" i="31" s="1"/>
  <c r="O34" i="31"/>
  <c r="P34" i="31" s="1"/>
  <c r="S55" i="31"/>
  <c r="X55" i="31" s="1"/>
  <c r="S51" i="31"/>
  <c r="X51" i="31" s="1"/>
  <c r="O63" i="31"/>
  <c r="P63" i="31" s="1"/>
  <c r="O75" i="31"/>
  <c r="P75" i="31" s="1"/>
  <c r="O140" i="31"/>
  <c r="P140" i="31" s="1"/>
  <c r="O147" i="31"/>
  <c r="P147" i="31" s="1"/>
  <c r="O15" i="31"/>
  <c r="P15" i="31" s="1"/>
  <c r="O33" i="31"/>
  <c r="P33" i="31" s="1"/>
  <c r="S88" i="31"/>
  <c r="X88" i="31" s="1"/>
  <c r="S126" i="31"/>
  <c r="X126" i="31" s="1"/>
  <c r="BB176" i="31"/>
  <c r="AZ5" i="31"/>
  <c r="AZ26" i="31"/>
  <c r="AZ29" i="31"/>
  <c r="AZ33" i="31"/>
  <c r="AZ37" i="31"/>
  <c r="BD44" i="31"/>
  <c r="BM44" i="31"/>
  <c r="AZ96" i="31"/>
  <c r="AZ100" i="31"/>
  <c r="AZ104" i="31"/>
  <c r="BF109" i="31"/>
  <c r="BE121" i="31"/>
  <c r="BF121" i="31"/>
  <c r="BE125" i="31"/>
  <c r="BF132" i="31"/>
  <c r="BM143" i="31"/>
  <c r="BF147" i="31"/>
  <c r="BE151" i="31"/>
  <c r="L84" i="31"/>
  <c r="AQ84" i="31" s="1"/>
  <c r="AY84" i="31" s="1"/>
  <c r="AP84" i="31"/>
  <c r="AX84" i="31" s="1"/>
  <c r="AP91" i="31"/>
  <c r="AX91" i="31" s="1"/>
  <c r="L91" i="31"/>
  <c r="AQ91" i="31" s="1"/>
  <c r="AY91" i="31" s="1"/>
  <c r="AP99" i="31"/>
  <c r="AX99" i="31" s="1"/>
  <c r="L99" i="31"/>
  <c r="AQ99" i="31" s="1"/>
  <c r="AY99" i="31" s="1"/>
  <c r="L109" i="31"/>
  <c r="AQ109" i="31" s="1"/>
  <c r="AY109" i="31" s="1"/>
  <c r="AP109" i="31"/>
  <c r="AX109" i="31" s="1"/>
  <c r="AP113" i="31"/>
  <c r="AX113" i="31" s="1"/>
  <c r="L113" i="31"/>
  <c r="AQ113" i="31" s="1"/>
  <c r="AY113" i="31" s="1"/>
  <c r="S130" i="31"/>
  <c r="X130" i="31" s="1"/>
  <c r="L138" i="31"/>
  <c r="AQ138" i="31" s="1"/>
  <c r="AY138" i="31" s="1"/>
  <c r="AP138" i="31"/>
  <c r="AX138" i="31" s="1"/>
  <c r="AP141" i="31"/>
  <c r="AX141" i="31" s="1"/>
  <c r="L141" i="31"/>
  <c r="AQ141" i="31" s="1"/>
  <c r="AY141" i="31" s="1"/>
  <c r="AP152" i="31"/>
  <c r="AX152" i="31" s="1"/>
  <c r="L152" i="31"/>
  <c r="AQ152" i="31" s="1"/>
  <c r="AY152" i="31" s="1"/>
  <c r="AP154" i="31"/>
  <c r="AX154" i="31" s="1"/>
  <c r="L154" i="31"/>
  <c r="AQ154" i="31" s="1"/>
  <c r="AY154" i="31" s="1"/>
  <c r="AP156" i="31"/>
  <c r="AX156" i="31" s="1"/>
  <c r="L156" i="31"/>
  <c r="AQ156" i="31" s="1"/>
  <c r="AY156" i="31" s="1"/>
  <c r="AP163" i="31"/>
  <c r="AX163" i="31" s="1"/>
  <c r="L163" i="31"/>
  <c r="AQ163" i="31" s="1"/>
  <c r="AY163" i="31" s="1"/>
  <c r="BE21" i="31"/>
  <c r="BN21" i="31"/>
  <c r="BE108" i="31"/>
  <c r="BN112" i="31"/>
  <c r="BE112" i="31"/>
  <c r="BE116" i="31"/>
  <c r="BE142" i="31"/>
  <c r="BE150" i="31"/>
  <c r="BF150" i="31"/>
  <c r="BM153" i="31"/>
  <c r="AT5" i="31"/>
  <c r="AL176" i="31"/>
  <c r="AT176" i="31" s="1"/>
  <c r="U176" i="31"/>
  <c r="L18" i="31"/>
  <c r="AQ18" i="31" s="1"/>
  <c r="AY18" i="31" s="1"/>
  <c r="AP18" i="31"/>
  <c r="AX18" i="31" s="1"/>
  <c r="L23" i="31"/>
  <c r="AQ23" i="31" s="1"/>
  <c r="AY23" i="31" s="1"/>
  <c r="AP23" i="31"/>
  <c r="AX23" i="31" s="1"/>
  <c r="L26" i="31"/>
  <c r="AQ26" i="31" s="1"/>
  <c r="AY26" i="31" s="1"/>
  <c r="AP26" i="31"/>
  <c r="AX26" i="31" s="1"/>
  <c r="AP39" i="31"/>
  <c r="AX39" i="31" s="1"/>
  <c r="L39" i="31"/>
  <c r="AQ39" i="31" s="1"/>
  <c r="AY39" i="31" s="1"/>
  <c r="AP56" i="31"/>
  <c r="AX56" i="31" s="1"/>
  <c r="L56" i="31"/>
  <c r="AQ56" i="31" s="1"/>
  <c r="AY56" i="31" s="1"/>
  <c r="L58" i="31"/>
  <c r="AQ58" i="31" s="1"/>
  <c r="AY58" i="31" s="1"/>
  <c r="AP58" i="31"/>
  <c r="AX58" i="31" s="1"/>
  <c r="L64" i="31"/>
  <c r="AQ64" i="31" s="1"/>
  <c r="AY64" i="31" s="1"/>
  <c r="AP64" i="31"/>
  <c r="AX64" i="31" s="1"/>
  <c r="AP71" i="31"/>
  <c r="AX71" i="31" s="1"/>
  <c r="L71" i="31"/>
  <c r="AQ71" i="31" s="1"/>
  <c r="AY71" i="31" s="1"/>
  <c r="L77" i="31"/>
  <c r="AQ77" i="31" s="1"/>
  <c r="AY77" i="31" s="1"/>
  <c r="AP77" i="31"/>
  <c r="AX77" i="31" s="1"/>
  <c r="S84" i="31"/>
  <c r="X84" i="31" s="1"/>
  <c r="O107" i="31"/>
  <c r="P107" i="31" s="1"/>
  <c r="AP149" i="31"/>
  <c r="AX149" i="31" s="1"/>
  <c r="L149" i="31"/>
  <c r="AQ149" i="31" s="1"/>
  <c r="AY149" i="31" s="1"/>
  <c r="AP164" i="31"/>
  <c r="AX164" i="31" s="1"/>
  <c r="L164" i="31"/>
  <c r="AQ164" i="31" s="1"/>
  <c r="AY164" i="31" s="1"/>
  <c r="BE6" i="31"/>
  <c r="BF6" i="31"/>
  <c r="BE44" i="31"/>
  <c r="BF44" i="31"/>
  <c r="BN44" i="31"/>
  <c r="BE67" i="31"/>
  <c r="BF116" i="31"/>
  <c r="BF120" i="31"/>
  <c r="BN120" i="31"/>
  <c r="BE120" i="31"/>
  <c r="BE124" i="31"/>
  <c r="BN124" i="31"/>
  <c r="BD129" i="31"/>
  <c r="BD140" i="31"/>
  <c r="BE152" i="31"/>
  <c r="AP17" i="31"/>
  <c r="AX17" i="31" s="1"/>
  <c r="L17" i="31"/>
  <c r="AQ17" i="31" s="1"/>
  <c r="AY17" i="31" s="1"/>
  <c r="L35" i="31"/>
  <c r="AQ35" i="31" s="1"/>
  <c r="AY35" i="31" s="1"/>
  <c r="AP35" i="31"/>
  <c r="AX35" i="31" s="1"/>
  <c r="AP50" i="31"/>
  <c r="AX50" i="31" s="1"/>
  <c r="L50" i="31"/>
  <c r="AQ50" i="31" s="1"/>
  <c r="AY50" i="31" s="1"/>
  <c r="AP83" i="31"/>
  <c r="AX83" i="31" s="1"/>
  <c r="L83" i="31"/>
  <c r="AQ83" i="31" s="1"/>
  <c r="AY83" i="31" s="1"/>
  <c r="AP103" i="31"/>
  <c r="AX103" i="31" s="1"/>
  <c r="L103" i="31"/>
  <c r="AQ103" i="31" s="1"/>
  <c r="AY103" i="31" s="1"/>
  <c r="AP108" i="31"/>
  <c r="AX108" i="31" s="1"/>
  <c r="L108" i="31"/>
  <c r="AQ108" i="31" s="1"/>
  <c r="AY108" i="31" s="1"/>
  <c r="AP115" i="31"/>
  <c r="AX115" i="31" s="1"/>
  <c r="L115" i="31"/>
  <c r="AQ115" i="31" s="1"/>
  <c r="AY115" i="31" s="1"/>
  <c r="AP119" i="31"/>
  <c r="AX119" i="31" s="1"/>
  <c r="L119" i="31"/>
  <c r="AQ119" i="31" s="1"/>
  <c r="AY119" i="31" s="1"/>
  <c r="L146" i="31"/>
  <c r="AQ146" i="31" s="1"/>
  <c r="AY146" i="31" s="1"/>
  <c r="AP146" i="31"/>
  <c r="AX146" i="31" s="1"/>
  <c r="AP151" i="31"/>
  <c r="AX151" i="31" s="1"/>
  <c r="L151" i="31"/>
  <c r="AQ151" i="31" s="1"/>
  <c r="AY151" i="31" s="1"/>
  <c r="AZ17" i="31"/>
  <c r="AZ24" i="31"/>
  <c r="BE51" i="31"/>
  <c r="BF51" i="31"/>
  <c r="BN60" i="31"/>
  <c r="BN64" i="31"/>
  <c r="AZ73" i="31"/>
  <c r="AZ77" i="31"/>
  <c r="AZ81" i="31"/>
  <c r="AZ92" i="31"/>
  <c r="BD95" i="31"/>
  <c r="BM95" i="31"/>
  <c r="AZ107" i="31"/>
  <c r="AZ111" i="31"/>
  <c r="AZ115" i="31"/>
  <c r="BE134" i="31"/>
  <c r="AZ143" i="31"/>
  <c r="AZ147" i="31"/>
  <c r="AZ158" i="31"/>
  <c r="AZ162" i="31"/>
  <c r="BF165" i="31"/>
  <c r="L27" i="31"/>
  <c r="AQ27" i="31" s="1"/>
  <c r="AY27" i="31" s="1"/>
  <c r="AP27" i="31"/>
  <c r="AX27" i="31" s="1"/>
  <c r="L38" i="31"/>
  <c r="AQ38" i="31" s="1"/>
  <c r="AY38" i="31" s="1"/>
  <c r="AP38" i="31"/>
  <c r="AX38" i="31" s="1"/>
  <c r="AP40" i="31"/>
  <c r="AX40" i="31" s="1"/>
  <c r="L40" i="31"/>
  <c r="AQ40" i="31" s="1"/>
  <c r="AY40" i="31" s="1"/>
  <c r="L45" i="31"/>
  <c r="AQ45" i="31" s="1"/>
  <c r="AY45" i="31" s="1"/>
  <c r="AP45" i="31"/>
  <c r="AX45" i="31" s="1"/>
  <c r="Z53" i="31"/>
  <c r="AP76" i="31"/>
  <c r="AX76" i="31" s="1"/>
  <c r="L76" i="31"/>
  <c r="AQ76" i="31" s="1"/>
  <c r="AY76" i="31" s="1"/>
  <c r="Z95" i="31"/>
  <c r="AP114" i="31"/>
  <c r="AX114" i="31" s="1"/>
  <c r="L114" i="31"/>
  <c r="AQ114" i="31" s="1"/>
  <c r="AY114" i="31" s="1"/>
  <c r="AP129" i="31"/>
  <c r="AX129" i="31" s="1"/>
  <c r="L129" i="31"/>
  <c r="AQ129" i="31" s="1"/>
  <c r="AY129" i="31" s="1"/>
  <c r="S99" i="31"/>
  <c r="X99" i="31" s="1"/>
  <c r="CJ84" i="31" l="1"/>
  <c r="Z38" i="31"/>
  <c r="CJ131" i="31"/>
  <c r="L10" i="31"/>
  <c r="AQ10" i="31" s="1"/>
  <c r="AY10" i="31" s="1"/>
  <c r="Z24" i="31"/>
  <c r="CJ122" i="31"/>
  <c r="CJ85" i="31"/>
  <c r="BQ89" i="31"/>
  <c r="BQ13" i="31"/>
  <c r="Z18" i="31"/>
  <c r="Z118" i="31"/>
  <c r="Z160" i="31"/>
  <c r="Z20" i="31"/>
  <c r="Z30" i="31"/>
  <c r="Z17" i="31"/>
  <c r="Z51" i="31"/>
  <c r="Z87" i="31"/>
  <c r="R138" i="31"/>
  <c r="V138" i="31" s="1"/>
  <c r="AA138" i="31" s="1"/>
  <c r="BQ35" i="31"/>
  <c r="Z112" i="31"/>
  <c r="CJ31" i="31"/>
  <c r="CJ135" i="31"/>
  <c r="R135" i="31"/>
  <c r="V135" i="31" s="1"/>
  <c r="AA135" i="31" s="1"/>
  <c r="Z105" i="31"/>
  <c r="Z60" i="31"/>
  <c r="AP106" i="31"/>
  <c r="AX106" i="31" s="1"/>
  <c r="Z121" i="31"/>
  <c r="Z114" i="31"/>
  <c r="Z139" i="31"/>
  <c r="Z99" i="31"/>
  <c r="Z119" i="31"/>
  <c r="CJ43" i="31"/>
  <c r="Z81" i="31"/>
  <c r="Z158" i="31"/>
  <c r="R102" i="31"/>
  <c r="V102" i="31" s="1"/>
  <c r="AA102" i="31" s="1"/>
  <c r="Z47" i="31"/>
  <c r="Z83" i="31"/>
  <c r="R60" i="31"/>
  <c r="W60" i="31" s="1"/>
  <c r="R8" i="31"/>
  <c r="V8" i="31" s="1"/>
  <c r="AA8" i="31" s="1"/>
  <c r="Z40" i="31"/>
  <c r="X70" i="31"/>
  <c r="Z133" i="31"/>
  <c r="R111" i="31"/>
  <c r="W111" i="31" s="1"/>
  <c r="R119" i="31"/>
  <c r="W119" i="31" s="1"/>
  <c r="R113" i="31"/>
  <c r="W113" i="31" s="1"/>
  <c r="R108" i="31"/>
  <c r="V108" i="31" s="1"/>
  <c r="AA108" i="31" s="1"/>
  <c r="R91" i="31"/>
  <c r="V91" i="31" s="1"/>
  <c r="AA91" i="31" s="1"/>
  <c r="Z136" i="31"/>
  <c r="Z76" i="31"/>
  <c r="CJ15" i="31"/>
  <c r="Z7" i="31"/>
  <c r="CJ11" i="31"/>
  <c r="Z111" i="31"/>
  <c r="R117" i="31"/>
  <c r="W117" i="31" s="1"/>
  <c r="Z90" i="31"/>
  <c r="CJ9" i="31"/>
  <c r="R122" i="31"/>
  <c r="V122" i="31" s="1"/>
  <c r="AA122" i="31" s="1"/>
  <c r="R77" i="31"/>
  <c r="V77" i="31" s="1"/>
  <c r="AA77" i="31" s="1"/>
  <c r="Z123" i="31"/>
  <c r="CJ118" i="31"/>
  <c r="X128" i="31"/>
  <c r="Z129" i="31"/>
  <c r="R16" i="31"/>
  <c r="W16" i="31" s="1"/>
  <c r="Z41" i="31"/>
  <c r="Z131" i="31"/>
  <c r="BF157" i="31"/>
  <c r="BL157" i="31" s="1"/>
  <c r="BD133" i="31"/>
  <c r="BM157" i="31"/>
  <c r="CI157" i="31" s="1"/>
  <c r="Z16" i="31"/>
  <c r="R5" i="31"/>
  <c r="V5" i="31" s="1"/>
  <c r="BN18" i="31"/>
  <c r="CJ18" i="31" s="1"/>
  <c r="BN38" i="31"/>
  <c r="BQ38" i="31" s="1"/>
  <c r="Z148" i="31"/>
  <c r="Z43" i="31"/>
  <c r="BF92" i="31"/>
  <c r="BL92" i="31" s="1"/>
  <c r="P101" i="31"/>
  <c r="Z48" i="31"/>
  <c r="Z106" i="31"/>
  <c r="CJ51" i="31"/>
  <c r="CJ45" i="31"/>
  <c r="Z79" i="31"/>
  <c r="BE23" i="31"/>
  <c r="BN141" i="31"/>
  <c r="CJ141" i="31" s="1"/>
  <c r="Z126" i="31"/>
  <c r="R148" i="31"/>
  <c r="V148" i="31" s="1"/>
  <c r="AA148" i="31" s="1"/>
  <c r="Z77" i="31"/>
  <c r="BE157" i="31"/>
  <c r="Z45" i="31"/>
  <c r="R73" i="31"/>
  <c r="W73" i="31" s="1"/>
  <c r="BF18" i="31"/>
  <c r="BL18" i="31" s="1"/>
  <c r="Z154" i="31"/>
  <c r="BF134" i="31"/>
  <c r="BC134" i="31" s="1"/>
  <c r="Z12" i="31"/>
  <c r="R150" i="31"/>
  <c r="V150" i="31" s="1"/>
  <c r="AA150" i="31" s="1"/>
  <c r="BM133" i="31"/>
  <c r="BP133" i="31" s="1"/>
  <c r="R6" i="31"/>
  <c r="W6" i="31" s="1"/>
  <c r="Z164" i="31"/>
  <c r="Z84" i="31"/>
  <c r="Z122" i="31"/>
  <c r="Z8" i="31"/>
  <c r="BF99" i="31"/>
  <c r="BC99" i="31" s="1"/>
  <c r="Z61" i="31"/>
  <c r="R42" i="31"/>
  <c r="W42" i="31" s="1"/>
  <c r="R115" i="31"/>
  <c r="V115" i="31" s="1"/>
  <c r="AA115" i="31" s="1"/>
  <c r="Z135" i="31"/>
  <c r="Z68" i="31"/>
  <c r="R67" i="31"/>
  <c r="W67" i="31" s="1"/>
  <c r="Z54" i="31"/>
  <c r="Z57" i="31"/>
  <c r="Z5" i="31"/>
  <c r="Z72" i="31"/>
  <c r="P151" i="31"/>
  <c r="R28" i="31"/>
  <c r="V28" i="31" s="1"/>
  <c r="AA28" i="31" s="1"/>
  <c r="Z37" i="31"/>
  <c r="Z128" i="31"/>
  <c r="R118" i="31"/>
  <c r="W118" i="31" s="1"/>
  <c r="R36" i="31"/>
  <c r="W36" i="31" s="1"/>
  <c r="Z91" i="31"/>
  <c r="BF161" i="31"/>
  <c r="BC161" i="31" s="1"/>
  <c r="BN151" i="31"/>
  <c r="BQ151" i="31" s="1"/>
  <c r="BN161" i="31"/>
  <c r="BQ161" i="31" s="1"/>
  <c r="R33" i="31"/>
  <c r="V33" i="31" s="1"/>
  <c r="AA33" i="31" s="1"/>
  <c r="R144" i="31"/>
  <c r="V144" i="31" s="1"/>
  <c r="AA144" i="31" s="1"/>
  <c r="K176" i="31"/>
  <c r="R133" i="31"/>
  <c r="V133" i="31" s="1"/>
  <c r="AA133" i="31" s="1"/>
  <c r="R83" i="31"/>
  <c r="W83" i="31" s="1"/>
  <c r="AP24" i="31"/>
  <c r="AX24" i="31" s="1"/>
  <c r="BE161" i="31"/>
  <c r="R11" i="31"/>
  <c r="W11" i="31" s="1"/>
  <c r="BM161" i="31"/>
  <c r="CI161" i="31" s="1"/>
  <c r="Z120" i="31"/>
  <c r="Z73" i="31"/>
  <c r="Z49" i="31"/>
  <c r="Z92" i="31"/>
  <c r="Z32" i="31"/>
  <c r="Z144" i="31"/>
  <c r="BD137" i="31"/>
  <c r="BN28" i="31"/>
  <c r="BQ28" i="31" s="1"/>
  <c r="CJ7" i="31"/>
  <c r="P109" i="31"/>
  <c r="Z74" i="31"/>
  <c r="Z29" i="31"/>
  <c r="R143" i="31"/>
  <c r="V143" i="31" s="1"/>
  <c r="AA143" i="31" s="1"/>
  <c r="BN106" i="31"/>
  <c r="CJ106" i="31" s="1"/>
  <c r="BN104" i="31"/>
  <c r="BQ104" i="31" s="1"/>
  <c r="BN149" i="31"/>
  <c r="BQ149" i="31" s="1"/>
  <c r="Z165" i="31"/>
  <c r="Z44" i="31"/>
  <c r="BF72" i="31"/>
  <c r="BC72" i="31" s="1"/>
  <c r="P113" i="31"/>
  <c r="Z31" i="31"/>
  <c r="Z23" i="31"/>
  <c r="R24" i="31"/>
  <c r="W24" i="31" s="1"/>
  <c r="R123" i="31"/>
  <c r="V123" i="31" s="1"/>
  <c r="AA123" i="31" s="1"/>
  <c r="Z124" i="31"/>
  <c r="Z52" i="31"/>
  <c r="BN144" i="31"/>
  <c r="CJ144" i="31" s="1"/>
  <c r="Z35" i="31"/>
  <c r="Z88" i="31"/>
  <c r="R163" i="31"/>
  <c r="V163" i="31" s="1"/>
  <c r="AA163" i="31" s="1"/>
  <c r="Z69" i="31"/>
  <c r="BN137" i="31"/>
  <c r="BQ137" i="31" s="1"/>
  <c r="R124" i="31"/>
  <c r="Z80" i="31"/>
  <c r="R23" i="31"/>
  <c r="BF142" i="31"/>
  <c r="BC142" i="31" s="1"/>
  <c r="R71" i="31"/>
  <c r="V71" i="31" s="1"/>
  <c r="AA71" i="31" s="1"/>
  <c r="R142" i="31"/>
  <c r="W142" i="31" s="1"/>
  <c r="BF151" i="31"/>
  <c r="BC151" i="31" s="1"/>
  <c r="R134" i="31"/>
  <c r="V134" i="31" s="1"/>
  <c r="AA134" i="31" s="1"/>
  <c r="BF145" i="31"/>
  <c r="BL145" i="31" s="1"/>
  <c r="R9" i="31"/>
  <c r="W9" i="31" s="1"/>
  <c r="Z156" i="31"/>
  <c r="BN129" i="31"/>
  <c r="CJ129" i="31" s="1"/>
  <c r="BF149" i="31"/>
  <c r="BL149" i="31" s="1"/>
  <c r="BF139" i="31"/>
  <c r="BC139" i="31" s="1"/>
  <c r="R45" i="31"/>
  <c r="V45" i="31" s="1"/>
  <c r="AA45" i="31" s="1"/>
  <c r="Z143" i="31"/>
  <c r="Z13" i="31"/>
  <c r="Z163" i="31"/>
  <c r="R158" i="31"/>
  <c r="W158" i="31" s="1"/>
  <c r="Z110" i="31"/>
  <c r="Z86" i="31"/>
  <c r="Z71" i="31"/>
  <c r="BN61" i="31"/>
  <c r="BQ61" i="31" s="1"/>
  <c r="R89" i="31"/>
  <c r="V89" i="31" s="1"/>
  <c r="AA89" i="31" s="1"/>
  <c r="BF141" i="31"/>
  <c r="BC141" i="31" s="1"/>
  <c r="Z157" i="31"/>
  <c r="CJ23" i="31"/>
  <c r="Z96" i="31"/>
  <c r="R64" i="31"/>
  <c r="W64" i="31" s="1"/>
  <c r="R22" i="31"/>
  <c r="W22" i="31" s="1"/>
  <c r="BN107" i="31"/>
  <c r="BQ107" i="31" s="1"/>
  <c r="Z64" i="31"/>
  <c r="Z145" i="31"/>
  <c r="Z42" i="31"/>
  <c r="Z78" i="31"/>
  <c r="R152" i="31"/>
  <c r="V152" i="31" s="1"/>
  <c r="AA152" i="31" s="1"/>
  <c r="Z108" i="31"/>
  <c r="Z62" i="31"/>
  <c r="Z94" i="31"/>
  <c r="BN119" i="31"/>
  <c r="BQ119" i="31" s="1"/>
  <c r="R139" i="31"/>
  <c r="W139" i="31" s="1"/>
  <c r="R12" i="31"/>
  <c r="W12" i="31" s="1"/>
  <c r="Z162" i="31"/>
  <c r="Z152" i="31"/>
  <c r="AK176" i="31"/>
  <c r="AS176" i="31" s="1"/>
  <c r="Z50" i="31"/>
  <c r="Z26" i="31"/>
  <c r="BF110" i="31"/>
  <c r="BC110" i="31" s="1"/>
  <c r="Z70" i="31"/>
  <c r="BF148" i="31"/>
  <c r="BL148" i="31" s="1"/>
  <c r="R162" i="31"/>
  <c r="V162" i="31" s="1"/>
  <c r="AA162" i="31" s="1"/>
  <c r="R7" i="31"/>
  <c r="W7" i="31" s="1"/>
  <c r="R127" i="31"/>
  <c r="V127" i="31" s="1"/>
  <c r="AA127" i="31" s="1"/>
  <c r="BN114" i="31"/>
  <c r="R52" i="31"/>
  <c r="W52" i="31" s="1"/>
  <c r="R31" i="31"/>
  <c r="BQ163" i="31"/>
  <c r="CJ163" i="31"/>
  <c r="R32" i="31"/>
  <c r="V32" i="31" s="1"/>
  <c r="AA32" i="31" s="1"/>
  <c r="BM129" i="31"/>
  <c r="BP129" i="31" s="1"/>
  <c r="R151" i="31"/>
  <c r="W151" i="31" s="1"/>
  <c r="R129" i="31"/>
  <c r="W129" i="31" s="1"/>
  <c r="Z89" i="31"/>
  <c r="Z130" i="31"/>
  <c r="Z65" i="31"/>
  <c r="R29" i="31"/>
  <c r="W29" i="31" s="1"/>
  <c r="R44" i="31"/>
  <c r="W44" i="31" s="1"/>
  <c r="R98" i="31"/>
  <c r="W98" i="31" s="1"/>
  <c r="BQ29" i="31"/>
  <c r="CJ29" i="31"/>
  <c r="Z161" i="31"/>
  <c r="Z19" i="31"/>
  <c r="Z58" i="31"/>
  <c r="R19" i="31"/>
  <c r="V19" i="31" s="1"/>
  <c r="AA19" i="31" s="1"/>
  <c r="R140" i="31"/>
  <c r="W140" i="31" s="1"/>
  <c r="R38" i="31"/>
  <c r="V38" i="31" s="1"/>
  <c r="AA38" i="31" s="1"/>
  <c r="R13" i="31"/>
  <c r="W13" i="31" s="1"/>
  <c r="BQ47" i="31"/>
  <c r="CJ47" i="31"/>
  <c r="CJ99" i="31"/>
  <c r="BQ99" i="31"/>
  <c r="BQ32" i="31"/>
  <c r="CJ32" i="31"/>
  <c r="Z36" i="31"/>
  <c r="R85" i="31"/>
  <c r="W85" i="31" s="1"/>
  <c r="Z134" i="31"/>
  <c r="R82" i="31"/>
  <c r="W82" i="31" s="1"/>
  <c r="R17" i="31"/>
  <c r="W17" i="31" s="1"/>
  <c r="R147" i="31"/>
  <c r="BN139" i="31"/>
  <c r="R10" i="31"/>
  <c r="R49" i="31"/>
  <c r="Z63" i="31"/>
  <c r="R57" i="31"/>
  <c r="V57" i="31" s="1"/>
  <c r="AA57" i="31" s="1"/>
  <c r="R14" i="31"/>
  <c r="BM159" i="31"/>
  <c r="CI159" i="31" s="1"/>
  <c r="R61" i="31"/>
  <c r="V61" i="31" s="1"/>
  <c r="AA61" i="31" s="1"/>
  <c r="Z33" i="31"/>
  <c r="BM151" i="31"/>
  <c r="CI151" i="31" s="1"/>
  <c r="R48" i="31"/>
  <c r="W48" i="31" s="1"/>
  <c r="Z27" i="31"/>
  <c r="Z67" i="31"/>
  <c r="BF137" i="31"/>
  <c r="BL137" i="31" s="1"/>
  <c r="R39" i="31"/>
  <c r="V39" i="31" s="1"/>
  <c r="AA39" i="31" s="1"/>
  <c r="R46" i="31"/>
  <c r="V46" i="31" s="1"/>
  <c r="AA46" i="31" s="1"/>
  <c r="R86" i="31"/>
  <c r="Z140" i="31"/>
  <c r="Z66" i="31"/>
  <c r="R116" i="31"/>
  <c r="V116" i="31" s="1"/>
  <c r="AA116" i="31" s="1"/>
  <c r="R107" i="31"/>
  <c r="BP153" i="31"/>
  <c r="CI153" i="31"/>
  <c r="BL159" i="31"/>
  <c r="BC159" i="31"/>
  <c r="BQ54" i="31"/>
  <c r="CJ54" i="31"/>
  <c r="BL85" i="31"/>
  <c r="BC85" i="31"/>
  <c r="BQ111" i="31"/>
  <c r="CJ111" i="31"/>
  <c r="BL133" i="31"/>
  <c r="BC133" i="31"/>
  <c r="BQ64" i="31"/>
  <c r="CJ64" i="31"/>
  <c r="BC116" i="31"/>
  <c r="BL116" i="31"/>
  <c r="BQ152" i="31"/>
  <c r="CJ152" i="31"/>
  <c r="BQ165" i="31"/>
  <c r="CJ165" i="31"/>
  <c r="CJ133" i="31"/>
  <c r="BC9" i="31"/>
  <c r="BL9" i="31"/>
  <c r="CJ73" i="31"/>
  <c r="BQ73" i="31"/>
  <c r="BC38" i="31"/>
  <c r="BL38" i="31"/>
  <c r="BP143" i="31"/>
  <c r="CI143" i="31"/>
  <c r="BC16" i="31"/>
  <c r="BL16" i="31"/>
  <c r="BC128" i="31"/>
  <c r="BL128" i="31"/>
  <c r="BQ26" i="31"/>
  <c r="CJ26" i="31"/>
  <c r="BL147" i="31"/>
  <c r="BC147" i="31"/>
  <c r="BL132" i="31"/>
  <c r="BC132" i="31"/>
  <c r="BC109" i="31"/>
  <c r="BL109" i="31"/>
  <c r="BL36" i="31"/>
  <c r="BC36" i="31"/>
  <c r="BC25" i="31"/>
  <c r="BL25" i="31"/>
  <c r="BL135" i="31"/>
  <c r="BC135" i="31"/>
  <c r="BC123" i="31"/>
  <c r="BL123" i="31"/>
  <c r="BL158" i="31"/>
  <c r="BC158" i="31"/>
  <c r="BL46" i="31"/>
  <c r="BC46" i="31"/>
  <c r="BL24" i="31"/>
  <c r="BC24" i="31"/>
  <c r="BC89" i="31"/>
  <c r="BL89" i="31"/>
  <c r="BC111" i="31"/>
  <c r="BL111" i="31"/>
  <c r="BP137" i="31"/>
  <c r="CI137" i="31"/>
  <c r="BL165" i="31"/>
  <c r="BC165" i="31"/>
  <c r="BQ60" i="31"/>
  <c r="CJ60" i="31"/>
  <c r="BQ14" i="31"/>
  <c r="CJ14" i="31"/>
  <c r="BL8" i="31"/>
  <c r="BC8" i="31"/>
  <c r="BC31" i="31"/>
  <c r="BL31" i="31"/>
  <c r="BP149" i="31"/>
  <c r="CI149" i="31"/>
  <c r="S160" i="31"/>
  <c r="X160" i="31" s="1"/>
  <c r="BE56" i="31"/>
  <c r="BF56" i="31"/>
  <c r="BM112" i="31"/>
  <c r="BD112" i="31"/>
  <c r="BD82" i="31"/>
  <c r="BM82" i="31"/>
  <c r="BD104" i="31"/>
  <c r="BM104" i="31"/>
  <c r="BD87" i="31"/>
  <c r="BM87" i="31"/>
  <c r="BD37" i="31"/>
  <c r="BM37" i="31"/>
  <c r="BD29" i="31"/>
  <c r="BM29" i="31"/>
  <c r="BQ21" i="31"/>
  <c r="CJ21" i="31"/>
  <c r="BE140" i="31"/>
  <c r="BF140" i="31"/>
  <c r="BM117" i="31"/>
  <c r="BD117" i="31"/>
  <c r="S18" i="31"/>
  <c r="BM126" i="31"/>
  <c r="BD126" i="31"/>
  <c r="BM118" i="31"/>
  <c r="BD118" i="31"/>
  <c r="BC124" i="31"/>
  <c r="BL124" i="31"/>
  <c r="BC120" i="31"/>
  <c r="BL120" i="31"/>
  <c r="BD59" i="31"/>
  <c r="BM59" i="31"/>
  <c r="BD50" i="31"/>
  <c r="BM50" i="31"/>
  <c r="BQ44" i="31"/>
  <c r="CJ44" i="31"/>
  <c r="BC157" i="31"/>
  <c r="CI44" i="31"/>
  <c r="BP44" i="31"/>
  <c r="R130" i="31"/>
  <c r="Z125" i="31"/>
  <c r="P125" i="31"/>
  <c r="BQ37" i="31"/>
  <c r="CJ37" i="31"/>
  <c r="BM165" i="31"/>
  <c r="W70" i="31"/>
  <c r="V70" i="31"/>
  <c r="AA70" i="31" s="1"/>
  <c r="BC160" i="31"/>
  <c r="BL160" i="31"/>
  <c r="BQ109" i="31"/>
  <c r="CJ109" i="31"/>
  <c r="BE79" i="31"/>
  <c r="BF79" i="31"/>
  <c r="BF71" i="31"/>
  <c r="BE71" i="31"/>
  <c r="BE41" i="31"/>
  <c r="BF41" i="31"/>
  <c r="BN41" i="31"/>
  <c r="BD32" i="31"/>
  <c r="BM32" i="31"/>
  <c r="BC22" i="31"/>
  <c r="BL22" i="31"/>
  <c r="Z56" i="31"/>
  <c r="BC103" i="31"/>
  <c r="BL103" i="31"/>
  <c r="BD93" i="31"/>
  <c r="Z147" i="31"/>
  <c r="BD127" i="31"/>
  <c r="BM127" i="31"/>
  <c r="BM119" i="31"/>
  <c r="BD119" i="31"/>
  <c r="BE78" i="31"/>
  <c r="BF78" i="31"/>
  <c r="BF70" i="31"/>
  <c r="BN70" i="31"/>
  <c r="BE70" i="31"/>
  <c r="BD5" i="31"/>
  <c r="BG176" i="31"/>
  <c r="BM5" i="31"/>
  <c r="BQ102" i="31"/>
  <c r="CJ102" i="31"/>
  <c r="BF87" i="31"/>
  <c r="BD77" i="31"/>
  <c r="BM77" i="31"/>
  <c r="BF68" i="31"/>
  <c r="BE68" i="31"/>
  <c r="BM60" i="31"/>
  <c r="BD60" i="31"/>
  <c r="BE53" i="31"/>
  <c r="BF53" i="31"/>
  <c r="BL43" i="31"/>
  <c r="BC43" i="31"/>
  <c r="BE39" i="31"/>
  <c r="BF39" i="31"/>
  <c r="BD17" i="31"/>
  <c r="BM17" i="31"/>
  <c r="BC14" i="31"/>
  <c r="BL14" i="31"/>
  <c r="R114" i="31"/>
  <c r="AP132" i="31"/>
  <c r="AX132" i="31" s="1"/>
  <c r="L132" i="31"/>
  <c r="AQ132" i="31" s="1"/>
  <c r="AY132" i="31" s="1"/>
  <c r="Z103" i="31"/>
  <c r="Z15" i="31"/>
  <c r="BM163" i="31"/>
  <c r="BD163" i="31"/>
  <c r="BK136" i="31"/>
  <c r="BN136" i="31" s="1"/>
  <c r="BD45" i="31"/>
  <c r="BM45" i="31"/>
  <c r="BD39" i="31"/>
  <c r="BF138" i="31"/>
  <c r="BE138" i="31"/>
  <c r="BM98" i="31"/>
  <c r="BD98" i="31"/>
  <c r="BC95" i="31"/>
  <c r="BL95" i="31"/>
  <c r="BP48" i="31"/>
  <c r="CI48" i="31"/>
  <c r="BM35" i="31"/>
  <c r="BD35" i="31"/>
  <c r="AX5" i="31"/>
  <c r="BD158" i="31"/>
  <c r="CI27" i="31"/>
  <c r="BP27" i="31"/>
  <c r="V25" i="31"/>
  <c r="AA25" i="31" s="1"/>
  <c r="W25" i="31"/>
  <c r="R34" i="31"/>
  <c r="BN49" i="31"/>
  <c r="BN71" i="31"/>
  <c r="BM142" i="31"/>
  <c r="BK142" i="31"/>
  <c r="BN142" i="31" s="1"/>
  <c r="BQ81" i="31"/>
  <c r="CJ81" i="31"/>
  <c r="BM145" i="31"/>
  <c r="R131" i="31"/>
  <c r="R149" i="31"/>
  <c r="R110" i="31"/>
  <c r="BM139" i="31"/>
  <c r="BD139" i="31"/>
  <c r="BD103" i="31"/>
  <c r="BM103" i="31"/>
  <c r="BD13" i="31"/>
  <c r="BM13" i="31"/>
  <c r="BD6" i="31"/>
  <c r="BM6" i="31"/>
  <c r="Z21" i="31"/>
  <c r="BM148" i="31"/>
  <c r="BD148" i="31"/>
  <c r="BF97" i="31"/>
  <c r="BE97" i="31"/>
  <c r="BK34" i="31"/>
  <c r="BN34" i="31" s="1"/>
  <c r="BC27" i="31"/>
  <c r="BL27" i="31"/>
  <c r="Z141" i="31"/>
  <c r="BE80" i="31"/>
  <c r="BF80" i="31"/>
  <c r="BE65" i="31"/>
  <c r="BF65" i="31"/>
  <c r="BF57" i="31"/>
  <c r="BE57" i="31"/>
  <c r="BN50" i="31"/>
  <c r="BF50" i="31"/>
  <c r="BE50" i="31"/>
  <c r="BM43" i="31"/>
  <c r="BD43" i="31"/>
  <c r="BD149" i="31"/>
  <c r="R72" i="31"/>
  <c r="R164" i="31"/>
  <c r="O176" i="31"/>
  <c r="BQ59" i="31"/>
  <c r="CJ59" i="31"/>
  <c r="R156" i="31"/>
  <c r="X156" i="31"/>
  <c r="R103" i="31"/>
  <c r="R80" i="31"/>
  <c r="R41" i="31"/>
  <c r="R53" i="31"/>
  <c r="BN57" i="31"/>
  <c r="R121" i="31"/>
  <c r="R105" i="31"/>
  <c r="R79" i="31"/>
  <c r="R43" i="31"/>
  <c r="R54" i="31"/>
  <c r="R21" i="31"/>
  <c r="CI95" i="31"/>
  <c r="BP95" i="31"/>
  <c r="BE42" i="31"/>
  <c r="BF42" i="31"/>
  <c r="BC152" i="31"/>
  <c r="BL152" i="31"/>
  <c r="BM108" i="31"/>
  <c r="BD108" i="31"/>
  <c r="BD78" i="31"/>
  <c r="BD70" i="31"/>
  <c r="BM70" i="31"/>
  <c r="BC67" i="31"/>
  <c r="BL67" i="31"/>
  <c r="BC44" i="31"/>
  <c r="BL44" i="31"/>
  <c r="BF10" i="31"/>
  <c r="BE10" i="31"/>
  <c r="BH176" i="31"/>
  <c r="BM100" i="31"/>
  <c r="BD100" i="31"/>
  <c r="BD83" i="31"/>
  <c r="BM83" i="31"/>
  <c r="BM33" i="31"/>
  <c r="BD33" i="31"/>
  <c r="BM26" i="31"/>
  <c r="BD26" i="31"/>
  <c r="BL21" i="31"/>
  <c r="BC21" i="31"/>
  <c r="BD136" i="31"/>
  <c r="BQ128" i="31"/>
  <c r="CJ128" i="31"/>
  <c r="BC121" i="31"/>
  <c r="BL121" i="31"/>
  <c r="BD113" i="31"/>
  <c r="BM113" i="31"/>
  <c r="BQ159" i="31"/>
  <c r="CJ159" i="31"/>
  <c r="CJ161" i="31"/>
  <c r="BQ88" i="31"/>
  <c r="CJ88" i="31"/>
  <c r="R104" i="31"/>
  <c r="BD165" i="31"/>
  <c r="BF156" i="31"/>
  <c r="BE156" i="31"/>
  <c r="CJ113" i="31"/>
  <c r="BQ113" i="31"/>
  <c r="BD105" i="31"/>
  <c r="BM105" i="31"/>
  <c r="BF105" i="31"/>
  <c r="BD97" i="31"/>
  <c r="BD90" i="31"/>
  <c r="BM90" i="31"/>
  <c r="BF83" i="31"/>
  <c r="BC19" i="31"/>
  <c r="BL19" i="31"/>
  <c r="BQ12" i="31"/>
  <c r="CJ12" i="31"/>
  <c r="BD131" i="31"/>
  <c r="BM131" i="31"/>
  <c r="BM28" i="31"/>
  <c r="BD28" i="31"/>
  <c r="BD21" i="31"/>
  <c r="BM21" i="31"/>
  <c r="BC13" i="31"/>
  <c r="BL13" i="31"/>
  <c r="BD164" i="31"/>
  <c r="BK78" i="31"/>
  <c r="BN78" i="31" s="1"/>
  <c r="BF59" i="31"/>
  <c r="BN52" i="31"/>
  <c r="BE52" i="31"/>
  <c r="BF52" i="31"/>
  <c r="BD16" i="31"/>
  <c r="BM16" i="31"/>
  <c r="BE154" i="31"/>
  <c r="BF154" i="31"/>
  <c r="BF98" i="31"/>
  <c r="BN98" i="31"/>
  <c r="BE98" i="31"/>
  <c r="R78" i="31"/>
  <c r="X78" i="31"/>
  <c r="R87" i="31"/>
  <c r="CJ105" i="31"/>
  <c r="BQ105" i="31"/>
  <c r="BQ16" i="31"/>
  <c r="CJ16" i="31"/>
  <c r="BD124" i="31"/>
  <c r="BM124" i="31"/>
  <c r="BN58" i="31"/>
  <c r="BF58" i="31"/>
  <c r="BE58" i="31"/>
  <c r="BD49" i="31"/>
  <c r="BM49" i="31"/>
  <c r="BF126" i="31"/>
  <c r="BF118" i="31"/>
  <c r="BM110" i="31"/>
  <c r="BD110" i="31"/>
  <c r="BF88" i="31"/>
  <c r="BE88" i="31"/>
  <c r="BD80" i="31"/>
  <c r="BD72" i="31"/>
  <c r="BM72" i="31"/>
  <c r="BD65" i="31"/>
  <c r="BM65" i="31"/>
  <c r="BD57" i="31"/>
  <c r="BM57" i="31"/>
  <c r="Z138" i="31"/>
  <c r="Z104" i="31"/>
  <c r="BL144" i="31"/>
  <c r="BC144" i="31"/>
  <c r="BQ110" i="31"/>
  <c r="CJ110" i="31"/>
  <c r="BD89" i="31"/>
  <c r="BM89" i="31"/>
  <c r="CJ66" i="31"/>
  <c r="BQ66" i="31"/>
  <c r="BD19" i="31"/>
  <c r="BM19" i="31"/>
  <c r="AY5" i="31"/>
  <c r="BF153" i="31"/>
  <c r="BQ127" i="31"/>
  <c r="CJ127" i="31"/>
  <c r="BD115" i="31"/>
  <c r="BM115" i="31"/>
  <c r="BD107" i="31"/>
  <c r="BM107" i="31"/>
  <c r="P149" i="31"/>
  <c r="Z149" i="31"/>
  <c r="R55" i="31"/>
  <c r="R155" i="31"/>
  <c r="R97" i="31"/>
  <c r="R92" i="31"/>
  <c r="R76" i="31"/>
  <c r="Z137" i="31"/>
  <c r="BQ115" i="31"/>
  <c r="CJ115" i="31"/>
  <c r="BQ92" i="31"/>
  <c r="CJ92" i="31"/>
  <c r="BD84" i="31"/>
  <c r="BM84" i="31"/>
  <c r="BF77" i="31"/>
  <c r="BE77" i="31"/>
  <c r="BD34" i="31"/>
  <c r="BD20" i="31"/>
  <c r="BM20" i="31"/>
  <c r="BK97" i="31"/>
  <c r="BN97" i="31" s="1"/>
  <c r="BN20" i="31"/>
  <c r="BF20" i="31"/>
  <c r="BE20" i="31"/>
  <c r="BD11" i="31"/>
  <c r="BM11" i="31"/>
  <c r="Z107" i="31"/>
  <c r="Z34" i="31"/>
  <c r="BD125" i="31"/>
  <c r="BM125" i="31"/>
  <c r="BF117" i="31"/>
  <c r="BK80" i="31"/>
  <c r="BN80" i="31" s="1"/>
  <c r="BD14" i="31"/>
  <c r="BM14" i="31"/>
  <c r="BE164" i="31"/>
  <c r="BF164" i="31"/>
  <c r="BD156" i="31"/>
  <c r="BF100" i="31"/>
  <c r="BN100" i="31"/>
  <c r="BE100" i="31"/>
  <c r="BM92" i="31"/>
  <c r="BD92" i="31"/>
  <c r="BM75" i="31"/>
  <c r="BD75" i="31"/>
  <c r="BD66" i="31"/>
  <c r="BM66" i="31"/>
  <c r="BD58" i="31"/>
  <c r="BM58" i="31"/>
  <c r="BM51" i="31"/>
  <c r="BD51" i="31"/>
  <c r="BE37" i="31"/>
  <c r="BF37" i="31"/>
  <c r="BF29" i="31"/>
  <c r="BF26" i="31"/>
  <c r="W20" i="31"/>
  <c r="V20" i="31"/>
  <c r="AA20" i="31" s="1"/>
  <c r="R126" i="31"/>
  <c r="R132" i="31"/>
  <c r="X132" i="31"/>
  <c r="R66" i="31"/>
  <c r="R27" i="31"/>
  <c r="BM158" i="31"/>
  <c r="BK158" i="31"/>
  <c r="BN158" i="31" s="1"/>
  <c r="CJ6" i="31"/>
  <c r="BQ6" i="31"/>
  <c r="R165" i="31"/>
  <c r="R146" i="31"/>
  <c r="R106" i="31"/>
  <c r="R63" i="31"/>
  <c r="R47" i="31"/>
  <c r="R75" i="31"/>
  <c r="BN56" i="31"/>
  <c r="R74" i="31"/>
  <c r="R69" i="31"/>
  <c r="R37" i="31"/>
  <c r="R15" i="31"/>
  <c r="BE60" i="31"/>
  <c r="BF60" i="31"/>
  <c r="BC51" i="31"/>
  <c r="BL51" i="31"/>
  <c r="BM116" i="31"/>
  <c r="BD116" i="31"/>
  <c r="BE86" i="31"/>
  <c r="BF86" i="31"/>
  <c r="BE146" i="31"/>
  <c r="BF146" i="31"/>
  <c r="BQ108" i="31"/>
  <c r="CJ108" i="31"/>
  <c r="BF93" i="31"/>
  <c r="BE93" i="31"/>
  <c r="BE130" i="31"/>
  <c r="BF130" i="31"/>
  <c r="BD122" i="31"/>
  <c r="BM122" i="31"/>
  <c r="BK42" i="31"/>
  <c r="BN42" i="31" s="1"/>
  <c r="BM63" i="31"/>
  <c r="BD63" i="31"/>
  <c r="BD55" i="31"/>
  <c r="BM55" i="31"/>
  <c r="BD47" i="31"/>
  <c r="BM47" i="31"/>
  <c r="BQ157" i="31"/>
  <c r="CJ157" i="31"/>
  <c r="BQ116" i="31"/>
  <c r="CJ116" i="31"/>
  <c r="BF112" i="31"/>
  <c r="BF108" i="31"/>
  <c r="BK93" i="31"/>
  <c r="BN93" i="31" s="1"/>
  <c r="CJ125" i="31"/>
  <c r="BQ125" i="31"/>
  <c r="AZ176" i="31"/>
  <c r="BQ94" i="31"/>
  <c r="CJ94" i="31"/>
  <c r="BQ68" i="31"/>
  <c r="CJ68" i="31"/>
  <c r="R109" i="31"/>
  <c r="R65" i="31"/>
  <c r="BK156" i="31"/>
  <c r="BN156" i="31" s="1"/>
  <c r="BE75" i="31"/>
  <c r="BF75" i="31"/>
  <c r="BN75" i="31"/>
  <c r="BD67" i="31"/>
  <c r="BM67" i="31"/>
  <c r="BM36" i="31"/>
  <c r="BD36" i="31"/>
  <c r="BD25" i="31"/>
  <c r="BM25" i="31"/>
  <c r="BQ22" i="31"/>
  <c r="CJ22" i="31"/>
  <c r="BD15" i="31"/>
  <c r="BM15" i="31"/>
  <c r="BC12" i="31"/>
  <c r="BL12" i="31"/>
  <c r="BC32" i="31"/>
  <c r="BL32" i="31"/>
  <c r="Z102" i="31"/>
  <c r="BF131" i="31"/>
  <c r="BD123" i="31"/>
  <c r="BM123" i="31"/>
  <c r="BE82" i="31"/>
  <c r="BF82" i="31"/>
  <c r="BN82" i="31"/>
  <c r="BE74" i="31"/>
  <c r="BF74" i="31"/>
  <c r="BF63" i="31"/>
  <c r="BN63" i="31"/>
  <c r="BE63" i="31"/>
  <c r="BF55" i="31"/>
  <c r="BN55" i="31"/>
  <c r="BE55" i="31"/>
  <c r="BC45" i="31"/>
  <c r="BL45" i="31"/>
  <c r="BM9" i="31"/>
  <c r="BD9" i="31"/>
  <c r="BC102" i="31"/>
  <c r="BL102" i="31"/>
  <c r="BQ91" i="31"/>
  <c r="CJ91" i="31"/>
  <c r="BD81" i="31"/>
  <c r="BM81" i="31"/>
  <c r="BM73" i="31"/>
  <c r="BD73" i="31"/>
  <c r="BD64" i="31"/>
  <c r="BM64" i="31"/>
  <c r="BM56" i="31"/>
  <c r="BD56" i="31"/>
  <c r="BD46" i="31"/>
  <c r="BM46" i="31"/>
  <c r="BK39" i="31"/>
  <c r="BN39" i="31" s="1"/>
  <c r="BC11" i="31"/>
  <c r="BL11" i="31"/>
  <c r="Z98" i="31"/>
  <c r="BD159" i="31"/>
  <c r="BE49" i="31"/>
  <c r="BF49" i="31"/>
  <c r="BD42" i="31"/>
  <c r="BQ155" i="31"/>
  <c r="CJ155" i="31"/>
  <c r="CJ148" i="31"/>
  <c r="BQ148" i="31"/>
  <c r="BC114" i="31"/>
  <c r="BL114" i="31"/>
  <c r="BD102" i="31"/>
  <c r="BM102" i="31"/>
  <c r="BL66" i="31"/>
  <c r="BC66" i="31"/>
  <c r="BE40" i="31"/>
  <c r="BF40" i="31"/>
  <c r="BD31" i="31"/>
  <c r="BM31" i="31"/>
  <c r="BF28" i="31"/>
  <c r="Z159" i="31"/>
  <c r="BF127" i="31"/>
  <c r="R125" i="31"/>
  <c r="V40" i="31"/>
  <c r="AA40" i="31" s="1"/>
  <c r="W40" i="31"/>
  <c r="BM141" i="31"/>
  <c r="R84" i="31"/>
  <c r="BF143" i="31"/>
  <c r="BF115" i="31"/>
  <c r="BD99" i="31"/>
  <c r="BM99" i="31"/>
  <c r="BD69" i="31"/>
  <c r="BM69" i="31"/>
  <c r="BM10" i="31"/>
  <c r="BD10" i="31"/>
  <c r="Z11" i="31"/>
  <c r="BM144" i="31"/>
  <c r="BD144" i="31"/>
  <c r="BF101" i="31"/>
  <c r="BN101" i="31"/>
  <c r="BE101" i="31"/>
  <c r="BM91" i="31"/>
  <c r="BD91" i="31"/>
  <c r="BQ30" i="31"/>
  <c r="CJ30" i="31"/>
  <c r="BQ27" i="31"/>
  <c r="CJ27" i="31"/>
  <c r="Z82" i="31"/>
  <c r="BE162" i="31"/>
  <c r="BF162" i="31"/>
  <c r="BE76" i="31"/>
  <c r="BF76" i="31"/>
  <c r="BD68" i="31"/>
  <c r="BM68" i="31"/>
  <c r="BE61" i="31"/>
  <c r="BF61" i="31"/>
  <c r="AP7" i="31"/>
  <c r="AX7" i="31" s="1"/>
  <c r="L7" i="31"/>
  <c r="AQ7" i="31" s="1"/>
  <c r="AY7" i="31" s="1"/>
  <c r="BK164" i="31"/>
  <c r="BN164" i="31" s="1"/>
  <c r="BF104" i="31"/>
  <c r="BM22" i="31"/>
  <c r="BD22" i="31"/>
  <c r="CJ5" i="31"/>
  <c r="BQ5" i="31"/>
  <c r="R96" i="31"/>
  <c r="Z100" i="31"/>
  <c r="P100" i="31"/>
  <c r="BN10" i="31"/>
  <c r="CJ143" i="31"/>
  <c r="BN79" i="31"/>
  <c r="R161" i="31"/>
  <c r="R157" i="31"/>
  <c r="R141" i="31"/>
  <c r="R153" i="31"/>
  <c r="R93" i="31"/>
  <c r="R56" i="31"/>
  <c r="BM150" i="31"/>
  <c r="BK150" i="31"/>
  <c r="BN150" i="31" s="1"/>
  <c r="R145" i="31"/>
  <c r="R50" i="31"/>
  <c r="R94" i="31"/>
  <c r="R30" i="31"/>
  <c r="V128" i="31"/>
  <c r="AA128" i="31" s="1"/>
  <c r="W128" i="31"/>
  <c r="BE64" i="31"/>
  <c r="BF64" i="31"/>
  <c r="BF48" i="31"/>
  <c r="BE48" i="31"/>
  <c r="BQ124" i="31"/>
  <c r="CJ124" i="31"/>
  <c r="BQ120" i="31"/>
  <c r="CJ120" i="31"/>
  <c r="BE90" i="31"/>
  <c r="BF90" i="31"/>
  <c r="BN90" i="31"/>
  <c r="BD74" i="31"/>
  <c r="BQ67" i="31"/>
  <c r="CJ67" i="31"/>
  <c r="BD40" i="31"/>
  <c r="BL6" i="31"/>
  <c r="BC6" i="31"/>
  <c r="BC150" i="31"/>
  <c r="BL150" i="31"/>
  <c r="BQ112" i="31"/>
  <c r="CJ112" i="31"/>
  <c r="BM96" i="31"/>
  <c r="BD96" i="31"/>
  <c r="BD147" i="31"/>
  <c r="BM147" i="31"/>
  <c r="BD132" i="31"/>
  <c r="BM132" i="31"/>
  <c r="BL125" i="31"/>
  <c r="BC125" i="31"/>
  <c r="BD109" i="31"/>
  <c r="BM109" i="31"/>
  <c r="BQ132" i="31"/>
  <c r="CJ132" i="31"/>
  <c r="BN48" i="31"/>
  <c r="R51" i="31"/>
  <c r="CJ160" i="31"/>
  <c r="BQ160" i="31"/>
  <c r="BD152" i="31"/>
  <c r="BM152" i="31"/>
  <c r="BF113" i="31"/>
  <c r="CI101" i="31"/>
  <c r="BP101" i="31"/>
  <c r="BF94" i="31"/>
  <c r="BE94" i="31"/>
  <c r="BM86" i="31"/>
  <c r="BD86" i="31"/>
  <c r="BQ83" i="31"/>
  <c r="CJ83" i="31"/>
  <c r="BQ19" i="31"/>
  <c r="CJ19" i="31"/>
  <c r="BM8" i="31"/>
  <c r="BD8" i="31"/>
  <c r="BL163" i="31"/>
  <c r="BC163" i="31"/>
  <c r="BD155" i="31"/>
  <c r="BM155" i="31"/>
  <c r="BD135" i="31"/>
  <c r="BM135" i="31"/>
  <c r="CJ103" i="31"/>
  <c r="BQ103" i="31"/>
  <c r="BQ36" i="31"/>
  <c r="CJ36" i="31"/>
  <c r="BQ25" i="31"/>
  <c r="CJ25" i="31"/>
  <c r="BD18" i="31"/>
  <c r="BM18" i="31"/>
  <c r="BD153" i="31"/>
  <c r="BK74" i="31"/>
  <c r="BN74" i="31" s="1"/>
  <c r="BD143" i="31"/>
  <c r="BD94" i="31"/>
  <c r="BM94" i="31"/>
  <c r="BL91" i="31"/>
  <c r="BC91" i="31"/>
  <c r="BC35" i="31"/>
  <c r="BL35" i="31"/>
  <c r="BD24" i="31"/>
  <c r="BM24" i="31"/>
  <c r="BL7" i="31"/>
  <c r="BC7" i="31"/>
  <c r="Z146" i="31"/>
  <c r="P146" i="31"/>
  <c r="R136" i="31"/>
  <c r="R99" i="31"/>
  <c r="X62" i="31"/>
  <c r="R62" i="31"/>
  <c r="BQ126" i="31"/>
  <c r="CJ126" i="31"/>
  <c r="BQ121" i="31"/>
  <c r="CJ121" i="31"/>
  <c r="CJ53" i="31"/>
  <c r="BQ53" i="31"/>
  <c r="BE136" i="31"/>
  <c r="BF136" i="31"/>
  <c r="BD128" i="31"/>
  <c r="BM128" i="31"/>
  <c r="BD120" i="31"/>
  <c r="BM120" i="31"/>
  <c r="BE62" i="31"/>
  <c r="BF62" i="31"/>
  <c r="BN62" i="31"/>
  <c r="BF54" i="31"/>
  <c r="BE54" i="31"/>
  <c r="BQ46" i="31"/>
  <c r="CJ46" i="31"/>
  <c r="R120" i="31"/>
  <c r="BF122" i="31"/>
  <c r="BM114" i="31"/>
  <c r="BD114" i="31"/>
  <c r="BD106" i="31"/>
  <c r="BM106" i="31"/>
  <c r="BC84" i="31"/>
  <c r="BL84" i="31"/>
  <c r="BD76" i="31"/>
  <c r="BN69" i="31"/>
  <c r="BF69" i="31"/>
  <c r="BE69" i="31"/>
  <c r="BD61" i="31"/>
  <c r="BM61" i="31"/>
  <c r="BD52" i="31"/>
  <c r="BM52" i="31"/>
  <c r="BQ8" i="31"/>
  <c r="CJ8" i="31"/>
  <c r="BF155" i="31"/>
  <c r="BF106" i="31"/>
  <c r="BQ95" i="31"/>
  <c r="CJ95" i="31"/>
  <c r="BD85" i="31"/>
  <c r="BM85" i="31"/>
  <c r="BK40" i="31"/>
  <c r="BN40" i="31" s="1"/>
  <c r="BC23" i="31"/>
  <c r="BL23" i="31"/>
  <c r="BQ153" i="31"/>
  <c r="CJ153" i="31"/>
  <c r="BQ123" i="31"/>
  <c r="CJ123" i="31"/>
  <c r="BF119" i="31"/>
  <c r="BD111" i="31"/>
  <c r="BM111" i="31"/>
  <c r="BQ145" i="31"/>
  <c r="CJ145" i="31"/>
  <c r="BN86" i="31"/>
  <c r="R101" i="31"/>
  <c r="R81" i="31"/>
  <c r="BF107" i="31"/>
  <c r="BD88" i="31"/>
  <c r="BM88" i="31"/>
  <c r="BE81" i="31"/>
  <c r="BF81" i="31"/>
  <c r="BE73" i="31"/>
  <c r="BF73" i="31"/>
  <c r="BD38" i="31"/>
  <c r="BM38" i="31"/>
  <c r="BM30" i="31"/>
  <c r="BD30" i="31"/>
  <c r="CJ24" i="31"/>
  <c r="BQ24" i="31"/>
  <c r="BF17" i="31"/>
  <c r="Z127" i="31"/>
  <c r="Z75" i="31"/>
  <c r="BE34" i="31"/>
  <c r="BF34" i="31"/>
  <c r="BF30" i="31"/>
  <c r="BD23" i="31"/>
  <c r="BM23" i="31"/>
  <c r="BF15" i="31"/>
  <c r="BL129" i="31"/>
  <c r="BC129" i="31"/>
  <c r="BD121" i="31"/>
  <c r="BM121" i="31"/>
  <c r="BQ117" i="31"/>
  <c r="CJ117" i="31"/>
  <c r="BK76" i="31"/>
  <c r="BN76" i="31" s="1"/>
  <c r="BD53" i="31"/>
  <c r="BM53" i="31"/>
  <c r="BF47" i="31"/>
  <c r="BD7" i="31"/>
  <c r="BM7" i="31"/>
  <c r="BD160" i="31"/>
  <c r="BM160" i="31"/>
  <c r="BF96" i="31"/>
  <c r="BE96" i="31"/>
  <c r="BN96" i="31"/>
  <c r="BD79" i="31"/>
  <c r="BM79" i="31"/>
  <c r="BD71" i="31"/>
  <c r="BM71" i="31"/>
  <c r="BD62" i="31"/>
  <c r="BM62" i="31"/>
  <c r="BM54" i="31"/>
  <c r="BD54" i="31"/>
  <c r="BD41" i="31"/>
  <c r="BM41" i="31"/>
  <c r="BE33" i="31"/>
  <c r="BN33" i="31"/>
  <c r="BF33" i="31"/>
  <c r="BM12" i="31"/>
  <c r="BD12" i="31"/>
  <c r="BF5" i="31"/>
  <c r="Z155" i="31"/>
  <c r="P155" i="31"/>
  <c r="V60" i="31"/>
  <c r="AA60" i="31" s="1"/>
  <c r="R100" i="31"/>
  <c r="R95" i="31"/>
  <c r="X68" i="31"/>
  <c r="R68" i="31"/>
  <c r="BN65" i="31"/>
  <c r="BM134" i="31"/>
  <c r="BK134" i="31"/>
  <c r="BN134" i="31" s="1"/>
  <c r="CJ72" i="31"/>
  <c r="BQ72" i="31"/>
  <c r="CJ87" i="31"/>
  <c r="BQ87" i="31"/>
  <c r="BN77" i="31"/>
  <c r="R159" i="31"/>
  <c r="X154" i="31"/>
  <c r="R154" i="31"/>
  <c r="R88" i="31"/>
  <c r="R90" i="31"/>
  <c r="R35" i="31"/>
  <c r="R137" i="31"/>
  <c r="R112" i="31"/>
  <c r="R58" i="31"/>
  <c r="R26" i="31"/>
  <c r="R59" i="31"/>
  <c r="W148" i="31" l="1"/>
  <c r="V113" i="31"/>
  <c r="AA113" i="31" s="1"/>
  <c r="V11" i="31"/>
  <c r="AA11" i="31" s="1"/>
  <c r="V140" i="31"/>
  <c r="AA140" i="31" s="1"/>
  <c r="V36" i="31"/>
  <c r="AA36" i="31" s="1"/>
  <c r="BL151" i="31"/>
  <c r="CH151" i="31" s="1"/>
  <c r="W28" i="31"/>
  <c r="W45" i="31"/>
  <c r="V6" i="31"/>
  <c r="AA6" i="31" s="1"/>
  <c r="CJ61" i="31"/>
  <c r="V142" i="31"/>
  <c r="AA142" i="31" s="1"/>
  <c r="BC137" i="31"/>
  <c r="W122" i="31"/>
  <c r="BL99" i="31"/>
  <c r="CH99" i="31" s="1"/>
  <c r="W138" i="31"/>
  <c r="V73" i="31"/>
  <c r="AA73" i="31" s="1"/>
  <c r="CJ104" i="31"/>
  <c r="W5" i="31"/>
  <c r="W102" i="31"/>
  <c r="W135" i="31"/>
  <c r="W123" i="31"/>
  <c r="W8" i="31"/>
  <c r="V42" i="31"/>
  <c r="AA42" i="31" s="1"/>
  <c r="W133" i="31"/>
  <c r="V24" i="31"/>
  <c r="AA24" i="31" s="1"/>
  <c r="BQ144" i="31"/>
  <c r="W127" i="31"/>
  <c r="BC149" i="31"/>
  <c r="BC92" i="31"/>
  <c r="V13" i="31"/>
  <c r="AA13" i="31" s="1"/>
  <c r="V111" i="31"/>
  <c r="AA111" i="31" s="1"/>
  <c r="W91" i="31"/>
  <c r="BL141" i="31"/>
  <c r="BO141" i="31" s="1"/>
  <c r="BP157" i="31"/>
  <c r="V129" i="31"/>
  <c r="AA129" i="31" s="1"/>
  <c r="BQ106" i="31"/>
  <c r="V119" i="31"/>
  <c r="AA119" i="31" s="1"/>
  <c r="W108" i="31"/>
  <c r="W33" i="31"/>
  <c r="W150" i="31"/>
  <c r="BP161" i="31"/>
  <c r="V117" i="31"/>
  <c r="AA117" i="31" s="1"/>
  <c r="BP159" i="31"/>
  <c r="W32" i="31"/>
  <c r="BC18" i="31"/>
  <c r="BL72" i="31"/>
  <c r="BO72" i="31" s="1"/>
  <c r="V83" i="31"/>
  <c r="AA83" i="31" s="1"/>
  <c r="W77" i="31"/>
  <c r="BL110" i="31"/>
  <c r="CH110" i="31" s="1"/>
  <c r="V98" i="31"/>
  <c r="AA98" i="31" s="1"/>
  <c r="W89" i="31"/>
  <c r="BL139" i="31"/>
  <c r="CH139" i="31" s="1"/>
  <c r="BQ141" i="31"/>
  <c r="CI133" i="31"/>
  <c r="W71" i="31"/>
  <c r="BL161" i="31"/>
  <c r="CH161" i="31" s="1"/>
  <c r="V16" i="31"/>
  <c r="AA16" i="31" s="1"/>
  <c r="V67" i="31"/>
  <c r="AA67" i="31" s="1"/>
  <c r="BQ18" i="31"/>
  <c r="V12" i="31"/>
  <c r="AA12" i="31" s="1"/>
  <c r="V22" i="31"/>
  <c r="AA22" i="31" s="1"/>
  <c r="V9" i="31"/>
  <c r="AA9" i="31" s="1"/>
  <c r="V118" i="31"/>
  <c r="AA118" i="31" s="1"/>
  <c r="BL134" i="31"/>
  <c r="CH134" i="31" s="1"/>
  <c r="W163" i="31"/>
  <c r="W39" i="31"/>
  <c r="CI129" i="31"/>
  <c r="W152" i="31"/>
  <c r="CJ28" i="31"/>
  <c r="CJ151" i="31"/>
  <c r="V64" i="31"/>
  <c r="AA64" i="31" s="1"/>
  <c r="V139" i="31"/>
  <c r="AA139" i="31" s="1"/>
  <c r="W57" i="31"/>
  <c r="W115" i="31"/>
  <c r="V151" i="31"/>
  <c r="AA151" i="31" s="1"/>
  <c r="W143" i="31"/>
  <c r="CJ38" i="31"/>
  <c r="BC145" i="31"/>
  <c r="W116" i="31"/>
  <c r="W46" i="31"/>
  <c r="V85" i="31"/>
  <c r="AA85" i="31" s="1"/>
  <c r="V82" i="31"/>
  <c r="AA82" i="31" s="1"/>
  <c r="BC148" i="31"/>
  <c r="V17" i="31"/>
  <c r="AA17" i="31" s="1"/>
  <c r="CJ149" i="31"/>
  <c r="W144" i="31"/>
  <c r="BL142" i="31"/>
  <c r="CH142" i="31" s="1"/>
  <c r="CJ137" i="31"/>
  <c r="V7" i="31"/>
  <c r="AA7" i="31" s="1"/>
  <c r="CJ119" i="31"/>
  <c r="V48" i="31"/>
  <c r="AA48" i="31" s="1"/>
  <c r="BQ129" i="31"/>
  <c r="W23" i="31"/>
  <c r="V23" i="31"/>
  <c r="AA23" i="31" s="1"/>
  <c r="W124" i="31"/>
  <c r="V124" i="31"/>
  <c r="AA124" i="31" s="1"/>
  <c r="BP151" i="31"/>
  <c r="W61" i="31"/>
  <c r="V52" i="31"/>
  <c r="AA52" i="31" s="1"/>
  <c r="W38" i="31"/>
  <c r="CJ107" i="31"/>
  <c r="V158" i="31"/>
  <c r="AA158" i="31" s="1"/>
  <c r="W19" i="31"/>
  <c r="V44" i="31"/>
  <c r="AA44" i="31" s="1"/>
  <c r="W162" i="31"/>
  <c r="W134" i="31"/>
  <c r="R160" i="31"/>
  <c r="V160" i="31" s="1"/>
  <c r="AA160" i="31" s="1"/>
  <c r="BM34" i="31"/>
  <c r="BP34" i="31" s="1"/>
  <c r="V31" i="31"/>
  <c r="AA31" i="31" s="1"/>
  <c r="W31" i="31"/>
  <c r="CJ114" i="31"/>
  <c r="BQ114" i="31"/>
  <c r="V29" i="31"/>
  <c r="AA29" i="31" s="1"/>
  <c r="BQ139" i="31"/>
  <c r="CJ139" i="31"/>
  <c r="W147" i="31"/>
  <c r="V147" i="31"/>
  <c r="AA147" i="31" s="1"/>
  <c r="V14" i="31"/>
  <c r="AA14" i="31" s="1"/>
  <c r="W14" i="31"/>
  <c r="V49" i="31"/>
  <c r="AA49" i="31" s="1"/>
  <c r="W49" i="31"/>
  <c r="W10" i="31"/>
  <c r="V10" i="31"/>
  <c r="AA10" i="31" s="1"/>
  <c r="P176" i="31"/>
  <c r="Z176" i="31"/>
  <c r="BE176" i="31"/>
  <c r="V86" i="31"/>
  <c r="AA86" i="31" s="1"/>
  <c r="W86" i="31"/>
  <c r="W107" i="31"/>
  <c r="V107" i="31"/>
  <c r="AA107" i="31" s="1"/>
  <c r="BM136" i="31"/>
  <c r="BP136" i="31" s="1"/>
  <c r="BQ76" i="31"/>
  <c r="CJ76" i="31"/>
  <c r="BQ97" i="31"/>
  <c r="CJ97" i="31"/>
  <c r="BQ80" i="31"/>
  <c r="CJ80" i="31"/>
  <c r="BQ74" i="31"/>
  <c r="CJ74" i="31"/>
  <c r="BQ156" i="31"/>
  <c r="CJ156" i="31"/>
  <c r="V35" i="31"/>
  <c r="AA35" i="31" s="1"/>
  <c r="W35" i="31"/>
  <c r="BL34" i="31"/>
  <c r="BC34" i="31"/>
  <c r="BC17" i="31"/>
  <c r="BL17" i="31"/>
  <c r="CI30" i="31"/>
  <c r="BP30" i="31"/>
  <c r="CJ86" i="31"/>
  <c r="BQ86" i="31"/>
  <c r="CH23" i="31"/>
  <c r="BO23" i="31"/>
  <c r="W161" i="31"/>
  <c r="V161" i="31"/>
  <c r="AA161" i="31" s="1"/>
  <c r="BQ10" i="31"/>
  <c r="CJ10" i="31"/>
  <c r="CI22" i="31"/>
  <c r="BP22" i="31"/>
  <c r="BL162" i="31"/>
  <c r="BC162" i="31"/>
  <c r="CI91" i="31"/>
  <c r="BP91" i="31"/>
  <c r="BP10" i="31"/>
  <c r="CI10" i="31"/>
  <c r="BL143" i="31"/>
  <c r="BC143" i="31"/>
  <c r="CI31" i="31"/>
  <c r="BP31" i="31"/>
  <c r="BP46" i="31"/>
  <c r="CI46" i="31"/>
  <c r="CI64" i="31"/>
  <c r="BP64" i="31"/>
  <c r="CI81" i="31"/>
  <c r="BP81" i="31"/>
  <c r="CH102" i="31"/>
  <c r="BO102" i="31"/>
  <c r="BC74" i="31"/>
  <c r="BL74" i="31"/>
  <c r="W146" i="31"/>
  <c r="V146" i="31"/>
  <c r="AA146" i="31" s="1"/>
  <c r="BQ100" i="31"/>
  <c r="CJ100" i="31"/>
  <c r="V121" i="31"/>
  <c r="AA121" i="31" s="1"/>
  <c r="W121" i="31"/>
  <c r="BQ50" i="31"/>
  <c r="CJ50" i="31"/>
  <c r="BP148" i="31"/>
  <c r="CI148" i="31"/>
  <c r="BK140" i="31"/>
  <c r="BN140" i="31" s="1"/>
  <c r="BM140" i="31"/>
  <c r="BP50" i="31"/>
  <c r="CI50" i="31"/>
  <c r="CH120" i="31"/>
  <c r="BO120" i="31"/>
  <c r="BO31" i="31"/>
  <c r="CH31" i="31"/>
  <c r="CH111" i="31"/>
  <c r="BO111" i="31"/>
  <c r="CH123" i="31"/>
  <c r="BO123" i="31"/>
  <c r="CH25" i="31"/>
  <c r="BO25" i="31"/>
  <c r="CH109" i="31"/>
  <c r="BO109" i="31"/>
  <c r="CH128" i="31"/>
  <c r="BO128" i="31"/>
  <c r="BO18" i="31"/>
  <c r="CH18" i="31"/>
  <c r="CH38" i="31"/>
  <c r="BO38" i="31"/>
  <c r="CH9" i="31"/>
  <c r="BO9" i="31"/>
  <c r="CH116" i="31"/>
  <c r="BO116" i="31"/>
  <c r="V100" i="31"/>
  <c r="AA100" i="31" s="1"/>
  <c r="W100" i="31"/>
  <c r="BC33" i="31"/>
  <c r="BL33" i="31"/>
  <c r="BL47" i="31"/>
  <c r="BC47" i="31"/>
  <c r="CI23" i="31"/>
  <c r="BP23" i="31"/>
  <c r="BP155" i="31"/>
  <c r="CI155" i="31"/>
  <c r="BC113" i="31"/>
  <c r="BL113" i="31"/>
  <c r="CH149" i="31"/>
  <c r="BO149" i="31"/>
  <c r="CI96" i="31"/>
  <c r="BP96" i="31"/>
  <c r="BM40" i="31"/>
  <c r="V75" i="31"/>
  <c r="AA75" i="31" s="1"/>
  <c r="W75" i="31"/>
  <c r="V92" i="31"/>
  <c r="AA92" i="31" s="1"/>
  <c r="W92" i="31"/>
  <c r="BC153" i="31"/>
  <c r="BL153" i="31"/>
  <c r="BP57" i="31"/>
  <c r="CI57" i="31"/>
  <c r="BC52" i="31"/>
  <c r="BL52" i="31"/>
  <c r="CI90" i="31"/>
  <c r="BP90" i="31"/>
  <c r="CH121" i="31"/>
  <c r="BO121" i="31"/>
  <c r="BL10" i="31"/>
  <c r="BC10" i="31"/>
  <c r="V54" i="31"/>
  <c r="AA54" i="31" s="1"/>
  <c r="W54" i="31"/>
  <c r="W34" i="31"/>
  <c r="V34" i="31"/>
  <c r="AA34" i="31" s="1"/>
  <c r="BP163" i="31"/>
  <c r="CI163" i="31"/>
  <c r="BL41" i="31"/>
  <c r="BC41" i="31"/>
  <c r="BP165" i="31"/>
  <c r="CI165" i="31"/>
  <c r="V112" i="31"/>
  <c r="AA112" i="31" s="1"/>
  <c r="W112" i="31"/>
  <c r="W68" i="31"/>
  <c r="V68" i="31"/>
  <c r="AA68" i="31" s="1"/>
  <c r="BL5" i="31"/>
  <c r="BF176" i="31"/>
  <c r="BC5" i="31"/>
  <c r="CJ33" i="31"/>
  <c r="BQ33" i="31"/>
  <c r="CI71" i="31"/>
  <c r="BP71" i="31"/>
  <c r="BQ96" i="31"/>
  <c r="CJ96" i="31"/>
  <c r="CI53" i="31"/>
  <c r="BP53" i="31"/>
  <c r="W51" i="31"/>
  <c r="V51" i="31"/>
  <c r="AA51" i="31" s="1"/>
  <c r="BP147" i="31"/>
  <c r="CI147" i="31"/>
  <c r="CJ90" i="31"/>
  <c r="BQ90" i="31"/>
  <c r="V153" i="31"/>
  <c r="AA153" i="31" s="1"/>
  <c r="W153" i="31"/>
  <c r="BC104" i="31"/>
  <c r="BL104" i="31"/>
  <c r="CI68" i="31"/>
  <c r="BP68" i="31"/>
  <c r="CI144" i="31"/>
  <c r="BP144" i="31"/>
  <c r="CI69" i="31"/>
  <c r="BP69" i="31"/>
  <c r="CI99" i="31"/>
  <c r="BP99" i="31"/>
  <c r="W65" i="31"/>
  <c r="V65" i="31"/>
  <c r="AA65" i="31" s="1"/>
  <c r="V132" i="31"/>
  <c r="AA132" i="31" s="1"/>
  <c r="W132" i="31"/>
  <c r="BL26" i="31"/>
  <c r="BC26" i="31"/>
  <c r="CI66" i="31"/>
  <c r="BP66" i="31"/>
  <c r="BC100" i="31"/>
  <c r="BL100" i="31"/>
  <c r="BC20" i="31"/>
  <c r="BL20" i="31"/>
  <c r="CI34" i="31"/>
  <c r="V97" i="31"/>
  <c r="AA97" i="31" s="1"/>
  <c r="W97" i="31"/>
  <c r="V55" i="31"/>
  <c r="AA55" i="31" s="1"/>
  <c r="W55" i="31"/>
  <c r="CH144" i="31"/>
  <c r="BO144" i="31"/>
  <c r="BC88" i="31"/>
  <c r="BL88" i="31"/>
  <c r="BC126" i="31"/>
  <c r="BL126" i="31"/>
  <c r="BL58" i="31"/>
  <c r="BC58" i="31"/>
  <c r="W87" i="31"/>
  <c r="V87" i="31"/>
  <c r="AA87" i="31" s="1"/>
  <c r="BQ98" i="31"/>
  <c r="CJ98" i="31"/>
  <c r="CH13" i="31"/>
  <c r="BO13" i="31"/>
  <c r="BO19" i="31"/>
  <c r="CH19" i="31"/>
  <c r="BP105" i="31"/>
  <c r="CI105" i="31"/>
  <c r="BO21" i="31"/>
  <c r="CH21" i="31"/>
  <c r="BP33" i="31"/>
  <c r="CI33" i="31"/>
  <c r="CI100" i="31"/>
  <c r="BP100" i="31"/>
  <c r="BO44" i="31"/>
  <c r="CH44" i="31"/>
  <c r="CI70" i="31"/>
  <c r="BP70" i="31"/>
  <c r="BC42" i="31"/>
  <c r="BL42" i="31"/>
  <c r="V43" i="31"/>
  <c r="AA43" i="31" s="1"/>
  <c r="W43" i="31"/>
  <c r="BQ57" i="31"/>
  <c r="CJ57" i="31"/>
  <c r="V103" i="31"/>
  <c r="AA103" i="31" s="1"/>
  <c r="W103" i="31"/>
  <c r="CI43" i="31"/>
  <c r="BP43" i="31"/>
  <c r="BC80" i="31"/>
  <c r="BL80" i="31"/>
  <c r="CH27" i="31"/>
  <c r="BO27" i="31"/>
  <c r="BP139" i="31"/>
  <c r="CI139" i="31"/>
  <c r="V149" i="31"/>
  <c r="AA149" i="31" s="1"/>
  <c r="W149" i="31"/>
  <c r="CJ49" i="31"/>
  <c r="BQ49" i="31"/>
  <c r="CI35" i="31"/>
  <c r="BP35" i="31"/>
  <c r="BL138" i="31"/>
  <c r="BC138" i="31"/>
  <c r="BM39" i="31"/>
  <c r="V114" i="31"/>
  <c r="AA114" i="31" s="1"/>
  <c r="W114" i="31"/>
  <c r="BO43" i="31"/>
  <c r="CH43" i="31"/>
  <c r="BP60" i="31"/>
  <c r="CI60" i="31"/>
  <c r="CI5" i="31"/>
  <c r="BP5" i="31"/>
  <c r="BQ70" i="31"/>
  <c r="CJ70" i="31"/>
  <c r="CI32" i="31"/>
  <c r="BP32" i="31"/>
  <c r="CH145" i="31"/>
  <c r="BO145" i="31"/>
  <c r="CI118" i="31"/>
  <c r="BP118" i="31"/>
  <c r="CI37" i="31"/>
  <c r="BP37" i="31"/>
  <c r="CI104" i="31"/>
  <c r="BP104" i="31"/>
  <c r="CH8" i="31"/>
  <c r="BO8" i="31"/>
  <c r="BO46" i="31"/>
  <c r="CH46" i="31"/>
  <c r="CH147" i="31"/>
  <c r="BO147" i="31"/>
  <c r="BO133" i="31"/>
  <c r="CH133" i="31"/>
  <c r="BO85" i="31"/>
  <c r="CH85" i="31"/>
  <c r="CH159" i="31"/>
  <c r="BO159" i="31"/>
  <c r="V58" i="31"/>
  <c r="AA58" i="31" s="1"/>
  <c r="W58" i="31"/>
  <c r="BQ65" i="31"/>
  <c r="CJ65" i="31"/>
  <c r="BP160" i="31"/>
  <c r="CI160" i="31"/>
  <c r="CI121" i="31"/>
  <c r="BP121" i="31"/>
  <c r="BQ40" i="31"/>
  <c r="CJ40" i="31"/>
  <c r="CI106" i="31"/>
  <c r="BP106" i="31"/>
  <c r="BC122" i="31"/>
  <c r="BL122" i="31"/>
  <c r="V93" i="31"/>
  <c r="AA93" i="31" s="1"/>
  <c r="W93" i="31"/>
  <c r="V109" i="31"/>
  <c r="AA109" i="31" s="1"/>
  <c r="W109" i="31"/>
  <c r="V155" i="31"/>
  <c r="AA155" i="31" s="1"/>
  <c r="W155" i="31"/>
  <c r="CI115" i="31"/>
  <c r="BP115" i="31"/>
  <c r="BC118" i="31"/>
  <c r="BL118" i="31"/>
  <c r="BL154" i="31"/>
  <c r="BC154" i="31"/>
  <c r="BL105" i="31"/>
  <c r="BC105" i="31"/>
  <c r="W80" i="31"/>
  <c r="V80" i="31"/>
  <c r="AA80" i="31" s="1"/>
  <c r="CI13" i="31"/>
  <c r="BP13" i="31"/>
  <c r="BO95" i="31"/>
  <c r="CH95" i="31"/>
  <c r="CI17" i="31"/>
  <c r="BP17" i="31"/>
  <c r="BP77" i="31"/>
  <c r="CI77" i="31"/>
  <c r="V90" i="31"/>
  <c r="AA90" i="31" s="1"/>
  <c r="W90" i="31"/>
  <c r="CI38" i="31"/>
  <c r="BP38" i="31"/>
  <c r="BL81" i="31"/>
  <c r="BC81" i="31"/>
  <c r="BC107" i="31"/>
  <c r="BL107" i="31"/>
  <c r="CI111" i="31"/>
  <c r="BP111" i="31"/>
  <c r="CI85" i="31"/>
  <c r="BP85" i="31"/>
  <c r="BC106" i="31"/>
  <c r="BL106" i="31"/>
  <c r="CI52" i="31"/>
  <c r="BP52" i="31"/>
  <c r="BM76" i="31"/>
  <c r="W62" i="31"/>
  <c r="V62" i="31"/>
  <c r="AA62" i="31" s="1"/>
  <c r="V145" i="31"/>
  <c r="AA145" i="31" s="1"/>
  <c r="W145" i="31"/>
  <c r="V56" i="31"/>
  <c r="AA56" i="31" s="1"/>
  <c r="W56" i="31"/>
  <c r="BQ79" i="31"/>
  <c r="CJ79" i="31"/>
  <c r="W84" i="31"/>
  <c r="V84" i="31"/>
  <c r="AA84" i="31" s="1"/>
  <c r="BL127" i="31"/>
  <c r="BC127" i="31"/>
  <c r="BO66" i="31"/>
  <c r="CH66" i="31"/>
  <c r="CJ63" i="31"/>
  <c r="BQ63" i="31"/>
  <c r="CI123" i="31"/>
  <c r="BP123" i="31"/>
  <c r="CH32" i="31"/>
  <c r="BO32" i="31"/>
  <c r="CH12" i="31"/>
  <c r="BO12" i="31"/>
  <c r="BQ75" i="31"/>
  <c r="CJ75" i="31"/>
  <c r="CJ93" i="31"/>
  <c r="BQ93" i="31"/>
  <c r="BM146" i="31"/>
  <c r="BK146" i="31"/>
  <c r="BN146" i="31" s="1"/>
  <c r="BP63" i="31"/>
  <c r="CI63" i="31"/>
  <c r="CI122" i="31"/>
  <c r="BP122" i="31"/>
  <c r="CI116" i="31"/>
  <c r="BP116" i="31"/>
  <c r="W69" i="31"/>
  <c r="V69" i="31"/>
  <c r="AA69" i="31" s="1"/>
  <c r="W59" i="31"/>
  <c r="V59" i="31"/>
  <c r="AA59" i="31" s="1"/>
  <c r="V137" i="31"/>
  <c r="AA137" i="31" s="1"/>
  <c r="W137" i="31"/>
  <c r="W88" i="31"/>
  <c r="V88" i="31"/>
  <c r="AA88" i="31" s="1"/>
  <c r="BQ134" i="31"/>
  <c r="CJ134" i="31"/>
  <c r="BP54" i="31"/>
  <c r="CI54" i="31"/>
  <c r="BP7" i="31"/>
  <c r="CI7" i="31"/>
  <c r="BM162" i="31"/>
  <c r="BK162" i="31"/>
  <c r="BN162" i="31" s="1"/>
  <c r="BC30" i="31"/>
  <c r="BL30" i="31"/>
  <c r="W81" i="31"/>
  <c r="V81" i="31"/>
  <c r="AA81" i="31" s="1"/>
  <c r="BL155" i="31"/>
  <c r="BC155" i="31"/>
  <c r="BL69" i="31"/>
  <c r="BC69" i="31"/>
  <c r="BO84" i="31"/>
  <c r="CH84" i="31"/>
  <c r="BQ62" i="31"/>
  <c r="CJ62" i="31"/>
  <c r="CH91" i="31"/>
  <c r="BO91" i="31"/>
  <c r="CI18" i="31"/>
  <c r="BP18" i="31"/>
  <c r="CI135" i="31"/>
  <c r="BP135" i="31"/>
  <c r="CH141" i="31"/>
  <c r="CJ48" i="31"/>
  <c r="BQ48" i="31"/>
  <c r="CH125" i="31"/>
  <c r="BO125" i="31"/>
  <c r="BO6" i="31"/>
  <c r="CH6" i="31"/>
  <c r="BC90" i="31"/>
  <c r="BL90" i="31"/>
  <c r="BC64" i="31"/>
  <c r="BL64" i="31"/>
  <c r="V30" i="31"/>
  <c r="AA30" i="31" s="1"/>
  <c r="W30" i="31"/>
  <c r="BQ150" i="31"/>
  <c r="CJ150" i="31"/>
  <c r="V141" i="31"/>
  <c r="AA141" i="31" s="1"/>
  <c r="W141" i="31"/>
  <c r="CJ101" i="31"/>
  <c r="BQ101" i="31"/>
  <c r="CI141" i="31"/>
  <c r="BP141" i="31"/>
  <c r="AA5" i="31"/>
  <c r="V125" i="31"/>
  <c r="AA125" i="31" s="1"/>
  <c r="W125" i="31"/>
  <c r="BL40" i="31"/>
  <c r="BC40" i="31"/>
  <c r="BP102" i="31"/>
  <c r="CI102" i="31"/>
  <c r="CH114" i="31"/>
  <c r="BO114" i="31"/>
  <c r="BM42" i="31"/>
  <c r="CI9" i="31"/>
  <c r="BP9" i="31"/>
  <c r="BQ55" i="31"/>
  <c r="CJ55" i="31"/>
  <c r="BL63" i="31"/>
  <c r="BC63" i="31"/>
  <c r="CJ82" i="31"/>
  <c r="BQ82" i="31"/>
  <c r="BP36" i="31"/>
  <c r="CI36" i="31"/>
  <c r="BL75" i="31"/>
  <c r="BC75" i="31"/>
  <c r="CI55" i="31"/>
  <c r="BP55" i="31"/>
  <c r="BC93" i="31"/>
  <c r="BL93" i="31"/>
  <c r="BC86" i="31"/>
  <c r="BL86" i="31"/>
  <c r="BO51" i="31"/>
  <c r="CH51" i="31"/>
  <c r="W74" i="31"/>
  <c r="V74" i="31"/>
  <c r="AA74" i="31" s="1"/>
  <c r="CJ158" i="31"/>
  <c r="BQ158" i="31"/>
  <c r="V126" i="31"/>
  <c r="AA126" i="31" s="1"/>
  <c r="W126" i="31"/>
  <c r="BC29" i="31"/>
  <c r="BL29" i="31"/>
  <c r="CI51" i="31"/>
  <c r="BP51" i="31"/>
  <c r="CI92" i="31"/>
  <c r="BP92" i="31"/>
  <c r="CI14" i="31"/>
  <c r="BP14" i="31"/>
  <c r="CI11" i="31"/>
  <c r="BP11" i="31"/>
  <c r="BQ20" i="31"/>
  <c r="CJ20" i="31"/>
  <c r="CI20" i="31"/>
  <c r="BP20" i="31"/>
  <c r="BP107" i="31"/>
  <c r="CI107" i="31"/>
  <c r="CI65" i="31"/>
  <c r="BP65" i="31"/>
  <c r="CI49" i="31"/>
  <c r="BP49" i="31"/>
  <c r="BQ58" i="31"/>
  <c r="CJ58" i="31"/>
  <c r="BC98" i="31"/>
  <c r="BL98" i="31"/>
  <c r="CI16" i="31"/>
  <c r="BP16" i="31"/>
  <c r="BQ52" i="31"/>
  <c r="CJ52" i="31"/>
  <c r="BQ78" i="31"/>
  <c r="CJ78" i="31"/>
  <c r="CI28" i="31"/>
  <c r="BP28" i="31"/>
  <c r="BM97" i="31"/>
  <c r="CI113" i="31"/>
  <c r="BP113" i="31"/>
  <c r="CI83" i="31"/>
  <c r="BP83" i="31"/>
  <c r="BP108" i="31"/>
  <c r="CI108" i="31"/>
  <c r="W79" i="31"/>
  <c r="V79" i="31"/>
  <c r="AA79" i="31" s="1"/>
  <c r="V53" i="31"/>
  <c r="AA53" i="31" s="1"/>
  <c r="W53" i="31"/>
  <c r="BJ176" i="31"/>
  <c r="V164" i="31"/>
  <c r="AA164" i="31" s="1"/>
  <c r="W164" i="31"/>
  <c r="BC57" i="31"/>
  <c r="BL57" i="31"/>
  <c r="BC97" i="31"/>
  <c r="BL97" i="31"/>
  <c r="BP6" i="31"/>
  <c r="CI6" i="31"/>
  <c r="CI103" i="31"/>
  <c r="BP103" i="31"/>
  <c r="V131" i="31"/>
  <c r="AA131" i="31" s="1"/>
  <c r="W131" i="31"/>
  <c r="BQ142" i="31"/>
  <c r="CJ142" i="31"/>
  <c r="CI45" i="31"/>
  <c r="BP45" i="31"/>
  <c r="BQ136" i="31"/>
  <c r="CJ136" i="31"/>
  <c r="BO14" i="31"/>
  <c r="CH14" i="31"/>
  <c r="BC39" i="31"/>
  <c r="BL39" i="31"/>
  <c r="BC53" i="31"/>
  <c r="BL53" i="31"/>
  <c r="BC87" i="31"/>
  <c r="BL87" i="31"/>
  <c r="BC70" i="31"/>
  <c r="BL70" i="31"/>
  <c r="CI119" i="31"/>
  <c r="BP119" i="31"/>
  <c r="BM93" i="31"/>
  <c r="CH160" i="31"/>
  <c r="BO160" i="31"/>
  <c r="CH157" i="31"/>
  <c r="BO157" i="31"/>
  <c r="BP59" i="31"/>
  <c r="CI59" i="31"/>
  <c r="CH124" i="31"/>
  <c r="BO124" i="31"/>
  <c r="X18" i="31"/>
  <c r="X176" i="31" s="1"/>
  <c r="R18" i="31"/>
  <c r="BP117" i="31"/>
  <c r="CI117" i="31"/>
  <c r="CI112" i="31"/>
  <c r="BP112" i="31"/>
  <c r="CH89" i="31"/>
  <c r="BO89" i="31"/>
  <c r="BO16" i="31"/>
  <c r="CH16" i="31"/>
  <c r="V136" i="31"/>
  <c r="AA136" i="31" s="1"/>
  <c r="W136" i="31"/>
  <c r="CH7" i="31"/>
  <c r="BO7" i="31"/>
  <c r="W50" i="31"/>
  <c r="V50" i="31"/>
  <c r="AA50" i="31" s="1"/>
  <c r="BM154" i="31"/>
  <c r="BK154" i="31"/>
  <c r="BN154" i="31" s="1"/>
  <c r="BL112" i="31"/>
  <c r="BC112" i="31"/>
  <c r="CI47" i="31"/>
  <c r="BP47" i="31"/>
  <c r="BL130" i="31"/>
  <c r="BC130" i="31"/>
  <c r="BL146" i="31"/>
  <c r="BC146" i="31"/>
  <c r="BL60" i="31"/>
  <c r="BC60" i="31"/>
  <c r="V37" i="31"/>
  <c r="AA37" i="31" s="1"/>
  <c r="W37" i="31"/>
  <c r="W63" i="31"/>
  <c r="V63" i="31"/>
  <c r="AA63" i="31" s="1"/>
  <c r="V27" i="31"/>
  <c r="AA27" i="31" s="1"/>
  <c r="W27" i="31"/>
  <c r="CI75" i="31"/>
  <c r="BP75" i="31"/>
  <c r="BL164" i="31"/>
  <c r="BC164" i="31"/>
  <c r="CI125" i="31"/>
  <c r="BP125" i="31"/>
  <c r="BP84" i="31"/>
  <c r="CI84" i="31"/>
  <c r="CI72" i="31"/>
  <c r="BP72" i="31"/>
  <c r="W110" i="31"/>
  <c r="V110" i="31"/>
  <c r="AA110" i="31" s="1"/>
  <c r="BQ71" i="31"/>
  <c r="CJ71" i="31"/>
  <c r="CH103" i="31"/>
  <c r="BO103" i="31"/>
  <c r="BC79" i="31"/>
  <c r="BL79" i="31"/>
  <c r="V154" i="31"/>
  <c r="AA154" i="31" s="1"/>
  <c r="W154" i="31"/>
  <c r="BQ77" i="31"/>
  <c r="CJ77" i="31"/>
  <c r="V120" i="31"/>
  <c r="AA120" i="31" s="1"/>
  <c r="W120" i="31"/>
  <c r="BL54" i="31"/>
  <c r="BC54" i="31"/>
  <c r="CI120" i="31"/>
  <c r="BP120" i="31"/>
  <c r="BL136" i="31"/>
  <c r="BC136" i="31"/>
  <c r="CI24" i="31"/>
  <c r="BP24" i="31"/>
  <c r="CI8" i="31"/>
  <c r="BP8" i="31"/>
  <c r="BC94" i="31"/>
  <c r="BL94" i="31"/>
  <c r="BP152" i="31"/>
  <c r="CI152" i="31"/>
  <c r="BL48" i="31"/>
  <c r="BC48" i="31"/>
  <c r="V26" i="31"/>
  <c r="AA26" i="31" s="1"/>
  <c r="W26" i="31"/>
  <c r="S176" i="31"/>
  <c r="W159" i="31"/>
  <c r="V159" i="31"/>
  <c r="AA159" i="31" s="1"/>
  <c r="CI134" i="31"/>
  <c r="BP134" i="31"/>
  <c r="V95" i="31"/>
  <c r="AA95" i="31" s="1"/>
  <c r="W95" i="31"/>
  <c r="CI12" i="31"/>
  <c r="BP12" i="31"/>
  <c r="CI41" i="31"/>
  <c r="BP41" i="31"/>
  <c r="BP62" i="31"/>
  <c r="CI62" i="31"/>
  <c r="CI79" i="31"/>
  <c r="BP79" i="31"/>
  <c r="BC96" i="31"/>
  <c r="BL96" i="31"/>
  <c r="CH129" i="31"/>
  <c r="BO129" i="31"/>
  <c r="BC15" i="31"/>
  <c r="BL15" i="31"/>
  <c r="BQ34" i="31"/>
  <c r="CJ34" i="31"/>
  <c r="BC73" i="31"/>
  <c r="BL73" i="31"/>
  <c r="CI88" i="31"/>
  <c r="BP88" i="31"/>
  <c r="V101" i="31"/>
  <c r="AA101" i="31" s="1"/>
  <c r="W101" i="31"/>
  <c r="BL119" i="31"/>
  <c r="BC119" i="31"/>
  <c r="CI61" i="31"/>
  <c r="BP61" i="31"/>
  <c r="BQ69" i="31"/>
  <c r="CJ69" i="31"/>
  <c r="CI114" i="31"/>
  <c r="BP114" i="31"/>
  <c r="BL62" i="31"/>
  <c r="BC62" i="31"/>
  <c r="BP128" i="31"/>
  <c r="CI128" i="31"/>
  <c r="V99" i="31"/>
  <c r="AA99" i="31" s="1"/>
  <c r="W99" i="31"/>
  <c r="CH35" i="31"/>
  <c r="BO35" i="31"/>
  <c r="CI94" i="31"/>
  <c r="BP94" i="31"/>
  <c r="CH163" i="31"/>
  <c r="BO163" i="31"/>
  <c r="CI86" i="31"/>
  <c r="BP86" i="31"/>
  <c r="BP109" i="31"/>
  <c r="CI109" i="31"/>
  <c r="CI132" i="31"/>
  <c r="BP132" i="31"/>
  <c r="CH150" i="31"/>
  <c r="BO150" i="31"/>
  <c r="BM74" i="31"/>
  <c r="V94" i="31"/>
  <c r="AA94" i="31" s="1"/>
  <c r="W94" i="31"/>
  <c r="CI150" i="31"/>
  <c r="BP150" i="31"/>
  <c r="V157" i="31"/>
  <c r="AA157" i="31" s="1"/>
  <c r="W157" i="31"/>
  <c r="W96" i="31"/>
  <c r="V96" i="31"/>
  <c r="AA96" i="31" s="1"/>
  <c r="BQ164" i="31"/>
  <c r="CJ164" i="31"/>
  <c r="BC61" i="31"/>
  <c r="BL61" i="31"/>
  <c r="BC76" i="31"/>
  <c r="BL76" i="31"/>
  <c r="CH137" i="31"/>
  <c r="BO137" i="31"/>
  <c r="BL101" i="31"/>
  <c r="BC101" i="31"/>
  <c r="CH92" i="31"/>
  <c r="BO92" i="31"/>
  <c r="BC115" i="31"/>
  <c r="BL115" i="31"/>
  <c r="BC28" i="31"/>
  <c r="BL28" i="31"/>
  <c r="BC49" i="31"/>
  <c r="BL49" i="31"/>
  <c r="CH11" i="31"/>
  <c r="BO11" i="31"/>
  <c r="BQ39" i="31"/>
  <c r="CJ39" i="31"/>
  <c r="CI56" i="31"/>
  <c r="BP56" i="31"/>
  <c r="BP73" i="31"/>
  <c r="CI73" i="31"/>
  <c r="BO45" i="31"/>
  <c r="CH45" i="31"/>
  <c r="BL55" i="31"/>
  <c r="BC55" i="31"/>
  <c r="BC82" i="31"/>
  <c r="BL82" i="31"/>
  <c r="BC131" i="31"/>
  <c r="BL131" i="31"/>
  <c r="CI15" i="31"/>
  <c r="BP15" i="31"/>
  <c r="BP25" i="31"/>
  <c r="CI25" i="31"/>
  <c r="BP67" i="31"/>
  <c r="CI67" i="31"/>
  <c r="BC108" i="31"/>
  <c r="BL108" i="31"/>
  <c r="CJ42" i="31"/>
  <c r="BQ42" i="31"/>
  <c r="W15" i="31"/>
  <c r="V15" i="31"/>
  <c r="AA15" i="31" s="1"/>
  <c r="BQ56" i="31"/>
  <c r="CJ56" i="31"/>
  <c r="W47" i="31"/>
  <c r="V47" i="31"/>
  <c r="AA47" i="31" s="1"/>
  <c r="V106" i="31"/>
  <c r="AA106" i="31" s="1"/>
  <c r="W106" i="31"/>
  <c r="W165" i="31"/>
  <c r="V165" i="31"/>
  <c r="AA165" i="31" s="1"/>
  <c r="BP158" i="31"/>
  <c r="CI158" i="31"/>
  <c r="V66" i="31"/>
  <c r="AA66" i="31" s="1"/>
  <c r="W66" i="31"/>
  <c r="BC37" i="31"/>
  <c r="BL37" i="31"/>
  <c r="BP58" i="31"/>
  <c r="CI58" i="31"/>
  <c r="BM156" i="31"/>
  <c r="BC117" i="31"/>
  <c r="BL117" i="31"/>
  <c r="BC77" i="31"/>
  <c r="BL77" i="31"/>
  <c r="W76" i="31"/>
  <c r="V76" i="31"/>
  <c r="AA76" i="31" s="1"/>
  <c r="CI19" i="31"/>
  <c r="BP19" i="31"/>
  <c r="CI89" i="31"/>
  <c r="BP89" i="31"/>
  <c r="BM138" i="31"/>
  <c r="BK138" i="31"/>
  <c r="BN138" i="31" s="1"/>
  <c r="BM80" i="31"/>
  <c r="CI110" i="31"/>
  <c r="BP110" i="31"/>
  <c r="CI124" i="31"/>
  <c r="BP124" i="31"/>
  <c r="W78" i="31"/>
  <c r="V78" i="31"/>
  <c r="AA78" i="31" s="1"/>
  <c r="BC59" i="31"/>
  <c r="BL59" i="31"/>
  <c r="BM164" i="31"/>
  <c r="CI21" i="31"/>
  <c r="BP21" i="31"/>
  <c r="BP131" i="31"/>
  <c r="CI131" i="31"/>
  <c r="BC83" i="31"/>
  <c r="BL83" i="31"/>
  <c r="BL156" i="31"/>
  <c r="BC156" i="31"/>
  <c r="V104" i="31"/>
  <c r="AA104" i="31" s="1"/>
  <c r="W104" i="31"/>
  <c r="CI26" i="31"/>
  <c r="BP26" i="31"/>
  <c r="BO67" i="31"/>
  <c r="CH67" i="31"/>
  <c r="BM78" i="31"/>
  <c r="CH152" i="31"/>
  <c r="BO152" i="31"/>
  <c r="W21" i="31"/>
  <c r="V21" i="31"/>
  <c r="AA21" i="31" s="1"/>
  <c r="W105" i="31"/>
  <c r="V105" i="31"/>
  <c r="AA105" i="31" s="1"/>
  <c r="V41" i="31"/>
  <c r="AA41" i="31" s="1"/>
  <c r="W41" i="31"/>
  <c r="V156" i="31"/>
  <c r="AA156" i="31" s="1"/>
  <c r="W156" i="31"/>
  <c r="V72" i="31"/>
  <c r="AA72" i="31" s="1"/>
  <c r="W72" i="31"/>
  <c r="BL50" i="31"/>
  <c r="BC50" i="31"/>
  <c r="BL65" i="31"/>
  <c r="BC65" i="31"/>
  <c r="BP145" i="31"/>
  <c r="CI145" i="31"/>
  <c r="BP142" i="31"/>
  <c r="CI142" i="31"/>
  <c r="BP98" i="31"/>
  <c r="CI98" i="31"/>
  <c r="CH148" i="31"/>
  <c r="BO148" i="31"/>
  <c r="BC68" i="31"/>
  <c r="BL68" i="31"/>
  <c r="BD176" i="31"/>
  <c r="BL78" i="31"/>
  <c r="BC78" i="31"/>
  <c r="BP127" i="31"/>
  <c r="CI127" i="31"/>
  <c r="CH22" i="31"/>
  <c r="BO22" i="31"/>
  <c r="BQ41" i="31"/>
  <c r="CJ41" i="31"/>
  <c r="BC71" i="31"/>
  <c r="BL71" i="31"/>
  <c r="W130" i="31"/>
  <c r="V130" i="31"/>
  <c r="AA130" i="31" s="1"/>
  <c r="CI126" i="31"/>
  <c r="BP126" i="31"/>
  <c r="BL140" i="31"/>
  <c r="BC140" i="31"/>
  <c r="BP29" i="31"/>
  <c r="CI29" i="31"/>
  <c r="CI87" i="31"/>
  <c r="BP87" i="31"/>
  <c r="BP82" i="31"/>
  <c r="CI82" i="31"/>
  <c r="BL56" i="31"/>
  <c r="BC56" i="31"/>
  <c r="BM130" i="31"/>
  <c r="BK130" i="31"/>
  <c r="CH165" i="31"/>
  <c r="BO165" i="31"/>
  <c r="CH24" i="31"/>
  <c r="BO24" i="31"/>
  <c r="CH158" i="31"/>
  <c r="BO158" i="31"/>
  <c r="CH135" i="31"/>
  <c r="BO135" i="31"/>
  <c r="CH36" i="31"/>
  <c r="BO36" i="31"/>
  <c r="CH132" i="31"/>
  <c r="BO132" i="31"/>
  <c r="BO99" i="31" l="1"/>
  <c r="BO151" i="31"/>
  <c r="BO161" i="31"/>
  <c r="BO139" i="31"/>
  <c r="CH72" i="31"/>
  <c r="CI136" i="31"/>
  <c r="BO110" i="31"/>
  <c r="BO142" i="31"/>
  <c r="BO134" i="31"/>
  <c r="W160" i="31"/>
  <c r="CH56" i="31"/>
  <c r="BO56" i="31"/>
  <c r="CH140" i="31"/>
  <c r="BO140" i="31"/>
  <c r="BO78" i="31"/>
  <c r="CH78" i="31"/>
  <c r="BP78" i="31"/>
  <c r="CI78" i="31"/>
  <c r="CH156" i="31"/>
  <c r="BO156" i="31"/>
  <c r="CH59" i="31"/>
  <c r="BO59" i="31"/>
  <c r="CI80" i="31"/>
  <c r="BP80" i="31"/>
  <c r="CH37" i="31"/>
  <c r="BO37" i="31"/>
  <c r="BO82" i="31"/>
  <c r="CH82" i="31"/>
  <c r="CH28" i="31"/>
  <c r="BO28" i="31"/>
  <c r="CH101" i="31"/>
  <c r="BO101" i="31"/>
  <c r="CH136" i="31"/>
  <c r="BO136" i="31"/>
  <c r="CH54" i="31"/>
  <c r="BO54" i="31"/>
  <c r="CH60" i="31"/>
  <c r="BO60" i="31"/>
  <c r="CH130" i="31"/>
  <c r="BO130" i="31"/>
  <c r="CH112" i="31"/>
  <c r="BO112" i="31"/>
  <c r="BO87" i="31"/>
  <c r="CH87" i="31"/>
  <c r="CH39" i="31"/>
  <c r="BO39" i="31"/>
  <c r="BP97" i="31"/>
  <c r="CI97" i="31"/>
  <c r="BO86" i="31"/>
  <c r="CH86" i="31"/>
  <c r="CH40" i="31"/>
  <c r="BO40" i="31"/>
  <c r="BO64" i="31"/>
  <c r="CH64" i="31"/>
  <c r="CH30" i="31"/>
  <c r="BO30" i="31"/>
  <c r="CH107" i="31"/>
  <c r="BO107" i="31"/>
  <c r="CH105" i="31"/>
  <c r="BO105" i="31"/>
  <c r="CI39" i="31"/>
  <c r="BP39" i="31"/>
  <c r="CH58" i="31"/>
  <c r="BO58" i="31"/>
  <c r="CH26" i="31"/>
  <c r="BO26" i="31"/>
  <c r="CI40" i="31"/>
  <c r="BP40" i="31"/>
  <c r="BO47" i="31"/>
  <c r="CH47" i="31"/>
  <c r="CH143" i="31"/>
  <c r="BO143" i="31"/>
  <c r="BO17" i="31"/>
  <c r="CH17" i="31"/>
  <c r="BN130" i="31"/>
  <c r="BK176" i="31"/>
  <c r="BO65" i="31"/>
  <c r="CH65" i="31"/>
  <c r="BO83" i="31"/>
  <c r="CH83" i="31"/>
  <c r="BQ138" i="31"/>
  <c r="CJ138" i="31"/>
  <c r="BO77" i="31"/>
  <c r="CH77" i="31"/>
  <c r="BP156" i="31"/>
  <c r="CI156" i="31"/>
  <c r="CH61" i="31"/>
  <c r="BO61" i="31"/>
  <c r="BP74" i="31"/>
  <c r="CI74" i="31"/>
  <c r="CH62" i="31"/>
  <c r="BO62" i="31"/>
  <c r="CH119" i="31"/>
  <c r="BO119" i="31"/>
  <c r="CH94" i="31"/>
  <c r="BO94" i="31"/>
  <c r="CJ154" i="31"/>
  <c r="BQ154" i="31"/>
  <c r="W18" i="31"/>
  <c r="V18" i="31"/>
  <c r="AA18" i="31" s="1"/>
  <c r="AA176" i="31" s="1"/>
  <c r="R176" i="31"/>
  <c r="CH97" i="31"/>
  <c r="BO97" i="31"/>
  <c r="CH63" i="31"/>
  <c r="BO63" i="31"/>
  <c r="BO155" i="31"/>
  <c r="CH155" i="31"/>
  <c r="CH122" i="31"/>
  <c r="BO122" i="31"/>
  <c r="BM176" i="31"/>
  <c r="BO80" i="31"/>
  <c r="CH80" i="31"/>
  <c r="CH126" i="31"/>
  <c r="BO126" i="31"/>
  <c r="BO20" i="31"/>
  <c r="CH20" i="31"/>
  <c r="CH104" i="31"/>
  <c r="BO104" i="31"/>
  <c r="CH5" i="31"/>
  <c r="BO5" i="31"/>
  <c r="BL176" i="31"/>
  <c r="CH41" i="31"/>
  <c r="BO41" i="31"/>
  <c r="CH10" i="31"/>
  <c r="BO10" i="31"/>
  <c r="CH113" i="31"/>
  <c r="BO113" i="31"/>
  <c r="CH33" i="31"/>
  <c r="BO33" i="31"/>
  <c r="BP140" i="31"/>
  <c r="CI140" i="31"/>
  <c r="BO74" i="31"/>
  <c r="CH74" i="31"/>
  <c r="BP130" i="31"/>
  <c r="CI130" i="31"/>
  <c r="BO68" i="31"/>
  <c r="CH68" i="31"/>
  <c r="BP138" i="31"/>
  <c r="CI138" i="31"/>
  <c r="CH108" i="31"/>
  <c r="BO108" i="31"/>
  <c r="CH131" i="31"/>
  <c r="BO131" i="31"/>
  <c r="BO49" i="31"/>
  <c r="CH49" i="31"/>
  <c r="BO73" i="31"/>
  <c r="CH73" i="31"/>
  <c r="CH15" i="31"/>
  <c r="BO15" i="31"/>
  <c r="CH96" i="31"/>
  <c r="BO96" i="31"/>
  <c r="BO48" i="31"/>
  <c r="CH48" i="31"/>
  <c r="CH164" i="31"/>
  <c r="BO164" i="31"/>
  <c r="CH146" i="31"/>
  <c r="BO146" i="31"/>
  <c r="BP154" i="31"/>
  <c r="CI154" i="31"/>
  <c r="BO70" i="31"/>
  <c r="CH70" i="31"/>
  <c r="BO53" i="31"/>
  <c r="CH53" i="31"/>
  <c r="CH29" i="31"/>
  <c r="BO29" i="31"/>
  <c r="CH93" i="31"/>
  <c r="BO93" i="31"/>
  <c r="CI42" i="31"/>
  <c r="BP42" i="31"/>
  <c r="CH90" i="31"/>
  <c r="BO90" i="31"/>
  <c r="BQ162" i="31"/>
  <c r="CJ162" i="31"/>
  <c r="BQ146" i="31"/>
  <c r="CJ146" i="31"/>
  <c r="CH106" i="31"/>
  <c r="BO106" i="31"/>
  <c r="CH154" i="31"/>
  <c r="BO154" i="31"/>
  <c r="CH138" i="31"/>
  <c r="BO138" i="31"/>
  <c r="BO52" i="31"/>
  <c r="CH52" i="31"/>
  <c r="CH153" i="31"/>
  <c r="BO153" i="31"/>
  <c r="CJ140" i="31"/>
  <c r="BQ140" i="31"/>
  <c r="CH162" i="31"/>
  <c r="BO162" i="31"/>
  <c r="BO71" i="31"/>
  <c r="CH71" i="31"/>
  <c r="BO50" i="31"/>
  <c r="CH50" i="31"/>
  <c r="BP164" i="31"/>
  <c r="CI164" i="31"/>
  <c r="CH117" i="31"/>
  <c r="BO117" i="31"/>
  <c r="CH55" i="31"/>
  <c r="BO55" i="31"/>
  <c r="CH115" i="31"/>
  <c r="BO115" i="31"/>
  <c r="BO76" i="31"/>
  <c r="CH76" i="31"/>
  <c r="BO79" i="31"/>
  <c r="CH79" i="31"/>
  <c r="CI93" i="31"/>
  <c r="BP93" i="31"/>
  <c r="CH57" i="31"/>
  <c r="BO57" i="31"/>
  <c r="CH98" i="31"/>
  <c r="BO98" i="31"/>
  <c r="BO75" i="31"/>
  <c r="CH75" i="31"/>
  <c r="BO69" i="31"/>
  <c r="CH69" i="31"/>
  <c r="BP162" i="31"/>
  <c r="CI162" i="31"/>
  <c r="BP146" i="31"/>
  <c r="CI146" i="31"/>
  <c r="CH127" i="31"/>
  <c r="BO127" i="31"/>
  <c r="CI76" i="31"/>
  <c r="BP76" i="31"/>
  <c r="BO81" i="31"/>
  <c r="CH81" i="31"/>
  <c r="CH118" i="31"/>
  <c r="BO118" i="31"/>
  <c r="CH42" i="31"/>
  <c r="BO42" i="31"/>
  <c r="CH88" i="31"/>
  <c r="BO88" i="31"/>
  <c r="CH100" i="31"/>
  <c r="BO100" i="31"/>
  <c r="BC176" i="31"/>
  <c r="CH34" i="31"/>
  <c r="BO34" i="31"/>
  <c r="W176" i="31" l="1"/>
  <c r="BP176" i="31"/>
  <c r="CI176" i="31"/>
  <c r="BO176" i="31"/>
  <c r="CH176" i="31"/>
  <c r="BQ130" i="31"/>
  <c r="CJ130" i="31"/>
  <c r="CJ176" i="31" s="1"/>
  <c r="BN176" i="31"/>
  <c r="V176" i="31"/>
  <c r="AI143" i="31" l="1"/>
  <c r="CR143" i="31" s="1"/>
  <c r="AI133" i="31"/>
  <c r="AH143" i="31"/>
  <c r="CQ143" i="31" s="1"/>
  <c r="AH133" i="31"/>
  <c r="AH176" i="31" s="1"/>
  <c r="AI176" i="31"/>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7" i="2"/>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7" i="1"/>
  <c r="AQ143" i="31" l="1"/>
  <c r="CG143" i="31"/>
  <c r="CF143" i="31"/>
  <c r="BQ143" i="31"/>
  <c r="AP143" i="31"/>
  <c r="CQ133" i="31"/>
  <c r="CF133" i="31"/>
  <c r="CF176" i="31" s="1"/>
  <c r="AP133" i="31"/>
  <c r="AX133" i="31" s="1"/>
  <c r="CR133" i="31"/>
  <c r="CG133" i="31"/>
  <c r="CG176" i="31" s="1"/>
  <c r="AQ133" i="31"/>
  <c r="AY133" i="31" s="1"/>
  <c r="BQ133" i="31"/>
  <c r="AX143" i="31"/>
  <c r="CQ176" i="31"/>
  <c r="DG176" i="31" s="1"/>
  <c r="DG143" i="31"/>
  <c r="DO143" i="31"/>
  <c r="DH143" i="31"/>
  <c r="CR176" i="31"/>
  <c r="DH176" i="31" s="1"/>
  <c r="DP143" i="31"/>
  <c r="AY143" i="31"/>
  <c r="I6" i="17"/>
  <c r="AQ176" i="31" l="1"/>
  <c r="AY176" i="31" s="1"/>
  <c r="AP176" i="31"/>
  <c r="AX176" i="31" s="1"/>
  <c r="BQ176" i="31"/>
  <c r="DP133" i="31"/>
  <c r="DX133" i="31" s="1"/>
  <c r="DH133" i="31"/>
  <c r="DO133" i="31"/>
  <c r="DW133" i="31" s="1"/>
  <c r="DG133" i="31"/>
  <c r="DW143" i="31"/>
  <c r="DX143" i="31"/>
  <c r="H6" i="17"/>
  <c r="DO176" i="31" l="1"/>
  <c r="DW176" i="31" s="1"/>
  <c r="DP176" i="31"/>
  <c r="DX176" i="31" s="1"/>
  <c r="J6" i="17"/>
  <c r="H5" i="18" l="1"/>
  <c r="R16" i="18" l="1"/>
  <c r="R15" i="18"/>
  <c r="Q14" i="18"/>
  <c r="Q13" i="18"/>
  <c r="N23" i="18" l="1"/>
  <c r="N24" i="18"/>
  <c r="N22" i="18"/>
  <c r="J20" i="18" l="1"/>
  <c r="K8" i="18"/>
  <c r="K12" i="18"/>
  <c r="L17" i="18" s="1"/>
  <c r="K11" i="18"/>
  <c r="O24" i="18"/>
  <c r="O23" i="18"/>
  <c r="N6" i="18"/>
  <c r="P25" i="18" l="1"/>
  <c r="K19" i="18"/>
  <c r="P26" i="18"/>
  <c r="O20" i="18"/>
  <c r="N20" i="18"/>
  <c r="L9" i="18"/>
  <c r="P23" i="18"/>
  <c r="P24" i="18"/>
  <c r="N7" i="18"/>
  <c r="O7" i="18"/>
  <c r="N12" i="18" l="1"/>
  <c r="L14" i="18"/>
  <c r="L13" i="18"/>
  <c r="Q12" i="18"/>
  <c r="N11" i="18"/>
  <c r="M16" i="18" l="1"/>
  <c r="M15" i="18"/>
  <c r="N8" i="18"/>
  <c r="L10" i="18"/>
  <c r="P8" i="18"/>
  <c r="O14" i="18"/>
  <c r="N14" i="18"/>
  <c r="R14" i="18"/>
  <c r="O13" i="18"/>
  <c r="N13" i="18"/>
  <c r="L20" i="18" l="1"/>
  <c r="AZ24" i="25"/>
  <c r="N9" i="18"/>
  <c r="P9" i="18"/>
  <c r="O9" i="18"/>
  <c r="P10" i="18"/>
  <c r="O10" i="18"/>
  <c r="N10" i="18"/>
  <c r="N15" i="18"/>
  <c r="Q15" i="18"/>
  <c r="O15" i="18"/>
  <c r="Q16" i="18"/>
  <c r="O16" i="18"/>
  <c r="N16" i="18"/>
  <c r="I7" i="17" l="1"/>
  <c r="I24" i="17"/>
  <c r="I84" i="17"/>
  <c r="I26" i="17"/>
  <c r="I74" i="17"/>
  <c r="I33" i="17"/>
  <c r="I20" i="17"/>
  <c r="I39" i="17"/>
  <c r="I69" i="17"/>
  <c r="I21" i="17"/>
  <c r="I27" i="17"/>
  <c r="I47" i="17"/>
  <c r="I56" i="17"/>
  <c r="I19" i="17"/>
  <c r="I54" i="17"/>
  <c r="I46" i="17"/>
  <c r="I43" i="17"/>
  <c r="I116" i="17"/>
  <c r="I129" i="17"/>
  <c r="I80" i="17"/>
  <c r="I105" i="17"/>
  <c r="I76" i="17"/>
  <c r="I66" i="17"/>
  <c r="I150" i="17"/>
  <c r="I145" i="17"/>
  <c r="I149" i="17"/>
  <c r="I44" i="17"/>
  <c r="I87" i="17"/>
  <c r="I124" i="17"/>
  <c r="I131" i="17"/>
  <c r="I143" i="17"/>
  <c r="I151" i="17"/>
  <c r="I92" i="17"/>
  <c r="I107" i="17"/>
  <c r="I40" i="17"/>
  <c r="I98" i="17"/>
  <c r="I86" i="17"/>
  <c r="I142" i="17"/>
  <c r="I29" i="17"/>
  <c r="I65" i="17"/>
  <c r="I121" i="17"/>
  <c r="I70" i="17"/>
  <c r="I41" i="17"/>
  <c r="I57" i="17"/>
  <c r="I45" i="17"/>
  <c r="I73" i="17"/>
  <c r="I138" i="17"/>
  <c r="I17" i="17"/>
  <c r="I153" i="17"/>
  <c r="I108" i="17"/>
  <c r="I135" i="17"/>
  <c r="I97" i="17"/>
  <c r="I62" i="17"/>
  <c r="I126" i="17"/>
  <c r="I28" i="17"/>
  <c r="I60" i="17"/>
  <c r="I113" i="17"/>
  <c r="I52" i="17"/>
  <c r="I59" i="17"/>
  <c r="I110" i="17"/>
  <c r="I132" i="17"/>
  <c r="I77" i="17"/>
  <c r="I48" i="17"/>
  <c r="I38" i="17"/>
  <c r="I63" i="17"/>
  <c r="I144" i="17"/>
  <c r="I58" i="17"/>
  <c r="I94" i="17"/>
  <c r="I133" i="17"/>
  <c r="I85" i="17"/>
  <c r="I37" i="17"/>
  <c r="I34" i="17"/>
  <c r="I53" i="17"/>
  <c r="I123" i="17"/>
  <c r="I30" i="17"/>
  <c r="I103" i="17"/>
  <c r="I64" i="17"/>
  <c r="I91" i="17"/>
  <c r="I106" i="17"/>
  <c r="I119" i="17"/>
  <c r="I81" i="17"/>
  <c r="I152" i="17"/>
  <c r="I72" i="17"/>
  <c r="I49" i="17"/>
  <c r="I25" i="17"/>
  <c r="I93" i="17"/>
  <c r="I96" i="17"/>
  <c r="I35" i="17"/>
  <c r="I128" i="17"/>
  <c r="I36" i="17"/>
  <c r="I14" i="17"/>
  <c r="I23" i="17"/>
  <c r="I71" i="17"/>
  <c r="I83" i="17"/>
  <c r="I139" i="17"/>
  <c r="I68" i="17"/>
  <c r="I111" i="17"/>
  <c r="I79" i="17"/>
  <c r="I117" i="17"/>
  <c r="I125" i="17"/>
  <c r="I134" i="17"/>
  <c r="I99" i="17"/>
  <c r="I114" i="17"/>
  <c r="I115" i="17"/>
  <c r="I16" i="17"/>
  <c r="I104" i="17"/>
  <c r="I78" i="17"/>
  <c r="I127" i="17"/>
  <c r="I146" i="17"/>
  <c r="I42" i="17"/>
  <c r="I15" i="17"/>
  <c r="I90" i="17"/>
  <c r="I118" i="17"/>
  <c r="I12" i="17"/>
  <c r="I95" i="17"/>
  <c r="I120" i="17"/>
  <c r="I102" i="17"/>
  <c r="I88" i="17"/>
  <c r="I154" i="17"/>
  <c r="I100" i="17"/>
  <c r="I148" i="17"/>
  <c r="I18" i="17"/>
  <c r="I137" i="17"/>
  <c r="I112" i="17"/>
  <c r="I67" i="17"/>
  <c r="I10" i="17"/>
  <c r="I8" i="17"/>
  <c r="I101" i="17"/>
  <c r="I32" i="17"/>
  <c r="I13" i="17"/>
  <c r="I9" i="17"/>
  <c r="I50" i="17"/>
  <c r="I136" i="17"/>
  <c r="I82" i="17"/>
  <c r="I140" i="17"/>
  <c r="I122" i="17"/>
  <c r="I11" i="17"/>
  <c r="I75" i="17"/>
  <c r="I61" i="17"/>
  <c r="I141" i="17"/>
  <c r="I31" i="17"/>
  <c r="I130" i="17"/>
  <c r="I109" i="17"/>
  <c r="I51" i="17"/>
  <c r="I55" i="17"/>
  <c r="I22" i="17"/>
  <c r="I89" i="17"/>
  <c r="H57" i="17"/>
  <c r="H21" i="17"/>
  <c r="H33" i="17"/>
  <c r="H60" i="17"/>
  <c r="H150" i="17"/>
  <c r="H44" i="17"/>
  <c r="H19" i="17"/>
  <c r="H70" i="17"/>
  <c r="H47" i="17"/>
  <c r="H154" i="17"/>
  <c r="H117" i="17"/>
  <c r="H153" i="17"/>
  <c r="H129" i="17"/>
  <c r="H87" i="17"/>
  <c r="H116" i="17"/>
  <c r="H151" i="17"/>
  <c r="H74" i="17"/>
  <c r="H54" i="17"/>
  <c r="H53" i="17"/>
  <c r="H17" i="17"/>
  <c r="H94" i="17"/>
  <c r="H145" i="17"/>
  <c r="H88" i="17"/>
  <c r="H66" i="17"/>
  <c r="H84" i="17"/>
  <c r="H26" i="17"/>
  <c r="H72" i="17"/>
  <c r="H35" i="17"/>
  <c r="H59" i="17"/>
  <c r="H62" i="17"/>
  <c r="H149" i="17"/>
  <c r="H135" i="17"/>
  <c r="H123" i="17"/>
  <c r="H56" i="17"/>
  <c r="H147" i="17"/>
  <c r="H38" i="17"/>
  <c r="H108" i="17"/>
  <c r="H91" i="17"/>
  <c r="H133" i="17"/>
  <c r="H107" i="17"/>
  <c r="H46" i="17"/>
  <c r="H69" i="17"/>
  <c r="H41" i="17"/>
  <c r="H105" i="17"/>
  <c r="H52" i="17"/>
  <c r="H143" i="17"/>
  <c r="H113" i="17"/>
  <c r="H64" i="17"/>
  <c r="H27" i="17"/>
  <c r="H76" i="17"/>
  <c r="H20" i="17"/>
  <c r="H65" i="17"/>
  <c r="H97" i="17"/>
  <c r="H48" i="17"/>
  <c r="H148" i="17"/>
  <c r="H23" i="17"/>
  <c r="H80" i="17"/>
  <c r="H144" i="17"/>
  <c r="H99" i="17"/>
  <c r="H37" i="17"/>
  <c r="H58" i="17"/>
  <c r="H29" i="17"/>
  <c r="H112" i="17"/>
  <c r="H45" i="17"/>
  <c r="H40" i="17"/>
  <c r="H86" i="17"/>
  <c r="H43" i="17"/>
  <c r="H24" i="17"/>
  <c r="H30" i="17"/>
  <c r="H34" i="17"/>
  <c r="H92" i="17"/>
  <c r="H124" i="17"/>
  <c r="H28" i="17"/>
  <c r="H79" i="17"/>
  <c r="H126" i="17"/>
  <c r="H131" i="17"/>
  <c r="H98" i="17"/>
  <c r="H90" i="17"/>
  <c r="H136" i="17"/>
  <c r="H138" i="17"/>
  <c r="H121" i="17"/>
  <c r="H39" i="17"/>
  <c r="H25" i="17"/>
  <c r="J20" i="17" l="1"/>
  <c r="J66" i="17"/>
  <c r="J74" i="17"/>
  <c r="J33" i="17"/>
  <c r="J24" i="17"/>
  <c r="J69" i="17"/>
  <c r="J138" i="17"/>
  <c r="J76" i="17"/>
  <c r="J46" i="17"/>
  <c r="J129" i="17"/>
  <c r="J19" i="17"/>
  <c r="J121" i="17"/>
  <c r="J98" i="17"/>
  <c r="J135" i="17"/>
  <c r="J57" i="17"/>
  <c r="J131" i="17"/>
  <c r="J87" i="17"/>
  <c r="J40" i="17"/>
  <c r="J151" i="17"/>
  <c r="J28" i="17"/>
  <c r="J97" i="17"/>
  <c r="J105" i="17"/>
  <c r="J150" i="17"/>
  <c r="J41" i="17"/>
  <c r="J44" i="17"/>
  <c r="J143" i="17"/>
  <c r="J65" i="17"/>
  <c r="J17" i="17"/>
  <c r="J6" i="25" s="1"/>
  <c r="J94" i="17"/>
  <c r="J53" i="17"/>
  <c r="J153" i="17"/>
  <c r="J70" i="17"/>
  <c r="J124" i="17"/>
  <c r="J149" i="17"/>
  <c r="J86" i="17"/>
  <c r="J108" i="17"/>
  <c r="J92" i="17"/>
  <c r="J29" i="17"/>
  <c r="J34" i="17"/>
  <c r="J64" i="17"/>
  <c r="J39" i="17"/>
  <c r="J84" i="17"/>
  <c r="J116" i="17"/>
  <c r="J80" i="17"/>
  <c r="J27" i="17"/>
  <c r="J145" i="17"/>
  <c r="J52" i="17"/>
  <c r="J62" i="17"/>
  <c r="J58" i="17"/>
  <c r="J144" i="17"/>
  <c r="J79" i="17"/>
  <c r="J30" i="17"/>
  <c r="J21" i="17"/>
  <c r="J26" i="17"/>
  <c r="J54" i="17"/>
  <c r="J107" i="17"/>
  <c r="J59" i="17"/>
  <c r="J47" i="17"/>
  <c r="J43" i="17"/>
  <c r="J126" i="17"/>
  <c r="J91" i="17"/>
  <c r="J56" i="17"/>
  <c r="J38" i="17"/>
  <c r="J48" i="17"/>
  <c r="J35" i="17"/>
  <c r="H104" i="17"/>
  <c r="H8" i="17"/>
  <c r="J8" i="17" s="1"/>
  <c r="Q64" i="17"/>
  <c r="R64" i="17" s="1"/>
  <c r="N31" i="17"/>
  <c r="O31" i="17" s="1"/>
  <c r="W18" i="17"/>
  <c r="X18" i="17" s="1"/>
  <c r="H101" i="17"/>
  <c r="H81" i="17"/>
  <c r="H110" i="17"/>
  <c r="H73" i="17"/>
  <c r="J45" i="17"/>
  <c r="H142" i="17"/>
  <c r="J60" i="17"/>
  <c r="H85" i="17"/>
  <c r="H63" i="17"/>
  <c r="J37" i="17"/>
  <c r="H152" i="17"/>
  <c r="H96" i="17"/>
  <c r="J99" i="17"/>
  <c r="H75" i="17"/>
  <c r="J136" i="17"/>
  <c r="J123" i="17"/>
  <c r="H16" i="17"/>
  <c r="H155" i="17"/>
  <c r="H49" i="17"/>
  <c r="J25" i="17"/>
  <c r="J72" i="17"/>
  <c r="H125" i="17"/>
  <c r="J23" i="17"/>
  <c r="H134" i="17"/>
  <c r="H78" i="17"/>
  <c r="H13" i="17"/>
  <c r="H119" i="17"/>
  <c r="J113" i="17"/>
  <c r="H77" i="17"/>
  <c r="H132" i="17"/>
  <c r="H103" i="17"/>
  <c r="H106" i="17"/>
  <c r="H139" i="17"/>
  <c r="J133" i="17"/>
  <c r="H93" i="17"/>
  <c r="H18" i="17"/>
  <c r="H115" i="17"/>
  <c r="H14" i="17"/>
  <c r="H32" i="17"/>
  <c r="H36" i="17"/>
  <c r="H114" i="17"/>
  <c r="J117" i="17"/>
  <c r="J90" i="17"/>
  <c r="J112" i="17"/>
  <c r="H120" i="17"/>
  <c r="H83" i="17"/>
  <c r="H128" i="17"/>
  <c r="H10" i="17"/>
  <c r="J88" i="17"/>
  <c r="H51" i="17"/>
  <c r="H82" i="17"/>
  <c r="H67" i="17"/>
  <c r="H102" i="17"/>
  <c r="H11" i="17"/>
  <c r="H100" i="17"/>
  <c r="B156" i="24"/>
  <c r="H140" i="17"/>
  <c r="H9" i="17"/>
  <c r="H141" i="17"/>
  <c r="H122" i="17"/>
  <c r="H55" i="17"/>
  <c r="H31" i="17"/>
  <c r="H61" i="17"/>
  <c r="J148" i="17"/>
  <c r="J154" i="17"/>
  <c r="H12" i="17"/>
  <c r="H42" i="17"/>
  <c r="H15" i="17"/>
  <c r="H95" i="17"/>
  <c r="H71" i="17"/>
  <c r="AB6" i="25"/>
  <c r="B156" i="17"/>
  <c r="H146" i="17"/>
  <c r="H50" i="17"/>
  <c r="H68" i="17"/>
  <c r="H89" i="17"/>
  <c r="H137" i="17"/>
  <c r="H127" i="17"/>
  <c r="H118" i="17"/>
  <c r="H111" i="17"/>
  <c r="H22" i="17"/>
  <c r="AA6" i="25"/>
  <c r="AB12" i="25"/>
  <c r="H130" i="17"/>
  <c r="H109" i="17"/>
  <c r="H7" i="17"/>
  <c r="AB18" i="25"/>
  <c r="V10" i="25"/>
  <c r="G8" i="25"/>
  <c r="S13" i="25"/>
  <c r="V17" i="25"/>
  <c r="M21" i="25"/>
  <c r="P20" i="25"/>
  <c r="AD18" i="25"/>
  <c r="AG18" i="25"/>
  <c r="B22" i="25"/>
  <c r="AF17" i="25"/>
  <c r="V15" i="25"/>
  <c r="S20" i="25"/>
  <c r="G9" i="25"/>
  <c r="S19" i="25"/>
  <c r="AC13" i="25"/>
  <c r="AF21" i="25"/>
  <c r="C23" i="25"/>
  <c r="B9" i="25"/>
  <c r="AH16" i="25"/>
  <c r="AD7" i="25"/>
  <c r="D11" i="25"/>
  <c r="AF15" i="25"/>
  <c r="AE9" i="25"/>
  <c r="AE18" i="25"/>
  <c r="M17" i="25"/>
  <c r="AL10" i="25"/>
  <c r="S23" i="25"/>
  <c r="M7" i="25"/>
  <c r="V18" i="25"/>
  <c r="G15" i="25"/>
  <c r="S12" i="25"/>
  <c r="S9" i="25"/>
  <c r="AD11" i="25"/>
  <c r="AG23" i="25"/>
  <c r="E10" i="25"/>
  <c r="P11" i="25"/>
  <c r="AE16" i="25"/>
  <c r="D19" i="25"/>
  <c r="AD10" i="25"/>
  <c r="C12" i="25"/>
  <c r="AC8" i="25"/>
  <c r="AC20" i="25"/>
  <c r="AF20" i="25"/>
  <c r="AL13" i="25"/>
  <c r="M9" i="25"/>
  <c r="S7" i="25"/>
  <c r="F11" i="25"/>
  <c r="B13" i="25"/>
  <c r="E13" i="25"/>
  <c r="P18" i="25"/>
  <c r="AH22" i="25"/>
  <c r="C21" i="25"/>
  <c r="AG15" i="25"/>
  <c r="D7" i="25"/>
  <c r="B15" i="25"/>
  <c r="AD21" i="25"/>
  <c r="D12" i="25"/>
  <c r="AJ16" i="25"/>
  <c r="S16" i="25"/>
  <c r="M15" i="25"/>
  <c r="M13" i="25"/>
  <c r="S15" i="25"/>
  <c r="F20" i="25"/>
  <c r="P13" i="25"/>
  <c r="AE20" i="25"/>
  <c r="AH20" i="25"/>
  <c r="P12" i="25"/>
  <c r="AE13" i="25"/>
  <c r="AG19" i="25"/>
  <c r="D15" i="25"/>
  <c r="AH17" i="25"/>
  <c r="C16" i="25"/>
  <c r="AF19" i="25"/>
  <c r="AE23" i="25"/>
  <c r="E14" i="25"/>
  <c r="AL17" i="25"/>
  <c r="AJ23" i="25"/>
  <c r="AL8" i="25"/>
  <c r="G11" i="25"/>
  <c r="S10" i="25"/>
  <c r="M14" i="25"/>
  <c r="AD19" i="25"/>
  <c r="AH10" i="25"/>
  <c r="D8" i="25"/>
  <c r="B23" i="25"/>
  <c r="AD8" i="25"/>
  <c r="E23" i="25"/>
  <c r="AE22" i="25"/>
  <c r="E19" i="25"/>
  <c r="B14" i="25"/>
  <c r="AG11" i="25"/>
  <c r="D22" i="25"/>
  <c r="F19" i="25"/>
  <c r="G23" i="25"/>
  <c r="AD14" i="25"/>
  <c r="P23" i="25"/>
  <c r="V11" i="25"/>
  <c r="V16" i="25"/>
  <c r="AG21" i="25"/>
  <c r="D18" i="25"/>
  <c r="AD23" i="25"/>
  <c r="E7" i="25"/>
  <c r="P15" i="25"/>
  <c r="AH13" i="25"/>
  <c r="AL9" i="25"/>
  <c r="M20" i="25"/>
  <c r="F17" i="25"/>
  <c r="S18" i="25"/>
  <c r="M19" i="25"/>
  <c r="M18" i="25"/>
  <c r="AH11" i="25"/>
  <c r="AF22" i="25"/>
  <c r="P8" i="25"/>
  <c r="B19" i="25"/>
  <c r="B16" i="25"/>
  <c r="AH21" i="25"/>
  <c r="C19" i="25"/>
  <c r="AC18" i="25"/>
  <c r="C15" i="25"/>
  <c r="B20" i="25"/>
  <c r="AE7" i="25"/>
  <c r="C9" i="25"/>
  <c r="AJ14" i="25"/>
  <c r="AL18" i="25"/>
  <c r="AJ22" i="25"/>
  <c r="F14" i="25"/>
  <c r="AC17" i="25"/>
  <c r="AG20" i="25"/>
  <c r="P22" i="25"/>
  <c r="AJ12" i="25"/>
  <c r="V22" i="25"/>
  <c r="AF16" i="25"/>
  <c r="E22" i="25"/>
  <c r="AC19" i="25"/>
  <c r="AL16" i="25"/>
  <c r="G7" i="25"/>
  <c r="F8" i="25"/>
  <c r="AE17" i="25"/>
  <c r="AD20" i="25"/>
  <c r="E17" i="25"/>
  <c r="E15" i="25"/>
  <c r="V19" i="25"/>
  <c r="AG9" i="25"/>
  <c r="AG14" i="25"/>
  <c r="F22" i="25"/>
  <c r="B10" i="25"/>
  <c r="E16" i="25"/>
  <c r="AF10" i="25"/>
  <c r="G16" i="25"/>
  <c r="F9" i="25"/>
  <c r="M16" i="25"/>
  <c r="AC21" i="25"/>
  <c r="C7" i="25"/>
  <c r="AC11" i="25"/>
  <c r="AD9" i="25"/>
  <c r="P19" i="25"/>
  <c r="C8" i="25"/>
  <c r="V7" i="25"/>
  <c r="V12" i="25"/>
  <c r="M23" i="25"/>
  <c r="S11" i="25"/>
  <c r="V23" i="25"/>
  <c r="G21" i="25"/>
  <c r="B8" i="25"/>
  <c r="AD17" i="25"/>
  <c r="E20" i="25"/>
  <c r="AE12" i="25"/>
  <c r="AG13" i="25"/>
  <c r="AF12" i="25"/>
  <c r="V9" i="25"/>
  <c r="AG10" i="25"/>
  <c r="P9" i="25"/>
  <c r="AG17" i="25"/>
  <c r="AC14" i="25"/>
  <c r="D13" i="25"/>
  <c r="AL14" i="25"/>
  <c r="AJ13" i="25"/>
  <c r="AJ15" i="25"/>
  <c r="G13" i="25"/>
  <c r="M8" i="25"/>
  <c r="AH9" i="25"/>
  <c r="D14" i="25"/>
  <c r="AE8" i="25"/>
  <c r="AJ10" i="25"/>
  <c r="AL12" i="25"/>
  <c r="G10" i="25"/>
  <c r="G19" i="25"/>
  <c r="E11" i="25"/>
  <c r="AF13" i="25"/>
  <c r="C10" i="25"/>
  <c r="G12" i="25"/>
  <c r="B11" i="25"/>
  <c r="AF7" i="25"/>
  <c r="D17" i="25"/>
  <c r="AL15" i="25"/>
  <c r="V21" i="25"/>
  <c r="AJ19" i="25"/>
  <c r="C22" i="25"/>
  <c r="AC12" i="25"/>
  <c r="S14" i="25"/>
  <c r="B17" i="25"/>
  <c r="G17" i="25"/>
  <c r="AC10" i="25"/>
  <c r="AC7" i="25"/>
  <c r="E21" i="25"/>
  <c r="G18" i="25"/>
  <c r="F16" i="25"/>
  <c r="F15" i="25"/>
  <c r="AC15" i="25"/>
  <c r="AH15" i="25"/>
  <c r="AE10" i="25"/>
  <c r="AF8" i="25"/>
  <c r="AC9" i="25"/>
  <c r="C11" i="25"/>
  <c r="AL20" i="25"/>
  <c r="AJ21" i="25"/>
  <c r="F21" i="25"/>
  <c r="F7" i="25"/>
  <c r="V14" i="25"/>
  <c r="G22" i="25"/>
  <c r="F23" i="25"/>
  <c r="B21" i="25"/>
  <c r="C14" i="25"/>
  <c r="F12" i="25"/>
  <c r="S22" i="25"/>
  <c r="F13" i="25"/>
  <c r="AH7" i="25"/>
  <c r="AD12" i="25"/>
  <c r="B7" i="25"/>
  <c r="C18" i="25"/>
  <c r="D16" i="25"/>
  <c r="AG12" i="25"/>
  <c r="AL19" i="25"/>
  <c r="AJ17" i="25"/>
  <c r="S8" i="25"/>
  <c r="M12" i="25"/>
  <c r="M10" i="25"/>
  <c r="G14" i="25"/>
  <c r="G20" i="25"/>
  <c r="AG16" i="25"/>
  <c r="AF11" i="25"/>
  <c r="AE14" i="25"/>
  <c r="D9" i="25"/>
  <c r="AD15" i="25"/>
  <c r="AD13" i="25"/>
  <c r="D20" i="25"/>
  <c r="AE11" i="25"/>
  <c r="E18" i="25"/>
  <c r="B12" i="25"/>
  <c r="AH14" i="25"/>
  <c r="E8" i="25"/>
  <c r="AL22" i="25"/>
  <c r="H9" i="25"/>
  <c r="P21" i="25"/>
  <c r="P14" i="25"/>
  <c r="E12" i="25"/>
  <c r="AJ7" i="25"/>
  <c r="AC16" i="25"/>
  <c r="AE15" i="25"/>
  <c r="AF23" i="25"/>
  <c r="M22" i="25"/>
  <c r="C13" i="25"/>
  <c r="D21" i="25"/>
  <c r="AF9" i="25"/>
  <c r="S17" i="25"/>
  <c r="AG7" i="25"/>
  <c r="C20" i="25"/>
  <c r="AD22" i="25"/>
  <c r="F18" i="25"/>
  <c r="AJ20" i="25"/>
  <c r="AH23" i="25"/>
  <c r="AE21" i="25"/>
  <c r="AH12" i="25"/>
  <c r="AJ18" i="25"/>
  <c r="S21" i="25"/>
  <c r="D23" i="25"/>
  <c r="AH18" i="25"/>
  <c r="AG22" i="25"/>
  <c r="E9" i="25"/>
  <c r="C17" i="25"/>
  <c r="M11" i="25"/>
  <c r="AL11" i="25"/>
  <c r="V8" i="25"/>
  <c r="V13" i="25"/>
  <c r="P17" i="25"/>
  <c r="V20" i="25"/>
  <c r="P16" i="25"/>
  <c r="D10" i="25"/>
  <c r="AC23" i="25"/>
  <c r="AJ11" i="25"/>
  <c r="AG8" i="25"/>
  <c r="F10" i="25"/>
  <c r="AD16" i="25"/>
  <c r="AE19" i="25"/>
  <c r="AL21" i="25"/>
  <c r="AH19" i="25"/>
  <c r="AF18" i="25"/>
  <c r="AF14" i="25"/>
  <c r="AJ9" i="25"/>
  <c r="AH8" i="25"/>
  <c r="P7" i="25"/>
  <c r="AL7" i="25"/>
  <c r="AC22" i="25"/>
  <c r="AL23" i="25"/>
  <c r="P10" i="25"/>
  <c r="B18" i="25"/>
  <c r="AJ8" i="25"/>
  <c r="V6" i="25"/>
  <c r="AH6" i="25"/>
  <c r="AB11" i="25"/>
  <c r="AA15" i="25"/>
  <c r="AF6" i="25"/>
  <c r="AB13" i="25"/>
  <c r="AB20" i="25"/>
  <c r="AC6" i="25"/>
  <c r="B6" i="25"/>
  <c r="AB14" i="25"/>
  <c r="AB9" i="25"/>
  <c r="AB23" i="25"/>
  <c r="AA16" i="25"/>
  <c r="AA22" i="25"/>
  <c r="AJ6" i="25"/>
  <c r="M6" i="25"/>
  <c r="F6" i="25"/>
  <c r="G6" i="25"/>
  <c r="P6" i="25"/>
  <c r="AB21" i="25"/>
  <c r="AB8" i="25"/>
  <c r="AB22" i="25"/>
  <c r="C6" i="25"/>
  <c r="D6" i="25"/>
  <c r="AA17" i="25"/>
  <c r="AA11" i="25"/>
  <c r="AD6" i="25"/>
  <c r="E6" i="25"/>
  <c r="AB16" i="25"/>
  <c r="AA13" i="25"/>
  <c r="AA10" i="25"/>
  <c r="AA9" i="25"/>
  <c r="S6" i="25"/>
  <c r="AA19" i="25"/>
  <c r="AA18" i="25"/>
  <c r="AA8" i="25"/>
  <c r="AA12" i="25"/>
  <c r="AB10" i="25"/>
  <c r="AE6" i="25"/>
  <c r="AA21" i="25"/>
  <c r="AL6" i="25"/>
  <c r="AA7" i="25"/>
  <c r="AB17" i="25"/>
  <c r="AB19" i="25"/>
  <c r="AG6" i="25"/>
  <c r="AB15" i="25"/>
  <c r="AB7" i="25"/>
  <c r="AA14" i="25"/>
  <c r="AA20" i="25"/>
  <c r="AA23" i="25"/>
  <c r="H156" i="17" l="1"/>
  <c r="J109" i="17"/>
  <c r="J22" i="17"/>
  <c r="J118" i="17"/>
  <c r="J50" i="17"/>
  <c r="J71" i="17"/>
  <c r="J15" i="17"/>
  <c r="J61" i="17"/>
  <c r="J17" i="25" s="1"/>
  <c r="J141" i="17"/>
  <c r="J67" i="17"/>
  <c r="J83" i="17"/>
  <c r="J115" i="17"/>
  <c r="J106" i="17"/>
  <c r="J78" i="17"/>
  <c r="J96" i="17"/>
  <c r="J142" i="17"/>
  <c r="J73" i="17"/>
  <c r="J130" i="17"/>
  <c r="J127" i="17"/>
  <c r="J146" i="17"/>
  <c r="J12" i="17"/>
  <c r="J31" i="17"/>
  <c r="J9" i="17"/>
  <c r="J100" i="17"/>
  <c r="J82" i="17"/>
  <c r="J36" i="17"/>
  <c r="J103" i="17"/>
  <c r="J134" i="17"/>
  <c r="J49" i="17"/>
  <c r="J152" i="17"/>
  <c r="J63" i="17"/>
  <c r="J110" i="17"/>
  <c r="J101" i="17"/>
  <c r="J111" i="17"/>
  <c r="J137" i="17"/>
  <c r="J42" i="17"/>
  <c r="J55" i="17"/>
  <c r="J140" i="17"/>
  <c r="J11" i="17"/>
  <c r="J51" i="17"/>
  <c r="J10" i="17"/>
  <c r="J32" i="17"/>
  <c r="J18" i="17"/>
  <c r="J93" i="17"/>
  <c r="J132" i="17"/>
  <c r="J119" i="17"/>
  <c r="J155" i="17"/>
  <c r="J16" i="17"/>
  <c r="J75" i="17"/>
  <c r="J85" i="17"/>
  <c r="J81" i="17"/>
  <c r="J89" i="17"/>
  <c r="J68" i="17"/>
  <c r="J95" i="17"/>
  <c r="J122" i="17"/>
  <c r="J102" i="17"/>
  <c r="J128" i="17"/>
  <c r="J120" i="17"/>
  <c r="J114" i="17"/>
  <c r="J14" i="17"/>
  <c r="J139" i="17"/>
  <c r="J77" i="17"/>
  <c r="J20" i="25" s="1"/>
  <c r="J13" i="17"/>
  <c r="J125" i="17"/>
  <c r="J104" i="17"/>
  <c r="H12" i="25"/>
  <c r="N40" i="17"/>
  <c r="N155" i="17"/>
  <c r="Q42" i="17"/>
  <c r="R42" i="17" s="1"/>
  <c r="Q144" i="17"/>
  <c r="R144" i="17" s="1"/>
  <c r="Q149" i="17"/>
  <c r="R149" i="17" s="1"/>
  <c r="H11" i="25"/>
  <c r="N111" i="17"/>
  <c r="O111" i="17" s="1"/>
  <c r="AP111" i="17" s="1"/>
  <c r="N124" i="17"/>
  <c r="N116" i="17"/>
  <c r="N144" i="17"/>
  <c r="N32" i="17"/>
  <c r="N12" i="17"/>
  <c r="N134" i="17"/>
  <c r="N41" i="17"/>
  <c r="N26" i="17"/>
  <c r="N50" i="17"/>
  <c r="N63" i="17"/>
  <c r="N14" i="17"/>
  <c r="O14" i="17" s="1"/>
  <c r="AP14" i="17" s="1"/>
  <c r="H6" i="25"/>
  <c r="I6" i="25" s="1"/>
  <c r="H20" i="25"/>
  <c r="AK6" i="25"/>
  <c r="AI7" i="25"/>
  <c r="T106" i="17"/>
  <c r="U106" i="17" s="1"/>
  <c r="AK7" i="25"/>
  <c r="AK12" i="25"/>
  <c r="AI12" i="25"/>
  <c r="AK15" i="25"/>
  <c r="AI16" i="25"/>
  <c r="AK18" i="25"/>
  <c r="AI6" i="25"/>
  <c r="AK19" i="25"/>
  <c r="T148" i="17"/>
  <c r="U148" i="17" s="1"/>
  <c r="T109" i="17"/>
  <c r="U109" i="17" s="1"/>
  <c r="Q134" i="17"/>
  <c r="R134" i="17" s="1"/>
  <c r="T89" i="17"/>
  <c r="U89" i="17" s="1"/>
  <c r="T149" i="17"/>
  <c r="U149" i="17" s="1"/>
  <c r="Q150" i="17"/>
  <c r="R150" i="17" s="1"/>
  <c r="Q133" i="17"/>
  <c r="R133" i="17" s="1"/>
  <c r="T91" i="17"/>
  <c r="U91" i="17" s="1"/>
  <c r="T39" i="17"/>
  <c r="U39" i="17" s="1"/>
  <c r="Q99" i="17"/>
  <c r="R99" i="17" s="1"/>
  <c r="T139" i="17"/>
  <c r="U139" i="17" s="1"/>
  <c r="T144" i="17"/>
  <c r="U144" i="17" s="1"/>
  <c r="Q52" i="17"/>
  <c r="R52" i="17" s="1"/>
  <c r="N90" i="17"/>
  <c r="T146" i="17"/>
  <c r="U146" i="17" s="1"/>
  <c r="T65" i="17"/>
  <c r="U65" i="17" s="1"/>
  <c r="Q117" i="17"/>
  <c r="R117" i="17" s="1"/>
  <c r="T44" i="17"/>
  <c r="U44" i="17" s="1"/>
  <c r="T61" i="17"/>
  <c r="U61" i="17" s="1"/>
  <c r="T85" i="17"/>
  <c r="U85" i="17" s="1"/>
  <c r="Q104" i="17"/>
  <c r="R104" i="17" s="1"/>
  <c r="Q90" i="17"/>
  <c r="R90" i="17" s="1"/>
  <c r="T34" i="17"/>
  <c r="U34" i="17" s="1"/>
  <c r="Q110" i="17"/>
  <c r="R110" i="17" s="1"/>
  <c r="T22" i="17"/>
  <c r="U22" i="17" s="1"/>
  <c r="Q94" i="17"/>
  <c r="R94" i="17" s="1"/>
  <c r="Q93" i="17"/>
  <c r="R93" i="17" s="1"/>
  <c r="T50" i="17"/>
  <c r="U50" i="17" s="1"/>
  <c r="T105" i="17"/>
  <c r="U105" i="17" s="1"/>
  <c r="Q92" i="17"/>
  <c r="R92" i="17" s="1"/>
  <c r="Q53" i="17"/>
  <c r="R53" i="17" s="1"/>
  <c r="Q55" i="17"/>
  <c r="R55" i="17" s="1"/>
  <c r="T20" i="17"/>
  <c r="U20" i="17" s="1"/>
  <c r="T59" i="17"/>
  <c r="U59" i="17" s="1"/>
  <c r="T15" i="17"/>
  <c r="U15" i="17" s="1"/>
  <c r="T31" i="17"/>
  <c r="U31" i="17" s="1"/>
  <c r="T14" i="17"/>
  <c r="U14" i="17" s="1"/>
  <c r="T132" i="17"/>
  <c r="U132" i="17" s="1"/>
  <c r="T13" i="17"/>
  <c r="U13" i="17" s="1"/>
  <c r="T23" i="17"/>
  <c r="U23" i="17" s="1"/>
  <c r="Q27" i="17"/>
  <c r="R27" i="17" s="1"/>
  <c r="T104" i="17"/>
  <c r="U104" i="17" s="1"/>
  <c r="T138" i="17"/>
  <c r="U138" i="17" s="1"/>
  <c r="T83" i="17"/>
  <c r="U83" i="17" s="1"/>
  <c r="T93" i="17"/>
  <c r="U93" i="17" s="1"/>
  <c r="T29" i="17"/>
  <c r="U29" i="17" s="1"/>
  <c r="T153" i="17"/>
  <c r="U153" i="17" s="1"/>
  <c r="Q83" i="17"/>
  <c r="R83" i="17" s="1"/>
  <c r="Q35" i="17"/>
  <c r="R35" i="17" s="1"/>
  <c r="Q7" i="17"/>
  <c r="R7" i="17" s="1"/>
  <c r="Q95" i="17"/>
  <c r="R95" i="17" s="1"/>
  <c r="Q132" i="17"/>
  <c r="R132" i="17" s="1"/>
  <c r="T19" i="17"/>
  <c r="U19" i="17" s="1"/>
  <c r="T37" i="17"/>
  <c r="U37" i="17" s="1"/>
  <c r="T133" i="17"/>
  <c r="U133" i="17" s="1"/>
  <c r="T122" i="17"/>
  <c r="U122" i="17" s="1"/>
  <c r="T71" i="17"/>
  <c r="U71" i="17" s="1"/>
  <c r="T140" i="17"/>
  <c r="U140" i="17" s="1"/>
  <c r="Q28" i="17"/>
  <c r="R28" i="17" s="1"/>
  <c r="Q73" i="17"/>
  <c r="R73" i="17" s="1"/>
  <c r="T143" i="17"/>
  <c r="U143" i="17" s="1"/>
  <c r="T55" i="17"/>
  <c r="U55" i="17" s="1"/>
  <c r="T131" i="17"/>
  <c r="U131" i="17" s="1"/>
  <c r="T70" i="17"/>
  <c r="U70" i="17" s="1"/>
  <c r="T76" i="17"/>
  <c r="U76" i="17" s="1"/>
  <c r="Q81" i="17"/>
  <c r="R81" i="17" s="1"/>
  <c r="Q87" i="17"/>
  <c r="R87" i="17" s="1"/>
  <c r="Q103" i="17"/>
  <c r="R103" i="17" s="1"/>
  <c r="Q85" i="17"/>
  <c r="R85" i="17" s="1"/>
  <c r="Q79" i="17"/>
  <c r="R79" i="17" s="1"/>
  <c r="Q84" i="17"/>
  <c r="R84" i="17" s="1"/>
  <c r="Q14" i="17"/>
  <c r="R14" i="17" s="1"/>
  <c r="H23" i="25"/>
  <c r="AI9" i="25"/>
  <c r="J9" i="25"/>
  <c r="I9" i="25" s="1"/>
  <c r="N66" i="17"/>
  <c r="N87" i="17"/>
  <c r="N97" i="17"/>
  <c r="N34" i="17"/>
  <c r="N130" i="17"/>
  <c r="N141" i="17"/>
  <c r="N10" i="17"/>
  <c r="N28" i="17"/>
  <c r="N49" i="17"/>
  <c r="N154" i="17"/>
  <c r="N114" i="17"/>
  <c r="N93" i="17"/>
  <c r="N88" i="17"/>
  <c r="N60" i="17"/>
  <c r="N39" i="17"/>
  <c r="N74" i="17"/>
  <c r="N59" i="17"/>
  <c r="N8" i="17"/>
  <c r="N13" i="17"/>
  <c r="N86" i="17"/>
  <c r="N33" i="17"/>
  <c r="N132" i="17"/>
  <c r="N44" i="17"/>
  <c r="N110" i="17"/>
  <c r="N65" i="17"/>
  <c r="N27" i="17"/>
  <c r="N101" i="17"/>
  <c r="N96" i="17"/>
  <c r="N95" i="17"/>
  <c r="N153" i="17"/>
  <c r="N11" i="17"/>
  <c r="N83" i="17"/>
  <c r="N9" i="17"/>
  <c r="N102" i="17"/>
  <c r="N98" i="17"/>
  <c r="N107" i="17"/>
  <c r="N53" i="17"/>
  <c r="N120" i="17"/>
  <c r="N152" i="17"/>
  <c r="N78" i="17"/>
  <c r="N35" i="17"/>
  <c r="N148" i="17"/>
  <c r="N71" i="17"/>
  <c r="N20" i="17"/>
  <c r="N7" i="17"/>
  <c r="H21" i="25"/>
  <c r="AI14" i="25"/>
  <c r="H15" i="25"/>
  <c r="AK17" i="25"/>
  <c r="AI10" i="25"/>
  <c r="AI11" i="25"/>
  <c r="H8" i="25"/>
  <c r="H17" i="25"/>
  <c r="AK13" i="25"/>
  <c r="AK10" i="25"/>
  <c r="T119" i="17"/>
  <c r="U119" i="17" s="1"/>
  <c r="T118" i="17"/>
  <c r="U118" i="17" s="1"/>
  <c r="T95" i="17"/>
  <c r="U95" i="17" s="1"/>
  <c r="T79" i="17"/>
  <c r="U79" i="17" s="1"/>
  <c r="T87" i="17"/>
  <c r="U87" i="17" s="1"/>
  <c r="T90" i="17"/>
  <c r="U90" i="17" s="1"/>
  <c r="Q63" i="17"/>
  <c r="R63" i="17" s="1"/>
  <c r="T81" i="17"/>
  <c r="U81" i="17" s="1"/>
  <c r="Q138" i="17"/>
  <c r="R138" i="17" s="1"/>
  <c r="Q57" i="17"/>
  <c r="R57" i="17" s="1"/>
  <c r="Q112" i="17"/>
  <c r="R112" i="17" s="1"/>
  <c r="T136" i="17"/>
  <c r="U136" i="17" s="1"/>
  <c r="T137" i="17"/>
  <c r="U137" i="17" s="1"/>
  <c r="T86" i="17"/>
  <c r="U86" i="17" s="1"/>
  <c r="T141" i="17"/>
  <c r="U141" i="17" s="1"/>
  <c r="T116" i="17"/>
  <c r="U116" i="17" s="1"/>
  <c r="T84" i="17"/>
  <c r="U84" i="17" s="1"/>
  <c r="Q107" i="17"/>
  <c r="R107" i="17" s="1"/>
  <c r="Q113" i="17"/>
  <c r="R113" i="17" s="1"/>
  <c r="Q122" i="17"/>
  <c r="R122" i="17" s="1"/>
  <c r="Q11" i="17"/>
  <c r="R11" i="17" s="1"/>
  <c r="Q97" i="17"/>
  <c r="R97" i="17" s="1"/>
  <c r="Q120" i="17"/>
  <c r="R120" i="17" s="1"/>
  <c r="H14" i="25"/>
  <c r="H7" i="25"/>
  <c r="H22" i="25"/>
  <c r="T80" i="17"/>
  <c r="U80" i="17" s="1"/>
  <c r="AD24" i="25"/>
  <c r="S24" i="25"/>
  <c r="G24" i="25"/>
  <c r="AE24" i="25"/>
  <c r="AL24" i="25"/>
  <c r="C24" i="25"/>
  <c r="M24" i="25"/>
  <c r="AJ24" i="25"/>
  <c r="AG24" i="25"/>
  <c r="B24" i="25"/>
  <c r="P24" i="25"/>
  <c r="AC24" i="25"/>
  <c r="AA24" i="25"/>
  <c r="AH24" i="25"/>
  <c r="AB24" i="25"/>
  <c r="E24" i="25"/>
  <c r="D24" i="25"/>
  <c r="F24" i="25"/>
  <c r="AF24" i="25"/>
  <c r="V24" i="25"/>
  <c r="J7" i="17"/>
  <c r="AK21" i="25"/>
  <c r="AK20" i="25"/>
  <c r="AK14" i="25"/>
  <c r="AK9" i="25"/>
  <c r="AI21" i="25"/>
  <c r="AI17" i="25"/>
  <c r="AK8" i="25"/>
  <c r="AI20" i="25"/>
  <c r="T43" i="17"/>
  <c r="U43" i="17" s="1"/>
  <c r="T60" i="17"/>
  <c r="U60" i="17" s="1"/>
  <c r="T47" i="17"/>
  <c r="U47" i="17" s="1"/>
  <c r="T120" i="17"/>
  <c r="U120" i="17" s="1"/>
  <c r="T57" i="17"/>
  <c r="U57" i="17" s="1"/>
  <c r="T36" i="17"/>
  <c r="U36" i="17" s="1"/>
  <c r="T114" i="17"/>
  <c r="U114" i="17" s="1"/>
  <c r="T40" i="17"/>
  <c r="U40" i="17" s="1"/>
  <c r="T24" i="17"/>
  <c r="U24" i="17" s="1"/>
  <c r="T56" i="17"/>
  <c r="U56" i="17" s="1"/>
  <c r="T121" i="17"/>
  <c r="U121" i="17" s="1"/>
  <c r="T33" i="17"/>
  <c r="U33" i="17" s="1"/>
  <c r="T107" i="17"/>
  <c r="U107" i="17" s="1"/>
  <c r="T63" i="17"/>
  <c r="U63" i="17" s="1"/>
  <c r="T102" i="17"/>
  <c r="U102" i="17" s="1"/>
  <c r="T100" i="17"/>
  <c r="U100" i="17" s="1"/>
  <c r="T129" i="17"/>
  <c r="U129" i="17" s="1"/>
  <c r="T154" i="17"/>
  <c r="U154" i="17" s="1"/>
  <c r="T64" i="17"/>
  <c r="U64" i="17" s="1"/>
  <c r="T51" i="17"/>
  <c r="U51" i="17" s="1"/>
  <c r="T125" i="17"/>
  <c r="U125" i="17" s="1"/>
  <c r="T88" i="17"/>
  <c r="U88" i="17" s="1"/>
  <c r="T6" i="17"/>
  <c r="T25" i="17"/>
  <c r="U25" i="17" s="1"/>
  <c r="T48" i="17"/>
  <c r="U48" i="17" s="1"/>
  <c r="T49" i="17"/>
  <c r="U49" i="17" s="1"/>
  <c r="T62" i="17"/>
  <c r="U62" i="17" s="1"/>
  <c r="T94" i="17"/>
  <c r="U94" i="17" s="1"/>
  <c r="T111" i="17"/>
  <c r="U111" i="17" s="1"/>
  <c r="T18" i="17"/>
  <c r="U18" i="17" s="1"/>
  <c r="T155" i="17"/>
  <c r="U155" i="17" s="1"/>
  <c r="T126" i="17"/>
  <c r="U126" i="17" s="1"/>
  <c r="T151" i="17"/>
  <c r="U151" i="17" s="1"/>
  <c r="T46" i="17"/>
  <c r="U46" i="17" s="1"/>
  <c r="T150" i="17"/>
  <c r="U150" i="17" s="1"/>
  <c r="T135" i="17"/>
  <c r="U135" i="17" s="1"/>
  <c r="T69" i="17"/>
  <c r="U69" i="17" s="1"/>
  <c r="H16" i="25"/>
  <c r="H18" i="25"/>
  <c r="AN17" i="25"/>
  <c r="T99" i="17"/>
  <c r="U99" i="17" s="1"/>
  <c r="T28" i="17"/>
  <c r="U28" i="17" s="1"/>
  <c r="T53" i="17"/>
  <c r="U53" i="17" s="1"/>
  <c r="T130" i="17"/>
  <c r="U130" i="17" s="1"/>
  <c r="T152" i="17"/>
  <c r="U152" i="17" s="1"/>
  <c r="T17" i="17"/>
  <c r="U17" i="17" s="1"/>
  <c r="T10" i="17"/>
  <c r="U10" i="17" s="1"/>
  <c r="T9" i="17"/>
  <c r="U9" i="17" s="1"/>
  <c r="T117" i="17"/>
  <c r="U117" i="17" s="1"/>
  <c r="T96" i="17"/>
  <c r="U96" i="17" s="1"/>
  <c r="T112" i="17"/>
  <c r="U112" i="17" s="1"/>
  <c r="T35" i="17"/>
  <c r="U35" i="17" s="1"/>
  <c r="T75" i="17"/>
  <c r="U75" i="17" s="1"/>
  <c r="T103" i="17"/>
  <c r="U103" i="17" s="1"/>
  <c r="T74" i="17"/>
  <c r="U74" i="17" s="1"/>
  <c r="T54" i="17"/>
  <c r="U54" i="17" s="1"/>
  <c r="H13" i="25"/>
  <c r="H10" i="25"/>
  <c r="AI13" i="25"/>
  <c r="AK11" i="25"/>
  <c r="T26" i="17"/>
  <c r="U26" i="17" s="1"/>
  <c r="T142" i="17"/>
  <c r="U142" i="17" s="1"/>
  <c r="T77" i="17"/>
  <c r="U77" i="17" s="1"/>
  <c r="T38" i="17"/>
  <c r="U38" i="17" s="1"/>
  <c r="T58" i="17"/>
  <c r="U58" i="17" s="1"/>
  <c r="T108" i="17"/>
  <c r="U108" i="17" s="1"/>
  <c r="T42" i="17"/>
  <c r="U42" i="17" s="1"/>
  <c r="T52" i="17"/>
  <c r="U52" i="17" s="1"/>
  <c r="T12" i="17"/>
  <c r="U12" i="17" s="1"/>
  <c r="T82" i="17"/>
  <c r="U82" i="17" s="1"/>
  <c r="T73" i="17"/>
  <c r="U73" i="17" s="1"/>
  <c r="T16" i="17"/>
  <c r="U16" i="17" s="1"/>
  <c r="T128" i="17"/>
  <c r="U128" i="17" s="1"/>
  <c r="T113" i="17"/>
  <c r="U113" i="17" s="1"/>
  <c r="T68" i="17"/>
  <c r="U68" i="17" s="1"/>
  <c r="T145" i="17"/>
  <c r="U145" i="17" s="1"/>
  <c r="T7" i="17"/>
  <c r="U7" i="17" s="1"/>
  <c r="T41" i="17"/>
  <c r="U41" i="17" s="1"/>
  <c r="T147" i="17"/>
  <c r="U147" i="17" s="1"/>
  <c r="T115" i="17"/>
  <c r="U115" i="17" s="1"/>
  <c r="T72" i="17"/>
  <c r="U72" i="17" s="1"/>
  <c r="T101" i="17"/>
  <c r="U101" i="17" s="1"/>
  <c r="T127" i="17"/>
  <c r="U127" i="17" s="1"/>
  <c r="T92" i="17"/>
  <c r="U92" i="17" s="1"/>
  <c r="T97" i="17"/>
  <c r="U97" i="17" s="1"/>
  <c r="T32" i="17"/>
  <c r="U32" i="17" s="1"/>
  <c r="T110" i="17"/>
  <c r="U110" i="17" s="1"/>
  <c r="T30" i="17"/>
  <c r="U30" i="17" s="1"/>
  <c r="T8" i="17"/>
  <c r="U8" i="17" s="1"/>
  <c r="T11" i="17"/>
  <c r="U11" i="17" s="1"/>
  <c r="T67" i="17"/>
  <c r="U67" i="17" s="1"/>
  <c r="T78" i="17"/>
  <c r="U78" i="17" s="1"/>
  <c r="T66" i="17"/>
  <c r="U66" i="17" s="1"/>
  <c r="T98" i="17"/>
  <c r="U98" i="17" s="1"/>
  <c r="T124" i="17"/>
  <c r="U124" i="17" s="1"/>
  <c r="T45" i="17"/>
  <c r="U45" i="17" s="1"/>
  <c r="T27" i="17"/>
  <c r="U27" i="17" s="1"/>
  <c r="T21" i="17"/>
  <c r="U21" i="17" s="1"/>
  <c r="T134" i="17"/>
  <c r="U134" i="17" s="1"/>
  <c r="AI8" i="25"/>
  <c r="T123" i="17"/>
  <c r="U123" i="17" s="1"/>
  <c r="N45" i="17"/>
  <c r="N15" i="17"/>
  <c r="N68" i="17"/>
  <c r="AN15" i="25"/>
  <c r="AN7" i="25"/>
  <c r="AN13" i="25"/>
  <c r="AN10" i="25"/>
  <c r="AN22" i="25"/>
  <c r="N62" i="17"/>
  <c r="N52" i="17"/>
  <c r="N117" i="17"/>
  <c r="N103" i="17"/>
  <c r="N58" i="17"/>
  <c r="N122" i="17"/>
  <c r="N112" i="17"/>
  <c r="N56" i="17"/>
  <c r="AN19" i="25"/>
  <c r="W7" i="17"/>
  <c r="X7" i="17" s="1"/>
  <c r="AN14" i="25"/>
  <c r="AN21" i="25"/>
  <c r="N23" i="17"/>
  <c r="N133" i="17"/>
  <c r="N18" i="17"/>
  <c r="N73" i="17"/>
  <c r="N129" i="17"/>
  <c r="AN20" i="25"/>
  <c r="AN11" i="25"/>
  <c r="W76" i="17"/>
  <c r="X76" i="17" s="1"/>
  <c r="Q78" i="17"/>
  <c r="R78" i="17" s="1"/>
  <c r="W15" i="17"/>
  <c r="X15" i="17" s="1"/>
  <c r="W37" i="17"/>
  <c r="X37" i="17" s="1"/>
  <c r="W67" i="17"/>
  <c r="X67" i="17" s="1"/>
  <c r="W56" i="17"/>
  <c r="X56" i="17" s="1"/>
  <c r="W109" i="17"/>
  <c r="X109" i="17" s="1"/>
  <c r="N113" i="17"/>
  <c r="N67" i="17"/>
  <c r="N55" i="17"/>
  <c r="N77" i="17"/>
  <c r="Q86" i="17"/>
  <c r="R86" i="17" s="1"/>
  <c r="N85" i="17"/>
  <c r="N61" i="17"/>
  <c r="N109" i="17"/>
  <c r="N136" i="17"/>
  <c r="N139" i="17"/>
  <c r="N149" i="17"/>
  <c r="N72" i="17"/>
  <c r="N94" i="17"/>
  <c r="N105" i="17"/>
  <c r="Q139" i="17"/>
  <c r="R139" i="17" s="1"/>
  <c r="W100" i="17"/>
  <c r="X100" i="17" s="1"/>
  <c r="W17" i="17"/>
  <c r="X17" i="17" s="1"/>
  <c r="H19" i="25"/>
  <c r="N22" i="17"/>
  <c r="N89" i="17"/>
  <c r="N146" i="17"/>
  <c r="N64" i="17"/>
  <c r="N30" i="17"/>
  <c r="N69" i="17"/>
  <c r="N119" i="17"/>
  <c r="N143" i="17"/>
  <c r="N25" i="17"/>
  <c r="N92" i="17"/>
  <c r="N126" i="17"/>
  <c r="N84" i="17"/>
  <c r="AN16" i="25"/>
  <c r="AN8" i="25"/>
  <c r="Q106" i="17"/>
  <c r="R106" i="17" s="1"/>
  <c r="Q38" i="17"/>
  <c r="R38" i="17" s="1"/>
  <c r="Q56" i="17"/>
  <c r="R56" i="17" s="1"/>
  <c r="Q76" i="17"/>
  <c r="R76" i="17" s="1"/>
  <c r="N76" i="17"/>
  <c r="N75" i="17"/>
  <c r="N106" i="17"/>
  <c r="N6" i="17"/>
  <c r="N123" i="17"/>
  <c r="N108" i="17"/>
  <c r="N125" i="17"/>
  <c r="N16" i="17"/>
  <c r="N150" i="17"/>
  <c r="N138" i="17"/>
  <c r="N128" i="17"/>
  <c r="N140" i="17"/>
  <c r="N24" i="17"/>
  <c r="N145" i="17"/>
  <c r="N104" i="17"/>
  <c r="N70" i="17"/>
  <c r="N151" i="17"/>
  <c r="N43" i="17"/>
  <c r="N47" i="17"/>
  <c r="N37" i="17"/>
  <c r="N48" i="17"/>
  <c r="N80" i="17"/>
  <c r="W43" i="17"/>
  <c r="X43" i="17" s="1"/>
  <c r="W98" i="17"/>
  <c r="X98" i="17" s="1"/>
  <c r="W144" i="17"/>
  <c r="X144" i="17" s="1"/>
  <c r="W12" i="17"/>
  <c r="X12" i="17" s="1"/>
  <c r="Q46" i="17"/>
  <c r="R46" i="17" s="1"/>
  <c r="N82" i="17"/>
  <c r="O82" i="17" s="1"/>
  <c r="N36" i="17"/>
  <c r="O36" i="17" s="1"/>
  <c r="N42" i="17"/>
  <c r="N81" i="17"/>
  <c r="N115" i="17"/>
  <c r="N17" i="17"/>
  <c r="N100" i="17"/>
  <c r="N38" i="17"/>
  <c r="N137" i="17"/>
  <c r="N127" i="17"/>
  <c r="N79" i="17"/>
  <c r="N118" i="17"/>
  <c r="N99" i="17"/>
  <c r="N51" i="17"/>
  <c r="N46" i="17"/>
  <c r="N21" i="17"/>
  <c r="N131" i="17"/>
  <c r="N91" i="17"/>
  <c r="N29" i="17"/>
  <c r="N121" i="17"/>
  <c r="N135" i="17"/>
  <c r="N54" i="17"/>
  <c r="N147" i="17"/>
  <c r="N19" i="17"/>
  <c r="N57" i="17"/>
  <c r="AN12" i="25"/>
  <c r="N142" i="17"/>
  <c r="AN23" i="25"/>
  <c r="W69" i="17"/>
  <c r="X69" i="17" s="1"/>
  <c r="W24" i="17"/>
  <c r="X24" i="17" s="1"/>
  <c r="W84" i="17"/>
  <c r="X84" i="17" s="1"/>
  <c r="W21" i="17"/>
  <c r="X21" i="17" s="1"/>
  <c r="W94" i="17"/>
  <c r="X94" i="17" s="1"/>
  <c r="W119" i="17"/>
  <c r="X119" i="17" s="1"/>
  <c r="W73" i="17"/>
  <c r="X73" i="17" s="1"/>
  <c r="W151" i="17"/>
  <c r="X151" i="17" s="1"/>
  <c r="W29" i="17"/>
  <c r="X29" i="17" s="1"/>
  <c r="W19" i="17"/>
  <c r="X19" i="17" s="1"/>
  <c r="W131" i="17"/>
  <c r="X131" i="17" s="1"/>
  <c r="W92" i="17"/>
  <c r="X92" i="17" s="1"/>
  <c r="W86" i="17"/>
  <c r="X86" i="17" s="1"/>
  <c r="W121" i="17"/>
  <c r="X121" i="17" s="1"/>
  <c r="W63" i="17"/>
  <c r="X63" i="17" s="1"/>
  <c r="W90" i="17"/>
  <c r="X90" i="17" s="1"/>
  <c r="W138" i="17"/>
  <c r="X138" i="17" s="1"/>
  <c r="W80" i="17"/>
  <c r="X80" i="17" s="1"/>
  <c r="W26" i="17"/>
  <c r="X26" i="17" s="1"/>
  <c r="W60" i="17"/>
  <c r="X60" i="17" s="1"/>
  <c r="W143" i="17"/>
  <c r="X143" i="17" s="1"/>
  <c r="W41" i="17"/>
  <c r="X41" i="17" s="1"/>
  <c r="W77" i="17"/>
  <c r="X77" i="17" s="1"/>
  <c r="W124" i="17"/>
  <c r="X124" i="17" s="1"/>
  <c r="W132" i="17"/>
  <c r="X132" i="17" s="1"/>
  <c r="W53" i="17"/>
  <c r="X53" i="17" s="1"/>
  <c r="W59" i="17"/>
  <c r="X59" i="17" s="1"/>
  <c r="W30" i="17"/>
  <c r="X30" i="17" s="1"/>
  <c r="W38" i="17"/>
  <c r="X38" i="17" s="1"/>
  <c r="W116" i="17"/>
  <c r="X116" i="17" s="1"/>
  <c r="W110" i="17"/>
  <c r="X110" i="17" s="1"/>
  <c r="W45" i="17"/>
  <c r="X45" i="17" s="1"/>
  <c r="W23" i="17"/>
  <c r="X23" i="17" s="1"/>
  <c r="W11" i="17"/>
  <c r="X11" i="17" s="1"/>
  <c r="W61" i="17"/>
  <c r="X61" i="17" s="1"/>
  <c r="W103" i="17"/>
  <c r="X103" i="17" s="1"/>
  <c r="W47" i="17"/>
  <c r="X47" i="17" s="1"/>
  <c r="W87" i="17"/>
  <c r="X87" i="17" s="1"/>
  <c r="W147" i="17"/>
  <c r="X147" i="17" s="1"/>
  <c r="W97" i="17"/>
  <c r="X97" i="17" s="1"/>
  <c r="W78" i="17"/>
  <c r="X78" i="17" s="1"/>
  <c r="W20" i="17"/>
  <c r="X20" i="17" s="1"/>
  <c r="W93" i="17"/>
  <c r="X93" i="17" s="1"/>
  <c r="W120" i="17"/>
  <c r="X120" i="17" s="1"/>
  <c r="W65" i="17"/>
  <c r="X65" i="17" s="1"/>
  <c r="W150" i="17"/>
  <c r="X150" i="17" s="1"/>
  <c r="W139" i="17"/>
  <c r="X139" i="17" s="1"/>
  <c r="W155" i="17"/>
  <c r="X155" i="17" s="1"/>
  <c r="W22" i="17"/>
  <c r="X22" i="17" s="1"/>
  <c r="W75" i="17"/>
  <c r="X75" i="17" s="1"/>
  <c r="W154" i="17"/>
  <c r="X154" i="17" s="1"/>
  <c r="W137" i="17"/>
  <c r="X137" i="17" s="1"/>
  <c r="W130" i="17"/>
  <c r="X130" i="17" s="1"/>
  <c r="W96" i="17"/>
  <c r="X96" i="17" s="1"/>
  <c r="W152" i="17"/>
  <c r="X152" i="17" s="1"/>
  <c r="W51" i="17"/>
  <c r="X51" i="17" s="1"/>
  <c r="W44" i="17"/>
  <c r="X44" i="17" s="1"/>
  <c r="W99" i="17"/>
  <c r="X99" i="17" s="1"/>
  <c r="W129" i="17"/>
  <c r="X129" i="17" s="1"/>
  <c r="W81" i="17"/>
  <c r="X81" i="17" s="1"/>
  <c r="W107" i="17"/>
  <c r="X107" i="17" s="1"/>
  <c r="W128" i="17"/>
  <c r="X128" i="17" s="1"/>
  <c r="W71" i="17"/>
  <c r="X71" i="17" s="1"/>
  <c r="W72" i="17"/>
  <c r="X72" i="17" s="1"/>
  <c r="W14" i="17"/>
  <c r="X14" i="17" s="1"/>
  <c r="W141" i="17"/>
  <c r="X141" i="17" s="1"/>
  <c r="W28" i="17"/>
  <c r="X28" i="17" s="1"/>
  <c r="W9" i="17"/>
  <c r="X9" i="17" s="1"/>
  <c r="W136" i="17"/>
  <c r="X136" i="17" s="1"/>
  <c r="W50" i="17"/>
  <c r="X50" i="17" s="1"/>
  <c r="W8" i="17"/>
  <c r="X8" i="17" s="1"/>
  <c r="W55" i="17"/>
  <c r="X55" i="17" s="1"/>
  <c r="W6" i="17"/>
  <c r="W101" i="17"/>
  <c r="X101" i="17" s="1"/>
  <c r="W32" i="17"/>
  <c r="X32" i="17" s="1"/>
  <c r="W83" i="17"/>
  <c r="X83" i="17" s="1"/>
  <c r="Q123" i="17"/>
  <c r="R123" i="17" s="1"/>
  <c r="Q127" i="17"/>
  <c r="R127" i="17" s="1"/>
  <c r="Q98" i="17"/>
  <c r="R98" i="17" s="1"/>
  <c r="Q67" i="17"/>
  <c r="R67" i="17" s="1"/>
  <c r="Q125" i="17"/>
  <c r="R125" i="17" s="1"/>
  <c r="Q135" i="17"/>
  <c r="R135" i="17" s="1"/>
  <c r="Q130" i="17"/>
  <c r="R130" i="17" s="1"/>
  <c r="Q126" i="17"/>
  <c r="R126" i="17" s="1"/>
  <c r="Q12" i="17"/>
  <c r="R12" i="17" s="1"/>
  <c r="Q17" i="17"/>
  <c r="R17" i="17" s="1"/>
  <c r="Q88" i="17"/>
  <c r="R88" i="17" s="1"/>
  <c r="Q50" i="17"/>
  <c r="R50" i="17" s="1"/>
  <c r="Q31" i="17"/>
  <c r="R31" i="17" s="1"/>
  <c r="Q111" i="17"/>
  <c r="R111" i="17" s="1"/>
  <c r="Q66" i="17"/>
  <c r="R66" i="17" s="1"/>
  <c r="Q145" i="17"/>
  <c r="R145" i="17" s="1"/>
  <c r="Q142" i="17"/>
  <c r="R142" i="17" s="1"/>
  <c r="Q74" i="17"/>
  <c r="R74" i="17" s="1"/>
  <c r="Q108" i="17"/>
  <c r="R108" i="17" s="1"/>
  <c r="Q15" i="17"/>
  <c r="R15" i="17" s="1"/>
  <c r="Q101" i="17"/>
  <c r="R101" i="17" s="1"/>
  <c r="Q114" i="17"/>
  <c r="R114" i="17" s="1"/>
  <c r="Q115" i="17"/>
  <c r="R115" i="17" s="1"/>
  <c r="Q6" i="17"/>
  <c r="Q82" i="17"/>
  <c r="R82" i="17" s="1"/>
  <c r="Q21" i="17"/>
  <c r="R21" i="17" s="1"/>
  <c r="Q47" i="17"/>
  <c r="R47" i="17" s="1"/>
  <c r="Q154" i="17"/>
  <c r="R154" i="17" s="1"/>
  <c r="Q69" i="17"/>
  <c r="R69" i="17" s="1"/>
  <c r="Q72" i="17"/>
  <c r="R72" i="17" s="1"/>
  <c r="Q91" i="17"/>
  <c r="R91" i="17" s="1"/>
  <c r="Q39" i="17"/>
  <c r="R39" i="17" s="1"/>
  <c r="Q16" i="17"/>
  <c r="R16" i="17" s="1"/>
  <c r="Q96" i="17"/>
  <c r="R96" i="17" s="1"/>
  <c r="Q43" i="17"/>
  <c r="R43" i="17" s="1"/>
  <c r="Q37" i="17"/>
  <c r="R37" i="17" s="1"/>
  <c r="Q18" i="17"/>
  <c r="R18" i="17" s="1"/>
  <c r="Q60" i="17"/>
  <c r="R60" i="17" s="1"/>
  <c r="Q10" i="17"/>
  <c r="R10" i="17" s="1"/>
  <c r="Q13" i="17"/>
  <c r="R13" i="17" s="1"/>
  <c r="Q33" i="17"/>
  <c r="R33" i="17" s="1"/>
  <c r="Q146" i="17"/>
  <c r="R146" i="17" s="1"/>
  <c r="Q151" i="17"/>
  <c r="R151" i="17" s="1"/>
  <c r="Q41" i="17"/>
  <c r="R41" i="17" s="1"/>
  <c r="Q19" i="17"/>
  <c r="R19" i="17" s="1"/>
  <c r="Q89" i="17"/>
  <c r="R89" i="17" s="1"/>
  <c r="Q23" i="17"/>
  <c r="R23" i="17" s="1"/>
  <c r="Q148" i="17"/>
  <c r="R148" i="17" s="1"/>
  <c r="Q129" i="17"/>
  <c r="R129" i="17" s="1"/>
  <c r="Q30" i="17"/>
  <c r="R30" i="17" s="1"/>
  <c r="Q54" i="17"/>
  <c r="R54" i="17" s="1"/>
  <c r="Q29" i="17"/>
  <c r="R29" i="17" s="1"/>
  <c r="Q75" i="17"/>
  <c r="R75" i="17" s="1"/>
  <c r="Q9" i="17"/>
  <c r="R9" i="17" s="1"/>
  <c r="Q58" i="17"/>
  <c r="R58" i="17" s="1"/>
  <c r="Q71" i="17"/>
  <c r="R71" i="17" s="1"/>
  <c r="Q100" i="17"/>
  <c r="R100" i="17" s="1"/>
  <c r="Q36" i="17"/>
  <c r="R36" i="17" s="1"/>
  <c r="Q80" i="17"/>
  <c r="R80" i="17" s="1"/>
  <c r="Q137" i="17"/>
  <c r="R137" i="17" s="1"/>
  <c r="Q121" i="17"/>
  <c r="R121" i="17" s="1"/>
  <c r="Q141" i="17"/>
  <c r="R141" i="17" s="1"/>
  <c r="Q24" i="17"/>
  <c r="R24" i="17" s="1"/>
  <c r="Q48" i="17"/>
  <c r="R48" i="17" s="1"/>
  <c r="Q44" i="17"/>
  <c r="R44" i="17" s="1"/>
  <c r="Q119" i="17"/>
  <c r="R119" i="17" s="1"/>
  <c r="Q109" i="17"/>
  <c r="R109" i="17" s="1"/>
  <c r="Q20" i="17"/>
  <c r="R20" i="17" s="1"/>
  <c r="Q49" i="17"/>
  <c r="R49" i="17" s="1"/>
  <c r="Q70" i="17"/>
  <c r="R70" i="17" s="1"/>
  <c r="Q118" i="17"/>
  <c r="R118" i="17" s="1"/>
  <c r="Q77" i="17"/>
  <c r="R77" i="17" s="1"/>
  <c r="Q59" i="17"/>
  <c r="R59" i="17" s="1"/>
  <c r="Q34" i="17"/>
  <c r="R34" i="17" s="1"/>
  <c r="Q32" i="17"/>
  <c r="R32" i="17" s="1"/>
  <c r="Q65" i="17"/>
  <c r="R65" i="17" s="1"/>
  <c r="Q155" i="17"/>
  <c r="R155" i="17" s="1"/>
  <c r="Q147" i="17"/>
  <c r="R147" i="17" s="1"/>
  <c r="Q140" i="17"/>
  <c r="R140" i="17" s="1"/>
  <c r="Q136" i="17"/>
  <c r="R136" i="17" s="1"/>
  <c r="Q105" i="17"/>
  <c r="R105" i="17" s="1"/>
  <c r="Q22" i="17"/>
  <c r="R22" i="17" s="1"/>
  <c r="Q40" i="17"/>
  <c r="R40" i="17" s="1"/>
  <c r="Q116" i="17"/>
  <c r="R116" i="17" s="1"/>
  <c r="Q62" i="17"/>
  <c r="R62" i="17" s="1"/>
  <c r="Q51" i="17"/>
  <c r="R51" i="17" s="1"/>
  <c r="W49" i="17"/>
  <c r="X49" i="17" s="1"/>
  <c r="W102" i="17"/>
  <c r="X102" i="17" s="1"/>
  <c r="W42" i="17"/>
  <c r="X42" i="17" s="1"/>
  <c r="W142" i="17"/>
  <c r="X142" i="17" s="1"/>
  <c r="W95" i="17"/>
  <c r="X95" i="17" s="1"/>
  <c r="W134" i="17"/>
  <c r="X134" i="17" s="1"/>
  <c r="W82" i="17"/>
  <c r="X82" i="17" s="1"/>
  <c r="W91" i="17"/>
  <c r="X91" i="17" s="1"/>
  <c r="Q143" i="17"/>
  <c r="R143" i="17" s="1"/>
  <c r="Q153" i="17"/>
  <c r="R153" i="17" s="1"/>
  <c r="Q45" i="17"/>
  <c r="R45" i="17" s="1"/>
  <c r="Q128" i="17"/>
  <c r="R128" i="17" s="1"/>
  <c r="Q102" i="17"/>
  <c r="R102" i="17" s="1"/>
  <c r="Q68" i="17"/>
  <c r="R68" i="17" s="1"/>
  <c r="Q26" i="17"/>
  <c r="R26" i="17" s="1"/>
  <c r="Q124" i="17"/>
  <c r="R124" i="17" s="1"/>
  <c r="W13" i="17"/>
  <c r="X13" i="17" s="1"/>
  <c r="W123" i="17"/>
  <c r="X123" i="17" s="1"/>
  <c r="W46" i="17"/>
  <c r="X46" i="17" s="1"/>
  <c r="W57" i="17"/>
  <c r="X57" i="17" s="1"/>
  <c r="W25" i="17"/>
  <c r="X25" i="17" s="1"/>
  <c r="W118" i="17"/>
  <c r="X118" i="17" s="1"/>
  <c r="W133" i="17"/>
  <c r="X133" i="17" s="1"/>
  <c r="W146" i="17"/>
  <c r="X146" i="17" s="1"/>
  <c r="W127" i="17"/>
  <c r="X127" i="17" s="1"/>
  <c r="W62" i="17"/>
  <c r="X62" i="17" s="1"/>
  <c r="W66" i="17"/>
  <c r="X66" i="17" s="1"/>
  <c r="W89" i="17"/>
  <c r="X89" i="17" s="1"/>
  <c r="W112" i="17"/>
  <c r="X112" i="17" s="1"/>
  <c r="W115" i="17"/>
  <c r="X115" i="17" s="1"/>
  <c r="W104" i="17"/>
  <c r="X104" i="17" s="1"/>
  <c r="W40" i="17"/>
  <c r="X40" i="17" s="1"/>
  <c r="W52" i="17"/>
  <c r="X52" i="17" s="1"/>
  <c r="W153" i="17"/>
  <c r="X153" i="17" s="1"/>
  <c r="W88" i="17"/>
  <c r="X88" i="17" s="1"/>
  <c r="W105" i="17"/>
  <c r="X105" i="17" s="1"/>
  <c r="W111" i="17"/>
  <c r="X111" i="17" s="1"/>
  <c r="AN18" i="25"/>
  <c r="Q152" i="17"/>
  <c r="R152" i="17" s="1"/>
  <c r="Q131" i="17"/>
  <c r="R131" i="17" s="1"/>
  <c r="W35" i="17"/>
  <c r="X35" i="17" s="1"/>
  <c r="W27" i="17"/>
  <c r="X27" i="17" s="1"/>
  <c r="W33" i="17"/>
  <c r="X33" i="17" s="1"/>
  <c r="W126" i="17"/>
  <c r="X126" i="17" s="1"/>
  <c r="W58" i="17"/>
  <c r="X58" i="17" s="1"/>
  <c r="W64" i="17"/>
  <c r="X64" i="17" s="1"/>
  <c r="W113" i="17"/>
  <c r="X113" i="17" s="1"/>
  <c r="W117" i="17"/>
  <c r="X117" i="17" s="1"/>
  <c r="W16" i="17"/>
  <c r="X16" i="17" s="1"/>
  <c r="W48" i="17"/>
  <c r="X48" i="17" s="1"/>
  <c r="W148" i="17"/>
  <c r="X148" i="17" s="1"/>
  <c r="W68" i="17"/>
  <c r="X68" i="17" s="1"/>
  <c r="W85" i="17"/>
  <c r="X85" i="17" s="1"/>
  <c r="W114" i="17"/>
  <c r="X114" i="17" s="1"/>
  <c r="W135" i="17"/>
  <c r="X135" i="17" s="1"/>
  <c r="W10" i="17"/>
  <c r="X10" i="17" s="1"/>
  <c r="W70" i="17"/>
  <c r="X70" i="17" s="1"/>
  <c r="W74" i="17"/>
  <c r="X74" i="17" s="1"/>
  <c r="W39" i="17"/>
  <c r="X39" i="17" s="1"/>
  <c r="W145" i="17"/>
  <c r="X145" i="17" s="1"/>
  <c r="W106" i="17"/>
  <c r="X106" i="17" s="1"/>
  <c r="W54" i="17"/>
  <c r="X54" i="17" s="1"/>
  <c r="W149" i="17"/>
  <c r="X149" i="17" s="1"/>
  <c r="W31" i="17"/>
  <c r="X31" i="17" s="1"/>
  <c r="W79" i="17"/>
  <c r="X79" i="17" s="1"/>
  <c r="W125" i="17"/>
  <c r="X125" i="17" s="1"/>
  <c r="W108" i="17"/>
  <c r="X108" i="17" s="1"/>
  <c r="W34" i="17"/>
  <c r="X34" i="17" s="1"/>
  <c r="W140" i="17"/>
  <c r="X140" i="17" s="1"/>
  <c r="W36" i="17"/>
  <c r="X36" i="17" s="1"/>
  <c r="W122" i="17"/>
  <c r="X122" i="17" s="1"/>
  <c r="AN9" i="25"/>
  <c r="Q8" i="17"/>
  <c r="R8" i="17" s="1"/>
  <c r="AN6" i="25"/>
  <c r="Q61" i="17"/>
  <c r="R61" i="17" s="1"/>
  <c r="Q25" i="17"/>
  <c r="R25" i="17" s="1"/>
  <c r="AP31" i="17"/>
  <c r="W156" i="17" l="1"/>
  <c r="N156" i="17"/>
  <c r="T156" i="17"/>
  <c r="Q156" i="17"/>
  <c r="R6" i="17"/>
  <c r="R156" i="17" s="1"/>
  <c r="X6" i="17"/>
  <c r="X156" i="17" s="1"/>
  <c r="O6" i="17"/>
  <c r="U6" i="17"/>
  <c r="U156" i="17" s="1"/>
  <c r="AI19" i="25"/>
  <c r="J7" i="25"/>
  <c r="I7" i="25" s="1"/>
  <c r="I20" i="25"/>
  <c r="I17" i="25"/>
  <c r="J12" i="25"/>
  <c r="I12" i="25" s="1"/>
  <c r="J8" i="25"/>
  <c r="I8" i="25" s="1"/>
  <c r="J10" i="25"/>
  <c r="I10" i="25" s="1"/>
  <c r="J11" i="25"/>
  <c r="I11" i="25" s="1"/>
  <c r="J14" i="25"/>
  <c r="I14" i="25" s="1"/>
  <c r="J18" i="25"/>
  <c r="I18" i="25" s="1"/>
  <c r="J19" i="25"/>
  <c r="I19" i="25" s="1"/>
  <c r="J21" i="25"/>
  <c r="I21" i="25" s="1"/>
  <c r="O121" i="17"/>
  <c r="AP121" i="17" s="1"/>
  <c r="O38" i="17"/>
  <c r="AP38" i="17" s="1"/>
  <c r="O80" i="17"/>
  <c r="AP80" i="17" s="1"/>
  <c r="O30" i="17"/>
  <c r="AP30" i="17" s="1"/>
  <c r="O94" i="17"/>
  <c r="AP94" i="17" s="1"/>
  <c r="O68" i="17"/>
  <c r="AP68" i="17" s="1"/>
  <c r="O91" i="17"/>
  <c r="AP91" i="17" s="1"/>
  <c r="O51" i="17"/>
  <c r="AP51" i="17" s="1"/>
  <c r="O127" i="17"/>
  <c r="AP127" i="17" s="1"/>
  <c r="O17" i="17"/>
  <c r="AP17" i="17" s="1"/>
  <c r="O42" i="17"/>
  <c r="AP42" i="17" s="1"/>
  <c r="O37" i="17"/>
  <c r="AP37" i="17" s="1"/>
  <c r="O70" i="17"/>
  <c r="O140" i="17"/>
  <c r="AP140" i="17" s="1"/>
  <c r="O16" i="17"/>
  <c r="AP16" i="17" s="1"/>
  <c r="O126" i="17"/>
  <c r="AP126" i="17" s="1"/>
  <c r="O119" i="17"/>
  <c r="AP119" i="17" s="1"/>
  <c r="O146" i="17"/>
  <c r="AP146" i="17" s="1"/>
  <c r="O149" i="17"/>
  <c r="AP149" i="17" s="1"/>
  <c r="O61" i="17"/>
  <c r="AP61" i="17" s="1"/>
  <c r="O77" i="17"/>
  <c r="AP77" i="17" s="1"/>
  <c r="O18" i="17"/>
  <c r="AP18" i="17" s="1"/>
  <c r="O112" i="17"/>
  <c r="AP112" i="17" s="1"/>
  <c r="O45" i="17"/>
  <c r="O57" i="17"/>
  <c r="AP57" i="17" s="1"/>
  <c r="O135" i="17"/>
  <c r="AP135" i="17" s="1"/>
  <c r="O131" i="17"/>
  <c r="AP131" i="17" s="1"/>
  <c r="O99" i="17"/>
  <c r="AP99" i="17" s="1"/>
  <c r="O137" i="17"/>
  <c r="AP137" i="17" s="1"/>
  <c r="O115" i="17"/>
  <c r="AP115" i="17" s="1"/>
  <c r="O47" i="17"/>
  <c r="AP47" i="17" s="1"/>
  <c r="O104" i="17"/>
  <c r="O128" i="17"/>
  <c r="AP128" i="17" s="1"/>
  <c r="O125" i="17"/>
  <c r="AP125" i="17" s="1"/>
  <c r="O106" i="17"/>
  <c r="AP106" i="17" s="1"/>
  <c r="O92" i="17"/>
  <c r="AP92" i="17" s="1"/>
  <c r="O69" i="17"/>
  <c r="AP69" i="17" s="1"/>
  <c r="O89" i="17"/>
  <c r="AP89" i="17" s="1"/>
  <c r="O105" i="17"/>
  <c r="AP105" i="17" s="1"/>
  <c r="O139" i="17"/>
  <c r="AP139" i="17" s="1"/>
  <c r="O85" i="17"/>
  <c r="AP85" i="17" s="1"/>
  <c r="O55" i="17"/>
  <c r="O133" i="17"/>
  <c r="AP133" i="17" s="1"/>
  <c r="O122" i="17"/>
  <c r="AP122" i="17" s="1"/>
  <c r="O117" i="17"/>
  <c r="AP117" i="17" s="1"/>
  <c r="O71" i="17"/>
  <c r="AP71" i="17" s="1"/>
  <c r="O152" i="17"/>
  <c r="AP152" i="17" s="1"/>
  <c r="O98" i="17"/>
  <c r="AP98" i="17" s="1"/>
  <c r="O11" i="17"/>
  <c r="AP11" i="17" s="1"/>
  <c r="O101" i="17"/>
  <c r="AP101" i="17" s="1"/>
  <c r="O110" i="17"/>
  <c r="AP110" i="17" s="1"/>
  <c r="O59" i="17"/>
  <c r="AP59" i="17" s="1"/>
  <c r="O88" i="17"/>
  <c r="AP88" i="17" s="1"/>
  <c r="O49" i="17"/>
  <c r="AP49" i="17" s="1"/>
  <c r="O130" i="17"/>
  <c r="AP130" i="17" s="1"/>
  <c r="O66" i="17"/>
  <c r="AP66" i="17" s="1"/>
  <c r="O41" i="17"/>
  <c r="O144" i="17"/>
  <c r="AP144" i="17" s="1"/>
  <c r="O40" i="17"/>
  <c r="AP40" i="17" s="1"/>
  <c r="O145" i="17"/>
  <c r="AP145" i="17" s="1"/>
  <c r="O108" i="17"/>
  <c r="AP108" i="17" s="1"/>
  <c r="O136" i="17"/>
  <c r="AP136" i="17" s="1"/>
  <c r="O67" i="17"/>
  <c r="AP67" i="17" s="1"/>
  <c r="O129" i="17"/>
  <c r="AP129" i="17" s="1"/>
  <c r="O148" i="17"/>
  <c r="AP148" i="17" s="1"/>
  <c r="O120" i="17"/>
  <c r="AP120" i="17" s="1"/>
  <c r="O102" i="17"/>
  <c r="AP102" i="17" s="1"/>
  <c r="O153" i="17"/>
  <c r="AP153" i="17" s="1"/>
  <c r="O27" i="17"/>
  <c r="AP27" i="17" s="1"/>
  <c r="O44" i="17"/>
  <c r="O86" i="17"/>
  <c r="AP86" i="17" s="1"/>
  <c r="O74" i="17"/>
  <c r="AP74" i="17" s="1"/>
  <c r="O93" i="17"/>
  <c r="AP93" i="17" s="1"/>
  <c r="O28" i="17"/>
  <c r="AP28" i="17" s="1"/>
  <c r="O34" i="17"/>
  <c r="AP34" i="17" s="1"/>
  <c r="O63" i="17"/>
  <c r="AP63" i="17" s="1"/>
  <c r="O134" i="17"/>
  <c r="AP134" i="17" s="1"/>
  <c r="O116" i="17"/>
  <c r="AP116" i="17" s="1"/>
  <c r="O19" i="17"/>
  <c r="AP19" i="17" s="1"/>
  <c r="O118" i="17"/>
  <c r="AP118" i="17" s="1"/>
  <c r="O81" i="17"/>
  <c r="AP81" i="17" s="1"/>
  <c r="O43" i="17"/>
  <c r="AP43" i="17" s="1"/>
  <c r="O52" i="17"/>
  <c r="AP52" i="17" s="1"/>
  <c r="O142" i="17"/>
  <c r="AP142" i="17" s="1"/>
  <c r="O147" i="17"/>
  <c r="AP147" i="17" s="1"/>
  <c r="O29" i="17"/>
  <c r="AP29" i="17" s="1"/>
  <c r="O46" i="17"/>
  <c r="AP46" i="17" s="1"/>
  <c r="O79" i="17"/>
  <c r="O100" i="17"/>
  <c r="AP100" i="17" s="1"/>
  <c r="O48" i="17"/>
  <c r="AP48" i="17" s="1"/>
  <c r="O151" i="17"/>
  <c r="AP151" i="17" s="1"/>
  <c r="O24" i="17"/>
  <c r="AP24" i="17" s="1"/>
  <c r="O150" i="17"/>
  <c r="AP150" i="17" s="1"/>
  <c r="O123" i="17"/>
  <c r="AP123" i="17" s="1"/>
  <c r="O76" i="17"/>
  <c r="AP76" i="17" s="1"/>
  <c r="O84" i="17"/>
  <c r="AP84" i="17" s="1"/>
  <c r="O143" i="17"/>
  <c r="AP143" i="17" s="1"/>
  <c r="O64" i="17"/>
  <c r="AP64" i="17" s="1"/>
  <c r="O22" i="17"/>
  <c r="O72" i="17"/>
  <c r="AP72" i="17" s="1"/>
  <c r="O109" i="17"/>
  <c r="AP109" i="17" s="1"/>
  <c r="O113" i="17"/>
  <c r="AP113" i="17" s="1"/>
  <c r="O73" i="17"/>
  <c r="AP73" i="17" s="1"/>
  <c r="O56" i="17"/>
  <c r="AP56" i="17" s="1"/>
  <c r="O103" i="17"/>
  <c r="AP103" i="17" s="1"/>
  <c r="O62" i="17"/>
  <c r="AP62" i="17" s="1"/>
  <c r="O15" i="17"/>
  <c r="AP15" i="17" s="1"/>
  <c r="O7" i="17"/>
  <c r="AP7" i="17" s="1"/>
  <c r="O35" i="17"/>
  <c r="AP35" i="17" s="1"/>
  <c r="O53" i="17"/>
  <c r="AP53" i="17" s="1"/>
  <c r="O9" i="17"/>
  <c r="AP9" i="17" s="1"/>
  <c r="O95" i="17"/>
  <c r="AP95" i="17" s="1"/>
  <c r="O132" i="17"/>
  <c r="AP132" i="17" s="1"/>
  <c r="O13" i="17"/>
  <c r="AP13" i="17" s="1"/>
  <c r="O39" i="17"/>
  <c r="AP39" i="17" s="1"/>
  <c r="O114" i="17"/>
  <c r="O10" i="17"/>
  <c r="AP10" i="17" s="1"/>
  <c r="O97" i="17"/>
  <c r="AP97" i="17" s="1"/>
  <c r="O50" i="17"/>
  <c r="AP50" i="17" s="1"/>
  <c r="O12" i="17"/>
  <c r="AP12" i="17" s="1"/>
  <c r="O124" i="17"/>
  <c r="AP124" i="17" s="1"/>
  <c r="O21" i="17"/>
  <c r="AP21" i="17" s="1"/>
  <c r="O138" i="17"/>
  <c r="AP138" i="17" s="1"/>
  <c r="O75" i="17"/>
  <c r="AP75" i="17" s="1"/>
  <c r="O25" i="17"/>
  <c r="AP25" i="17" s="1"/>
  <c r="O23" i="17"/>
  <c r="AP23" i="17" s="1"/>
  <c r="O58" i="17"/>
  <c r="AP58" i="17" s="1"/>
  <c r="O54" i="17"/>
  <c r="AP54" i="17" s="1"/>
  <c r="O20" i="17"/>
  <c r="AP20" i="17" s="1"/>
  <c r="O78" i="17"/>
  <c r="AP78" i="17" s="1"/>
  <c r="O107" i="17"/>
  <c r="AP107" i="17" s="1"/>
  <c r="O83" i="17"/>
  <c r="AP83" i="17" s="1"/>
  <c r="O96" i="17"/>
  <c r="AP96" i="17" s="1"/>
  <c r="O65" i="17"/>
  <c r="AP65" i="17" s="1"/>
  <c r="O33" i="17"/>
  <c r="O8" i="17"/>
  <c r="AP8" i="17" s="1"/>
  <c r="O60" i="17"/>
  <c r="AP60" i="17" s="1"/>
  <c r="O154" i="17"/>
  <c r="AP154" i="17" s="1"/>
  <c r="O141" i="17"/>
  <c r="AP141" i="17" s="1"/>
  <c r="O87" i="17"/>
  <c r="AP87" i="17" s="1"/>
  <c r="O90" i="17"/>
  <c r="AP90" i="17" s="1"/>
  <c r="O26" i="17"/>
  <c r="AP26" i="17" s="1"/>
  <c r="O32" i="17"/>
  <c r="AP32" i="17" s="1"/>
  <c r="O155" i="17"/>
  <c r="AP155" i="17" s="1"/>
  <c r="AK16" i="25"/>
  <c r="AM16" i="25" s="1"/>
  <c r="AK22" i="25"/>
  <c r="AK23" i="25"/>
  <c r="AI22" i="25"/>
  <c r="AM6" i="25"/>
  <c r="AI15" i="25"/>
  <c r="AM15" i="25" s="1"/>
  <c r="AI23" i="25"/>
  <c r="AI18" i="25"/>
  <c r="AM17" i="25"/>
  <c r="AQ85" i="17"/>
  <c r="AQ133" i="17"/>
  <c r="U6" i="25"/>
  <c r="AQ83" i="17"/>
  <c r="AQ55" i="17"/>
  <c r="AQ144" i="17"/>
  <c r="AM13" i="25"/>
  <c r="AQ28" i="17"/>
  <c r="AQ14" i="17"/>
  <c r="T6" i="25"/>
  <c r="AQ93" i="17"/>
  <c r="AQ90" i="17"/>
  <c r="AQ132" i="17"/>
  <c r="AM11" i="25"/>
  <c r="AM9" i="25"/>
  <c r="AQ87" i="17"/>
  <c r="AM10" i="25"/>
  <c r="AQ79" i="17"/>
  <c r="AM14" i="25"/>
  <c r="AQ95" i="17"/>
  <c r="AM12" i="25"/>
  <c r="AQ138" i="17"/>
  <c r="U20" i="25"/>
  <c r="AQ81" i="17"/>
  <c r="AQ57" i="17"/>
  <c r="AQ92" i="17"/>
  <c r="AM19" i="25"/>
  <c r="U21" i="25"/>
  <c r="AQ63" i="17"/>
  <c r="AQ107" i="17"/>
  <c r="AM8" i="25"/>
  <c r="AM21" i="25"/>
  <c r="AQ112" i="17"/>
  <c r="T11" i="25"/>
  <c r="AQ110" i="17"/>
  <c r="AQ99" i="17"/>
  <c r="U9" i="25"/>
  <c r="AN24" i="25"/>
  <c r="H24" i="25"/>
  <c r="U23" i="25"/>
  <c r="U12" i="25"/>
  <c r="U14" i="25"/>
  <c r="AM20" i="25"/>
  <c r="T20" i="25"/>
  <c r="AQ52" i="17"/>
  <c r="T9" i="25"/>
  <c r="T13" i="25"/>
  <c r="T8" i="25"/>
  <c r="U19" i="25"/>
  <c r="U7" i="25"/>
  <c r="U10" i="25"/>
  <c r="U17" i="25"/>
  <c r="AM7" i="25"/>
  <c r="AQ7" i="17"/>
  <c r="N16" i="25"/>
  <c r="AQ53" i="17"/>
  <c r="T23" i="25"/>
  <c r="T7" i="25"/>
  <c r="T14" i="25"/>
  <c r="AQ120" i="17"/>
  <c r="AQ103" i="17"/>
  <c r="AQ73" i="17"/>
  <c r="U11" i="25"/>
  <c r="AP82" i="17"/>
  <c r="U13" i="25"/>
  <c r="U8" i="25"/>
  <c r="AQ94" i="17"/>
  <c r="U15" i="25"/>
  <c r="T16" i="25"/>
  <c r="AQ139" i="17"/>
  <c r="U16" i="25"/>
  <c r="T15" i="25"/>
  <c r="T12" i="25"/>
  <c r="AQ134" i="17"/>
  <c r="AQ86" i="17"/>
  <c r="T10" i="25"/>
  <c r="T17" i="25"/>
  <c r="AQ150" i="17"/>
  <c r="AQ11" i="17"/>
  <c r="U18" i="25"/>
  <c r="N17" i="25"/>
  <c r="AQ42" i="17"/>
  <c r="AQ113" i="17"/>
  <c r="T19" i="25"/>
  <c r="T22" i="25"/>
  <c r="T18" i="25"/>
  <c r="AQ97" i="17"/>
  <c r="N23" i="25"/>
  <c r="T21" i="25"/>
  <c r="N13" i="25"/>
  <c r="AQ78" i="17"/>
  <c r="N22" i="25"/>
  <c r="AQ106" i="17"/>
  <c r="AQ76" i="17"/>
  <c r="N19" i="25"/>
  <c r="N15" i="25"/>
  <c r="N8" i="25"/>
  <c r="N20" i="25"/>
  <c r="AQ56" i="17"/>
  <c r="N21" i="25"/>
  <c r="N18" i="25"/>
  <c r="N12" i="25"/>
  <c r="AQ38" i="17"/>
  <c r="N6" i="25"/>
  <c r="W14" i="25"/>
  <c r="N7" i="25"/>
  <c r="N10" i="25"/>
  <c r="N9" i="25"/>
  <c r="N11" i="25"/>
  <c r="W12" i="25"/>
  <c r="N14" i="25"/>
  <c r="Q14" i="25"/>
  <c r="AQ117" i="17"/>
  <c r="AQ152" i="17"/>
  <c r="AQ153" i="17"/>
  <c r="W15" i="25"/>
  <c r="AQ62" i="17"/>
  <c r="AQ40" i="17"/>
  <c r="AQ140" i="17"/>
  <c r="AQ32" i="17"/>
  <c r="AQ118" i="17"/>
  <c r="AQ44" i="17"/>
  <c r="AQ121" i="17"/>
  <c r="AQ100" i="17"/>
  <c r="AQ30" i="17"/>
  <c r="AQ23" i="17"/>
  <c r="AQ41" i="17"/>
  <c r="AQ13" i="17"/>
  <c r="AQ37" i="17"/>
  <c r="Q17" i="25"/>
  <c r="AQ154" i="17"/>
  <c r="Q22" i="25"/>
  <c r="AQ101" i="17"/>
  <c r="AQ142" i="17"/>
  <c r="AQ31" i="17"/>
  <c r="AQ12" i="17"/>
  <c r="AQ130" i="17"/>
  <c r="AQ98" i="17"/>
  <c r="AQ123" i="17"/>
  <c r="W8" i="25"/>
  <c r="W18" i="25"/>
  <c r="W20" i="25"/>
  <c r="AQ8" i="17"/>
  <c r="W10" i="25"/>
  <c r="AQ131" i="17"/>
  <c r="W7" i="25"/>
  <c r="Q18" i="25"/>
  <c r="AQ102" i="17"/>
  <c r="AQ143" i="17"/>
  <c r="AQ22" i="17"/>
  <c r="AQ147" i="17"/>
  <c r="AQ34" i="17"/>
  <c r="AQ70" i="17"/>
  <c r="AQ109" i="17"/>
  <c r="AQ48" i="17"/>
  <c r="AQ137" i="17"/>
  <c r="AQ71" i="17"/>
  <c r="AQ75" i="17"/>
  <c r="AQ129" i="17"/>
  <c r="AQ89" i="17"/>
  <c r="AQ151" i="17"/>
  <c r="AQ10" i="17"/>
  <c r="R15" i="25"/>
  <c r="Q12" i="25"/>
  <c r="AQ91" i="17"/>
  <c r="Q9" i="25"/>
  <c r="AQ115" i="17"/>
  <c r="AQ15" i="17"/>
  <c r="AQ145" i="17"/>
  <c r="AQ50" i="17"/>
  <c r="AQ135" i="17"/>
  <c r="AQ127" i="17"/>
  <c r="Q13" i="25"/>
  <c r="W9" i="25"/>
  <c r="W21" i="25"/>
  <c r="AQ25" i="17"/>
  <c r="AQ61" i="17"/>
  <c r="W17" i="25"/>
  <c r="W13" i="25"/>
  <c r="AQ64" i="17"/>
  <c r="AQ35" i="17"/>
  <c r="AQ68" i="17"/>
  <c r="AQ128" i="17"/>
  <c r="AQ149" i="17"/>
  <c r="AQ105" i="17"/>
  <c r="AQ155" i="17"/>
  <c r="AQ59" i="17"/>
  <c r="AQ49" i="17"/>
  <c r="Q16" i="25"/>
  <c r="AQ80" i="17"/>
  <c r="AQ58" i="17"/>
  <c r="AQ29" i="17"/>
  <c r="AQ146" i="17"/>
  <c r="AQ60" i="17"/>
  <c r="AQ96" i="17"/>
  <c r="AQ72" i="17"/>
  <c r="Q21" i="25"/>
  <c r="AQ114" i="17"/>
  <c r="AQ108" i="17"/>
  <c r="AQ66" i="17"/>
  <c r="AQ88" i="17"/>
  <c r="AQ126" i="17"/>
  <c r="AQ125" i="17"/>
  <c r="W22" i="25"/>
  <c r="W6" i="25"/>
  <c r="W23" i="25"/>
  <c r="AQ122" i="17"/>
  <c r="W11" i="25"/>
  <c r="W19" i="25"/>
  <c r="X15" i="25"/>
  <c r="U22" i="25"/>
  <c r="AQ124" i="17"/>
  <c r="AQ45" i="17"/>
  <c r="Q15" i="25"/>
  <c r="Q23" i="25"/>
  <c r="AQ104" i="17"/>
  <c r="AQ51" i="17"/>
  <c r="AQ116" i="17"/>
  <c r="AQ136" i="17"/>
  <c r="AQ65" i="17"/>
  <c r="AQ77" i="17"/>
  <c r="Q8" i="25"/>
  <c r="AQ119" i="17"/>
  <c r="AQ141" i="17"/>
  <c r="AQ36" i="17"/>
  <c r="AQ9" i="17"/>
  <c r="Q11" i="25"/>
  <c r="AQ148" i="17"/>
  <c r="Q6" i="25"/>
  <c r="Q10" i="25"/>
  <c r="AQ18" i="17"/>
  <c r="AQ16" i="17"/>
  <c r="Q20" i="25"/>
  <c r="AQ82" i="17"/>
  <c r="Q19" i="25"/>
  <c r="AQ111" i="17"/>
  <c r="AQ17" i="17"/>
  <c r="Q7" i="25"/>
  <c r="X12" i="25"/>
  <c r="W16" i="25"/>
  <c r="AP6" i="17" l="1"/>
  <c r="O156" i="17"/>
  <c r="AM23" i="25"/>
  <c r="AP20" i="25"/>
  <c r="O20" i="25"/>
  <c r="AP6" i="25"/>
  <c r="O6" i="25"/>
  <c r="AP13" i="25"/>
  <c r="O8" i="25"/>
  <c r="O21" i="25"/>
  <c r="AP21" i="25"/>
  <c r="O13" i="25"/>
  <c r="AP22" i="17"/>
  <c r="O16" i="25"/>
  <c r="AP79" i="17"/>
  <c r="AP23" i="25" s="1"/>
  <c r="O23" i="25"/>
  <c r="AP41" i="17"/>
  <c r="O12" i="25"/>
  <c r="AP104" i="17"/>
  <c r="AP19" i="25" s="1"/>
  <c r="O19" i="25"/>
  <c r="AP45" i="17"/>
  <c r="O9" i="25"/>
  <c r="AP33" i="17"/>
  <c r="O10" i="25"/>
  <c r="AP114" i="17"/>
  <c r="O15" i="25"/>
  <c r="AP44" i="17"/>
  <c r="O7" i="25"/>
  <c r="AP55" i="17"/>
  <c r="O11" i="25"/>
  <c r="AP70" i="17"/>
  <c r="O18" i="25"/>
  <c r="AM22" i="25"/>
  <c r="AK24" i="25"/>
  <c r="AI24" i="25"/>
  <c r="AM18" i="25"/>
  <c r="O17" i="25"/>
  <c r="O22" i="25"/>
  <c r="T24" i="25"/>
  <c r="U24" i="25"/>
  <c r="W24" i="25"/>
  <c r="N24" i="25"/>
  <c r="Q24" i="25"/>
  <c r="X14" i="25"/>
  <c r="R13" i="25"/>
  <c r="R14" i="25"/>
  <c r="R23" i="25"/>
  <c r="O14" i="25"/>
  <c r="AP36" i="17"/>
  <c r="AQ67" i="17"/>
  <c r="R7" i="25"/>
  <c r="X16" i="25"/>
  <c r="AQ19" i="17"/>
  <c r="R6" i="25"/>
  <c r="X19" i="25"/>
  <c r="X11" i="25"/>
  <c r="X23" i="25"/>
  <c r="AQ84" i="17"/>
  <c r="X22" i="25"/>
  <c r="X17" i="25"/>
  <c r="X21" i="25"/>
  <c r="AQ43" i="17"/>
  <c r="R12" i="25"/>
  <c r="X7" i="25"/>
  <c r="AQ46" i="17"/>
  <c r="X10" i="25"/>
  <c r="X20" i="25"/>
  <c r="R22" i="25"/>
  <c r="AQ6" i="17"/>
  <c r="AQ26" i="17"/>
  <c r="R18" i="25"/>
  <c r="AQ54" i="17"/>
  <c r="R11" i="25"/>
  <c r="AQ24" i="17"/>
  <c r="R16" i="25"/>
  <c r="AQ74" i="17"/>
  <c r="R19" i="25"/>
  <c r="AQ69" i="17"/>
  <c r="R20" i="25"/>
  <c r="AQ33" i="17"/>
  <c r="R10" i="25"/>
  <c r="AQ20" i="17"/>
  <c r="R8" i="25"/>
  <c r="X18" i="25"/>
  <c r="X8" i="25"/>
  <c r="AQ39" i="17"/>
  <c r="R17" i="25"/>
  <c r="X6" i="25"/>
  <c r="AQ21" i="17"/>
  <c r="R21" i="25"/>
  <c r="X13" i="25"/>
  <c r="AQ27" i="17"/>
  <c r="X9" i="25"/>
  <c r="AQ47" i="17"/>
  <c r="R9" i="25"/>
  <c r="AQ156" i="17" l="1"/>
  <c r="AP156" i="17"/>
  <c r="AQ17" i="25"/>
  <c r="AQ6" i="25"/>
  <c r="AP14" i="25"/>
  <c r="AP11" i="25"/>
  <c r="AP15" i="25"/>
  <c r="AQ11" i="25"/>
  <c r="AP9" i="25"/>
  <c r="AP12" i="25"/>
  <c r="AP16" i="25"/>
  <c r="AP18" i="25"/>
  <c r="AP7" i="25"/>
  <c r="AP10" i="25"/>
  <c r="AM24" i="25"/>
  <c r="AQ16" i="25"/>
  <c r="AQ10" i="25"/>
  <c r="AP17" i="25"/>
  <c r="AQ13" i="25"/>
  <c r="AQ21" i="25"/>
  <c r="AQ9" i="25"/>
  <c r="AP8" i="25"/>
  <c r="O24" i="25"/>
  <c r="AP22" i="25"/>
  <c r="X24" i="25"/>
  <c r="R24" i="25"/>
  <c r="AQ8" i="25"/>
  <c r="AQ20" i="25"/>
  <c r="AQ14" i="25"/>
  <c r="AQ12" i="25"/>
  <c r="AQ7" i="25"/>
  <c r="AQ19" i="25"/>
  <c r="AQ18" i="25"/>
  <c r="AQ23" i="25"/>
  <c r="AQ15" i="25"/>
  <c r="AQ22" i="25"/>
  <c r="AP24" i="25" l="1"/>
  <c r="AQ24" i="25"/>
  <c r="I147" i="17" l="1"/>
  <c r="J147" i="17" l="1"/>
  <c r="J156" i="17" s="1"/>
  <c r="J23" i="25"/>
  <c r="I23" i="25" s="1"/>
  <c r="K147" i="17" l="1"/>
  <c r="J13" i="25"/>
  <c r="I13" i="25" s="1"/>
  <c r="J16" i="25"/>
  <c r="I16" i="25" s="1"/>
  <c r="J15" i="25"/>
  <c r="I15" i="25" s="1"/>
  <c r="J22" i="25"/>
  <c r="I22" i="25" s="1"/>
  <c r="L147" i="17" l="1"/>
  <c r="AO147" i="17" s="1"/>
  <c r="J24" i="25"/>
  <c r="I24" i="25" s="1"/>
  <c r="K18" i="17"/>
  <c r="L18" i="17" s="1"/>
  <c r="K101" i="17"/>
  <c r="K104" i="17"/>
  <c r="K51" i="17"/>
  <c r="K24" i="17"/>
  <c r="L24" i="17" s="1"/>
  <c r="K119" i="17"/>
  <c r="K90" i="17"/>
  <c r="K118" i="17"/>
  <c r="K84" i="17"/>
  <c r="L84" i="17" s="1"/>
  <c r="K68" i="17"/>
  <c r="K98" i="17"/>
  <c r="K23" i="17"/>
  <c r="K109" i="17"/>
  <c r="L109" i="17" s="1"/>
  <c r="K27" i="17"/>
  <c r="L27" i="17" s="1"/>
  <c r="K80" i="17"/>
  <c r="K144" i="17"/>
  <c r="K154" i="17"/>
  <c r="L154" i="17" s="1"/>
  <c r="K14" i="17"/>
  <c r="K143" i="17"/>
  <c r="K92" i="17"/>
  <c r="K66" i="17"/>
  <c r="K45" i="17"/>
  <c r="K30" i="17"/>
  <c r="K88" i="17"/>
  <c r="K113" i="17"/>
  <c r="K12" i="17"/>
  <c r="K115" i="17"/>
  <c r="K29" i="17"/>
  <c r="K40" i="17"/>
  <c r="K86" i="17"/>
  <c r="K102" i="17"/>
  <c r="L102" i="17" s="1"/>
  <c r="K120" i="17"/>
  <c r="K146" i="17"/>
  <c r="K69" i="17"/>
  <c r="L69" i="17" s="1"/>
  <c r="K13" i="17"/>
  <c r="L13" i="17" s="1"/>
  <c r="K91" i="17"/>
  <c r="K94" i="17"/>
  <c r="K141" i="17"/>
  <c r="K96" i="17"/>
  <c r="L96" i="17" s="1"/>
  <c r="K63" i="17"/>
  <c r="K9" i="17"/>
  <c r="K125" i="17"/>
  <c r="K73" i="17"/>
  <c r="L73" i="17" s="1"/>
  <c r="K133" i="17"/>
  <c r="K107" i="17"/>
  <c r="K150" i="17"/>
  <c r="K28" i="17"/>
  <c r="K114" i="17"/>
  <c r="K122" i="17"/>
  <c r="K41" i="17"/>
  <c r="K126" i="17"/>
  <c r="K35" i="17"/>
  <c r="K87" i="17"/>
  <c r="K148" i="17"/>
  <c r="K50" i="17"/>
  <c r="K32" i="17"/>
  <c r="K151" i="17"/>
  <c r="K134" i="17"/>
  <c r="K54" i="17"/>
  <c r="L54" i="17" s="1"/>
  <c r="K95" i="17"/>
  <c r="K47" i="17"/>
  <c r="L47" i="17" s="1"/>
  <c r="K149" i="17"/>
  <c r="K145" i="17"/>
  <c r="K111" i="17"/>
  <c r="L111" i="17" s="1"/>
  <c r="AO111" i="17" s="1"/>
  <c r="K136" i="17"/>
  <c r="K34" i="17"/>
  <c r="K81" i="17"/>
  <c r="L81" i="17" s="1"/>
  <c r="K97" i="17"/>
  <c r="K33" i="17"/>
  <c r="L33" i="17" s="1"/>
  <c r="K43" i="17"/>
  <c r="L43" i="17" s="1"/>
  <c r="K21" i="17"/>
  <c r="L21" i="17" s="1"/>
  <c r="K20" i="17"/>
  <c r="L20" i="17" s="1"/>
  <c r="K108" i="17"/>
  <c r="K153" i="17"/>
  <c r="K53" i="17"/>
  <c r="L53" i="17" s="1"/>
  <c r="K65" i="17"/>
  <c r="K78" i="17"/>
  <c r="K77" i="17"/>
  <c r="K99" i="17"/>
  <c r="L99" i="17" s="1"/>
  <c r="K8" i="17"/>
  <c r="K79" i="17"/>
  <c r="K6" i="17"/>
  <c r="K124" i="17"/>
  <c r="L124" i="17" s="1"/>
  <c r="K105" i="17"/>
  <c r="K132" i="17"/>
  <c r="K44" i="17"/>
  <c r="K52" i="17"/>
  <c r="L52" i="17" s="1"/>
  <c r="K59" i="17"/>
  <c r="K60" i="17"/>
  <c r="K138" i="17"/>
  <c r="K25" i="17"/>
  <c r="L25" i="17" s="1"/>
  <c r="K117" i="17"/>
  <c r="K130" i="17"/>
  <c r="K55" i="17"/>
  <c r="K49" i="17"/>
  <c r="K17" i="17"/>
  <c r="K131" i="17"/>
  <c r="K123" i="17"/>
  <c r="K93" i="17"/>
  <c r="K106" i="17"/>
  <c r="K48" i="17"/>
  <c r="K128" i="17"/>
  <c r="K16" i="17"/>
  <c r="K152" i="17"/>
  <c r="K139" i="17"/>
  <c r="K142" i="17"/>
  <c r="K36" i="17"/>
  <c r="K140" i="17"/>
  <c r="K85" i="17"/>
  <c r="K89" i="17"/>
  <c r="K37" i="17"/>
  <c r="K22" i="17"/>
  <c r="K58" i="17"/>
  <c r="K135" i="17"/>
  <c r="K61" i="17"/>
  <c r="K19" i="17"/>
  <c r="L19" i="17" s="1"/>
  <c r="K129" i="17"/>
  <c r="K26" i="17"/>
  <c r="L26" i="17" s="1"/>
  <c r="K127" i="17"/>
  <c r="K7" i="17"/>
  <c r="L7" i="17" s="1"/>
  <c r="K46" i="17"/>
  <c r="L46" i="17" s="1"/>
  <c r="K31" i="17"/>
  <c r="K15" i="17"/>
  <c r="K39" i="17"/>
  <c r="L39" i="17" s="1"/>
  <c r="K76" i="17"/>
  <c r="K42" i="17"/>
  <c r="K121" i="17"/>
  <c r="K116" i="17"/>
  <c r="K67" i="17"/>
  <c r="K110" i="17"/>
  <c r="K137" i="17"/>
  <c r="K112" i="17"/>
  <c r="K57" i="17"/>
  <c r="K56" i="17"/>
  <c r="L56" i="17" s="1"/>
  <c r="K155" i="17"/>
  <c r="K11" i="17"/>
  <c r="K100" i="17"/>
  <c r="K38" i="17"/>
  <c r="K10" i="17"/>
  <c r="K83" i="17"/>
  <c r="K72" i="17"/>
  <c r="K70" i="17"/>
  <c r="K71" i="17"/>
  <c r="K74" i="17"/>
  <c r="L74" i="17" s="1"/>
  <c r="K75" i="17"/>
  <c r="K64" i="17"/>
  <c r="K82" i="17"/>
  <c r="K103" i="17"/>
  <c r="K62" i="17"/>
  <c r="L6" i="17" l="1"/>
  <c r="K156" i="17"/>
  <c r="AO18" i="17"/>
  <c r="AO73" i="17"/>
  <c r="AO96" i="17"/>
  <c r="AO13" i="17"/>
  <c r="AO102" i="17"/>
  <c r="AO154" i="17"/>
  <c r="AO109" i="17"/>
  <c r="Z147" i="17"/>
  <c r="AR147" i="17" s="1"/>
  <c r="E147" i="24" s="1"/>
  <c r="AO25" i="17"/>
  <c r="Z52" i="17"/>
  <c r="AR52" i="17" s="1"/>
  <c r="AO124" i="17"/>
  <c r="Z99" i="17"/>
  <c r="AR99" i="17" s="1"/>
  <c r="E99" i="24" s="1"/>
  <c r="Z53" i="17"/>
  <c r="AR53" i="17" s="1"/>
  <c r="AO81" i="17"/>
  <c r="Z111" i="17"/>
  <c r="M111" i="24" s="1"/>
  <c r="N111" i="24" s="1"/>
  <c r="O111" i="24" s="1"/>
  <c r="Z73" i="17"/>
  <c r="AR73" i="17" s="1"/>
  <c r="Z18" i="17"/>
  <c r="AR18" i="17" s="1"/>
  <c r="Z154" i="17"/>
  <c r="AR154" i="17" s="1"/>
  <c r="E154" i="24" s="1"/>
  <c r="Z109" i="17"/>
  <c r="Z96" i="17"/>
  <c r="AR96" i="17" s="1"/>
  <c r="E96" i="24" s="1"/>
  <c r="Z13" i="17"/>
  <c r="M13" i="24" s="1"/>
  <c r="N13" i="24" s="1"/>
  <c r="O13" i="24" s="1"/>
  <c r="Z102" i="17"/>
  <c r="AR102" i="17" s="1"/>
  <c r="E102" i="24" s="1"/>
  <c r="Z124" i="17"/>
  <c r="Z81" i="17"/>
  <c r="AR81" i="17" s="1"/>
  <c r="E81" i="24" s="1"/>
  <c r="AO53" i="17"/>
  <c r="AO99" i="17"/>
  <c r="AO52" i="17"/>
  <c r="Z25" i="17"/>
  <c r="AR25" i="17" s="1"/>
  <c r="L85" i="17"/>
  <c r="L142" i="17"/>
  <c r="L128" i="17"/>
  <c r="L123" i="17"/>
  <c r="L49" i="17"/>
  <c r="L134" i="17"/>
  <c r="L148" i="17"/>
  <c r="L41" i="17"/>
  <c r="L150" i="17"/>
  <c r="L29" i="17"/>
  <c r="L88" i="17"/>
  <c r="L92" i="17"/>
  <c r="L64" i="17"/>
  <c r="L112" i="17"/>
  <c r="L62" i="17"/>
  <c r="L75" i="17"/>
  <c r="L70" i="17"/>
  <c r="L10" i="17"/>
  <c r="L155" i="17"/>
  <c r="L137" i="17"/>
  <c r="L121" i="17"/>
  <c r="L15" i="17"/>
  <c r="L127" i="17"/>
  <c r="L61" i="17"/>
  <c r="L22" i="17"/>
  <c r="L140" i="17"/>
  <c r="L139" i="17"/>
  <c r="L48" i="17"/>
  <c r="L55" i="17"/>
  <c r="L138" i="17"/>
  <c r="L44" i="17"/>
  <c r="L77" i="17"/>
  <c r="L153" i="17"/>
  <c r="L95" i="17"/>
  <c r="L151" i="17"/>
  <c r="L87" i="17"/>
  <c r="L122" i="17"/>
  <c r="Z122" i="17" s="1"/>
  <c r="L107" i="17"/>
  <c r="L125" i="17"/>
  <c r="L141" i="17"/>
  <c r="Z141" i="17" s="1"/>
  <c r="L115" i="17"/>
  <c r="L30" i="17"/>
  <c r="L144" i="17"/>
  <c r="L23" i="17"/>
  <c r="L118" i="17"/>
  <c r="L51" i="17"/>
  <c r="L116" i="17"/>
  <c r="L103" i="17"/>
  <c r="L72" i="17"/>
  <c r="L38" i="17"/>
  <c r="L110" i="17"/>
  <c r="L42" i="17"/>
  <c r="L31" i="17"/>
  <c r="L135" i="17"/>
  <c r="L37" i="17"/>
  <c r="L152" i="17"/>
  <c r="L106" i="17"/>
  <c r="L131" i="17"/>
  <c r="L130" i="17"/>
  <c r="L60" i="17"/>
  <c r="Z60" i="17" s="1"/>
  <c r="L132" i="17"/>
  <c r="L79" i="17"/>
  <c r="L78" i="17"/>
  <c r="L108" i="17"/>
  <c r="L34" i="17"/>
  <c r="L145" i="17"/>
  <c r="L32" i="17"/>
  <c r="L35" i="17"/>
  <c r="L114" i="17"/>
  <c r="L9" i="17"/>
  <c r="L94" i="17"/>
  <c r="L146" i="17"/>
  <c r="L86" i="17"/>
  <c r="L12" i="17"/>
  <c r="L45" i="17"/>
  <c r="L9" i="25" s="1"/>
  <c r="L143" i="17"/>
  <c r="L80" i="17"/>
  <c r="L98" i="17"/>
  <c r="L90" i="17"/>
  <c r="L104" i="17"/>
  <c r="L11" i="17"/>
  <c r="L82" i="17"/>
  <c r="L71" i="17"/>
  <c r="L83" i="17"/>
  <c r="L100" i="17"/>
  <c r="L57" i="17"/>
  <c r="L67" i="17"/>
  <c r="L76" i="17"/>
  <c r="L129" i="17"/>
  <c r="L58" i="17"/>
  <c r="L89" i="17"/>
  <c r="L36" i="17"/>
  <c r="L16" i="17"/>
  <c r="L93" i="17"/>
  <c r="L17" i="17"/>
  <c r="L117" i="17"/>
  <c r="L59" i="17"/>
  <c r="L105" i="17"/>
  <c r="L8" i="17"/>
  <c r="L65" i="17"/>
  <c r="L97" i="17"/>
  <c r="L136" i="17"/>
  <c r="L149" i="17"/>
  <c r="L50" i="17"/>
  <c r="L126" i="17"/>
  <c r="L28" i="17"/>
  <c r="L133" i="17"/>
  <c r="L63" i="17"/>
  <c r="L91" i="17"/>
  <c r="L120" i="17"/>
  <c r="L40" i="17"/>
  <c r="L113" i="17"/>
  <c r="L66" i="17"/>
  <c r="L14" i="17"/>
  <c r="L68" i="17"/>
  <c r="L119" i="17"/>
  <c r="L101" i="17"/>
  <c r="K13" i="25"/>
  <c r="K6" i="25"/>
  <c r="K15" i="25"/>
  <c r="K12" i="25"/>
  <c r="K16" i="25"/>
  <c r="K23" i="25"/>
  <c r="K19" i="25"/>
  <c r="K22" i="25"/>
  <c r="K20" i="25"/>
  <c r="K14" i="25"/>
  <c r="K21" i="25"/>
  <c r="K10" i="25"/>
  <c r="K9" i="25"/>
  <c r="K11" i="25"/>
  <c r="K17" i="25"/>
  <c r="K8" i="25"/>
  <c r="Z6" i="17"/>
  <c r="K7" i="25"/>
  <c r="K18" i="25"/>
  <c r="AO39" i="17"/>
  <c r="Z39" i="17"/>
  <c r="AO46" i="17"/>
  <c r="Z46" i="17"/>
  <c r="AO43" i="17"/>
  <c r="Z43" i="17"/>
  <c r="AO47" i="17"/>
  <c r="Z47" i="17"/>
  <c r="AO27" i="17"/>
  <c r="Z27" i="17"/>
  <c r="AO33" i="17"/>
  <c r="Z33" i="17"/>
  <c r="AO74" i="17"/>
  <c r="Z74" i="17"/>
  <c r="AO24" i="17"/>
  <c r="Z24" i="17"/>
  <c r="AO69" i="17"/>
  <c r="Z69" i="17"/>
  <c r="AO26" i="17"/>
  <c r="Z26" i="17"/>
  <c r="AO20" i="17"/>
  <c r="Z20" i="17"/>
  <c r="Z84" i="17"/>
  <c r="AO84" i="17"/>
  <c r="AO56" i="17"/>
  <c r="Z56" i="17"/>
  <c r="AO19" i="17"/>
  <c r="Z19" i="17"/>
  <c r="AO21" i="17"/>
  <c r="Z21" i="17"/>
  <c r="AO54" i="17"/>
  <c r="Z54" i="17"/>
  <c r="L156" i="17" l="1"/>
  <c r="AR111" i="17"/>
  <c r="G111" i="24" s="1"/>
  <c r="M53" i="24"/>
  <c r="N53" i="24" s="1"/>
  <c r="O53" i="24" s="1"/>
  <c r="M99" i="24"/>
  <c r="N99" i="24" s="1"/>
  <c r="O99" i="24" s="1"/>
  <c r="M147" i="24"/>
  <c r="N147" i="24" s="1"/>
  <c r="O147" i="24" s="1"/>
  <c r="M96" i="24"/>
  <c r="N96" i="24" s="1"/>
  <c r="O96" i="24" s="1"/>
  <c r="M73" i="24"/>
  <c r="N73" i="24" s="1"/>
  <c r="O73" i="24" s="1"/>
  <c r="AT147" i="17"/>
  <c r="F25" i="24"/>
  <c r="F147" i="24"/>
  <c r="M81" i="24"/>
  <c r="N81" i="24" s="1"/>
  <c r="O81" i="24" s="1"/>
  <c r="J53" i="24"/>
  <c r="I53" i="24"/>
  <c r="K53" i="24"/>
  <c r="G53" i="24"/>
  <c r="H53" i="24"/>
  <c r="E53" i="24"/>
  <c r="K18" i="24"/>
  <c r="I18" i="24"/>
  <c r="J18" i="24"/>
  <c r="H18" i="24"/>
  <c r="G18" i="24"/>
  <c r="E18" i="24"/>
  <c r="Z101" i="17"/>
  <c r="M101" i="24" s="1"/>
  <c r="N101" i="24" s="1"/>
  <c r="O101" i="24" s="1"/>
  <c r="AO91" i="17"/>
  <c r="AO136" i="17"/>
  <c r="AO93" i="17"/>
  <c r="AO57" i="17"/>
  <c r="Z98" i="17"/>
  <c r="M98" i="24" s="1"/>
  <c r="N98" i="24" s="1"/>
  <c r="O98" i="24" s="1"/>
  <c r="AO9" i="17"/>
  <c r="AO78" i="17"/>
  <c r="AO30" i="17"/>
  <c r="L14" i="25"/>
  <c r="J52" i="24"/>
  <c r="K52" i="24"/>
  <c r="I52" i="24"/>
  <c r="H52" i="24"/>
  <c r="G52" i="24"/>
  <c r="I96" i="24"/>
  <c r="K96" i="24"/>
  <c r="J96" i="24"/>
  <c r="G96" i="24"/>
  <c r="H96" i="24"/>
  <c r="Z119" i="17"/>
  <c r="AO113" i="17"/>
  <c r="Z63" i="17"/>
  <c r="AR63" i="17" s="1"/>
  <c r="E63" i="24" s="1"/>
  <c r="AO50" i="17"/>
  <c r="Z97" i="17"/>
  <c r="AR97" i="17" s="1"/>
  <c r="E97" i="24" s="1"/>
  <c r="AO59" i="17"/>
  <c r="AO16" i="17"/>
  <c r="AO129" i="17"/>
  <c r="AO100" i="17"/>
  <c r="AO11" i="17"/>
  <c r="Z80" i="17"/>
  <c r="AR80" i="17" s="1"/>
  <c r="E80" i="24" s="1"/>
  <c r="AO86" i="17"/>
  <c r="Z145" i="17"/>
  <c r="AR145" i="17" s="1"/>
  <c r="E145" i="24" s="1"/>
  <c r="AO79" i="17"/>
  <c r="AO131" i="17"/>
  <c r="AO37" i="17"/>
  <c r="AO110" i="17"/>
  <c r="AO116" i="17"/>
  <c r="Z23" i="17"/>
  <c r="M23" i="24" s="1"/>
  <c r="N23" i="24" s="1"/>
  <c r="O23" i="24" s="1"/>
  <c r="Z115" i="17"/>
  <c r="AR115" i="17" s="1"/>
  <c r="Z107" i="17"/>
  <c r="AR107" i="17" s="1"/>
  <c r="E107" i="24" s="1"/>
  <c r="Z95" i="17"/>
  <c r="AR95" i="17" s="1"/>
  <c r="Z77" i="17"/>
  <c r="M77" i="24" s="1"/>
  <c r="N77" i="24" s="1"/>
  <c r="O77" i="24" s="1"/>
  <c r="Z22" i="17"/>
  <c r="M22" i="24" s="1"/>
  <c r="N22" i="24" s="1"/>
  <c r="O22" i="24" s="1"/>
  <c r="AO121" i="17"/>
  <c r="AO70" i="17"/>
  <c r="AO64" i="17"/>
  <c r="AO150" i="17"/>
  <c r="AO49" i="17"/>
  <c r="AO85" i="17"/>
  <c r="F81" i="24"/>
  <c r="E52" i="24"/>
  <c r="F102" i="24"/>
  <c r="F96" i="24"/>
  <c r="F53" i="24"/>
  <c r="I25" i="24"/>
  <c r="J25" i="24"/>
  <c r="K25" i="24"/>
  <c r="H25" i="24"/>
  <c r="G25" i="24"/>
  <c r="J102" i="24"/>
  <c r="I102" i="24"/>
  <c r="K102" i="24"/>
  <c r="G102" i="24"/>
  <c r="H102" i="24"/>
  <c r="K73" i="24"/>
  <c r="I73" i="24"/>
  <c r="J73" i="24"/>
  <c r="H73" i="24"/>
  <c r="G73" i="24"/>
  <c r="AO68" i="17"/>
  <c r="Z40" i="17"/>
  <c r="AR40" i="17" s="1"/>
  <c r="E40" i="24" s="1"/>
  <c r="AO133" i="17"/>
  <c r="Z65" i="17"/>
  <c r="AR65" i="17" s="1"/>
  <c r="E65" i="24" s="1"/>
  <c r="Z117" i="17"/>
  <c r="AR117" i="17" s="1"/>
  <c r="AO36" i="17"/>
  <c r="Z76" i="17"/>
  <c r="M76" i="24" s="1"/>
  <c r="N76" i="24" s="1"/>
  <c r="O76" i="24" s="1"/>
  <c r="Z83" i="17"/>
  <c r="AR83" i="17" s="1"/>
  <c r="E83" i="24" s="1"/>
  <c r="Z104" i="17"/>
  <c r="M104" i="24" s="1"/>
  <c r="N104" i="24" s="1"/>
  <c r="O104" i="24" s="1"/>
  <c r="Z143" i="17"/>
  <c r="AR143" i="17" s="1"/>
  <c r="E143" i="24" s="1"/>
  <c r="AO146" i="17"/>
  <c r="AO114" i="17"/>
  <c r="Z34" i="17"/>
  <c r="AR34" i="17" s="1"/>
  <c r="E34" i="24" s="1"/>
  <c r="Z132" i="17"/>
  <c r="M132" i="24" s="1"/>
  <c r="N132" i="24" s="1"/>
  <c r="O132" i="24" s="1"/>
  <c r="AO106" i="17"/>
  <c r="AO135" i="17"/>
  <c r="Z38" i="17"/>
  <c r="AR38" i="17" s="1"/>
  <c r="AO144" i="17"/>
  <c r="AO122" i="17"/>
  <c r="AO44" i="17"/>
  <c r="Z48" i="17"/>
  <c r="AR48" i="17" s="1"/>
  <c r="E48" i="24" s="1"/>
  <c r="AO61" i="17"/>
  <c r="AO137" i="17"/>
  <c r="AO75" i="17"/>
  <c r="Z92" i="17"/>
  <c r="AR92" i="17" s="1"/>
  <c r="E92" i="24" s="1"/>
  <c r="Z41" i="17"/>
  <c r="AR41" i="17" s="1"/>
  <c r="E41" i="24" s="1"/>
  <c r="AO123" i="17"/>
  <c r="F52" i="24"/>
  <c r="E73" i="24"/>
  <c r="K99" i="24"/>
  <c r="J99" i="24"/>
  <c r="I99" i="24"/>
  <c r="G99" i="24"/>
  <c r="H99" i="24"/>
  <c r="Z66" i="17"/>
  <c r="M66" i="24" s="1"/>
  <c r="N66" i="24" s="1"/>
  <c r="O66" i="24" s="1"/>
  <c r="AO126" i="17"/>
  <c r="Z105" i="17"/>
  <c r="AR105" i="17" s="1"/>
  <c r="E105" i="24" s="1"/>
  <c r="AO58" i="17"/>
  <c r="AO82" i="17"/>
  <c r="AO12" i="17"/>
  <c r="AO32" i="17"/>
  <c r="AO130" i="17"/>
  <c r="AO42" i="17"/>
  <c r="AO103" i="17"/>
  <c r="Z118" i="17"/>
  <c r="AR118" i="17" s="1"/>
  <c r="E118" i="24" s="1"/>
  <c r="AO125" i="17"/>
  <c r="AO151" i="17"/>
  <c r="AO153" i="17"/>
  <c r="AO55" i="17"/>
  <c r="AO140" i="17"/>
  <c r="AO15" i="17"/>
  <c r="AO10" i="17"/>
  <c r="AO112" i="17"/>
  <c r="Z29" i="17"/>
  <c r="AR29" i="17" s="1"/>
  <c r="E29" i="24" s="1"/>
  <c r="Z134" i="17"/>
  <c r="AR134" i="17" s="1"/>
  <c r="E134" i="24" s="1"/>
  <c r="Z142" i="17"/>
  <c r="AR142" i="17" s="1"/>
  <c r="E142" i="24" s="1"/>
  <c r="I154" i="24"/>
  <c r="K154" i="24"/>
  <c r="J154" i="24"/>
  <c r="H154" i="24"/>
  <c r="G154" i="24"/>
  <c r="AR13" i="17"/>
  <c r="F13" i="24" s="1"/>
  <c r="J81" i="24"/>
  <c r="I81" i="24"/>
  <c r="K81" i="24"/>
  <c r="H81" i="24"/>
  <c r="G81" i="24"/>
  <c r="Z14" i="17"/>
  <c r="AO120" i="17"/>
  <c r="Z28" i="17"/>
  <c r="AR28" i="17" s="1"/>
  <c r="E28" i="24" s="1"/>
  <c r="AO149" i="17"/>
  <c r="Z8" i="17"/>
  <c r="AR8" i="17" s="1"/>
  <c r="AO17" i="17"/>
  <c r="AO6" i="25" s="1"/>
  <c r="Z89" i="17"/>
  <c r="M89" i="24" s="1"/>
  <c r="N89" i="24" s="1"/>
  <c r="O89" i="24" s="1"/>
  <c r="AO67" i="17"/>
  <c r="Z71" i="17"/>
  <c r="AR71" i="17" s="1"/>
  <c r="E71" i="24" s="1"/>
  <c r="Z90" i="17"/>
  <c r="AR90" i="17" s="1"/>
  <c r="AO45" i="17"/>
  <c r="AO94" i="17"/>
  <c r="AO35" i="17"/>
  <c r="Z108" i="17"/>
  <c r="M108" i="24" s="1"/>
  <c r="N108" i="24" s="1"/>
  <c r="O108" i="24" s="1"/>
  <c r="AO60" i="17"/>
  <c r="AO152" i="17"/>
  <c r="AO31" i="17"/>
  <c r="Z72" i="17"/>
  <c r="M72" i="24" s="1"/>
  <c r="N72" i="24" s="1"/>
  <c r="O72" i="24" s="1"/>
  <c r="Z51" i="17"/>
  <c r="M51" i="24" s="1"/>
  <c r="N51" i="24" s="1"/>
  <c r="O51" i="24" s="1"/>
  <c r="AO141" i="17"/>
  <c r="Z87" i="17"/>
  <c r="AR87" i="17" s="1"/>
  <c r="E87" i="24" s="1"/>
  <c r="AO138" i="17"/>
  <c r="AO139" i="17"/>
  <c r="Z127" i="17"/>
  <c r="M127" i="24" s="1"/>
  <c r="N127" i="24" s="1"/>
  <c r="O127" i="24" s="1"/>
  <c r="AO155" i="17"/>
  <c r="AO62" i="17"/>
  <c r="Z88" i="17"/>
  <c r="AR88" i="17" s="1"/>
  <c r="Z148" i="17"/>
  <c r="AR148" i="17" s="1"/>
  <c r="Z128" i="17"/>
  <c r="M128" i="24" s="1"/>
  <c r="N128" i="24" s="1"/>
  <c r="O128" i="24" s="1"/>
  <c r="F99" i="24"/>
  <c r="E25" i="24"/>
  <c r="K147" i="24"/>
  <c r="J147" i="24"/>
  <c r="I147" i="24"/>
  <c r="G147" i="24"/>
  <c r="H147" i="24"/>
  <c r="F154" i="24"/>
  <c r="F73" i="24"/>
  <c r="F18" i="24"/>
  <c r="Z31" i="17"/>
  <c r="M31" i="24" s="1"/>
  <c r="N31" i="24" s="1"/>
  <c r="O31" i="24" s="1"/>
  <c r="Z120" i="17"/>
  <c r="AR120" i="17" s="1"/>
  <c r="L6" i="25"/>
  <c r="M102" i="24"/>
  <c r="N102" i="24" s="1"/>
  <c r="O102" i="24" s="1"/>
  <c r="Z139" i="17"/>
  <c r="M25" i="24"/>
  <c r="N25" i="24" s="1"/>
  <c r="O25" i="24" s="1"/>
  <c r="Z152" i="17"/>
  <c r="AR152" i="17" s="1"/>
  <c r="AR109" i="17"/>
  <c r="F109" i="24" s="1"/>
  <c r="Z112" i="17"/>
  <c r="Z15" i="17"/>
  <c r="AR15" i="17" s="1"/>
  <c r="AT15" i="17" s="1"/>
  <c r="AR124" i="17"/>
  <c r="Q124" i="24" s="1"/>
  <c r="R124" i="24" s="1"/>
  <c r="S124" i="24" s="1"/>
  <c r="Z130" i="17"/>
  <c r="AR130" i="17" s="1"/>
  <c r="E130" i="24" s="1"/>
  <c r="L11" i="25"/>
  <c r="M109" i="24"/>
  <c r="N109" i="24" s="1"/>
  <c r="O109" i="24" s="1"/>
  <c r="Z32" i="17"/>
  <c r="Z10" i="17"/>
  <c r="AR10" i="17" s="1"/>
  <c r="E10" i="24" s="1"/>
  <c r="Z136" i="17"/>
  <c r="AR136" i="17" s="1"/>
  <c r="Z91" i="17"/>
  <c r="AR91" i="17" s="1"/>
  <c r="E91" i="24" s="1"/>
  <c r="Z55" i="17"/>
  <c r="AR55" i="17" s="1"/>
  <c r="L20" i="25"/>
  <c r="Z106" i="17"/>
  <c r="AR106" i="17" s="1"/>
  <c r="Q106" i="24" s="1"/>
  <c r="R106" i="24" s="1"/>
  <c r="S106" i="24" s="1"/>
  <c r="AO118" i="17"/>
  <c r="AO77" i="17"/>
  <c r="L21" i="25"/>
  <c r="L10" i="25"/>
  <c r="M124" i="24"/>
  <c r="N124" i="24" s="1"/>
  <c r="O124" i="24" s="1"/>
  <c r="L17" i="25"/>
  <c r="Z35" i="17"/>
  <c r="AR35" i="17" s="1"/>
  <c r="E35" i="24" s="1"/>
  <c r="Z62" i="17"/>
  <c r="AR62" i="17" s="1"/>
  <c r="E62" i="24" s="1"/>
  <c r="Z149" i="17"/>
  <c r="AR149" i="17" s="1"/>
  <c r="Q149" i="24" s="1"/>
  <c r="R149" i="24" s="1"/>
  <c r="S149" i="24" s="1"/>
  <c r="AO127" i="17"/>
  <c r="AO108" i="17"/>
  <c r="AO90" i="17"/>
  <c r="AO51" i="17"/>
  <c r="Z155" i="17"/>
  <c r="AR155" i="17" s="1"/>
  <c r="E155" i="24" s="1"/>
  <c r="AO72" i="17"/>
  <c r="AO87" i="17"/>
  <c r="Z45" i="17"/>
  <c r="Z138" i="17"/>
  <c r="AO71" i="17"/>
  <c r="Z94" i="17"/>
  <c r="AO89" i="17"/>
  <c r="Z44" i="17"/>
  <c r="Z42" i="17"/>
  <c r="AR42" i="17" s="1"/>
  <c r="E42" i="24" s="1"/>
  <c r="Z103" i="17"/>
  <c r="M103" i="24" s="1"/>
  <c r="N103" i="24" s="1"/>
  <c r="O103" i="24" s="1"/>
  <c r="Z93" i="17"/>
  <c r="AR93" i="17" s="1"/>
  <c r="E93" i="24" s="1"/>
  <c r="Z30" i="17"/>
  <c r="AR30" i="17" s="1"/>
  <c r="Z9" i="17"/>
  <c r="Z12" i="17"/>
  <c r="M12" i="24" s="1"/>
  <c r="N12" i="24" s="1"/>
  <c r="O12" i="24" s="1"/>
  <c r="Z58" i="17"/>
  <c r="Z82" i="17"/>
  <c r="AR82" i="17" s="1"/>
  <c r="E82" i="24" s="1"/>
  <c r="Z140" i="17"/>
  <c r="AR140" i="17" s="1"/>
  <c r="E140" i="24" s="1"/>
  <c r="Z86" i="17"/>
  <c r="Z121" i="17"/>
  <c r="AO22" i="17"/>
  <c r="Z131" i="17"/>
  <c r="M131" i="24" s="1"/>
  <c r="N131" i="24" s="1"/>
  <c r="O131" i="24" s="1"/>
  <c r="Z37" i="17"/>
  <c r="Z70" i="17"/>
  <c r="Z153" i="17"/>
  <c r="AR153" i="17" s="1"/>
  <c r="AO142" i="17"/>
  <c r="Z151" i="17"/>
  <c r="AR151" i="17" s="1"/>
  <c r="Z150" i="17"/>
  <c r="AO23" i="17"/>
  <c r="Z133" i="17"/>
  <c r="AO83" i="17"/>
  <c r="AO117" i="17"/>
  <c r="Z116" i="17"/>
  <c r="AR116" i="17" s="1"/>
  <c r="Q116" i="24" s="1"/>
  <c r="R116" i="24" s="1"/>
  <c r="S116" i="24" s="1"/>
  <c r="Z11" i="17"/>
  <c r="Z129" i="17"/>
  <c r="Z110" i="17"/>
  <c r="M122" i="24"/>
  <c r="N122" i="24" s="1"/>
  <c r="O122" i="24" s="1"/>
  <c r="AR122" i="17"/>
  <c r="AT122" i="17" s="1"/>
  <c r="L15" i="25"/>
  <c r="Z137" i="17"/>
  <c r="L8" i="25"/>
  <c r="L16" i="25"/>
  <c r="L13" i="25"/>
  <c r="L7" i="25"/>
  <c r="L18" i="25"/>
  <c r="L23" i="25"/>
  <c r="L19" i="25"/>
  <c r="L12" i="25"/>
  <c r="Z75" i="17"/>
  <c r="Z144" i="17"/>
  <c r="Z61" i="17"/>
  <c r="AO34" i="17"/>
  <c r="Z135" i="17"/>
  <c r="AO38" i="17"/>
  <c r="Z126" i="17"/>
  <c r="Z114" i="17"/>
  <c r="Z78" i="17"/>
  <c r="AR78" i="17" s="1"/>
  <c r="AO48" i="17"/>
  <c r="Z16" i="17"/>
  <c r="AR16" i="17" s="1"/>
  <c r="E16" i="24" s="1"/>
  <c r="AO95" i="17"/>
  <c r="AO104" i="17"/>
  <c r="AO80" i="17"/>
  <c r="Z36" i="17"/>
  <c r="AR36" i="17" s="1"/>
  <c r="E36" i="24" s="1"/>
  <c r="Z64" i="17"/>
  <c r="Z79" i="17"/>
  <c r="Z68" i="17"/>
  <c r="AO115" i="17"/>
  <c r="AO107" i="17"/>
  <c r="Z59" i="17"/>
  <c r="AR59" i="17" s="1"/>
  <c r="Z100" i="17"/>
  <c r="M100" i="24" s="1"/>
  <c r="N100" i="24" s="1"/>
  <c r="O100" i="24" s="1"/>
  <c r="Z67" i="17"/>
  <c r="AO66" i="17"/>
  <c r="Z17" i="17"/>
  <c r="Z113" i="17"/>
  <c r="AR113" i="17" s="1"/>
  <c r="AO8" i="17"/>
  <c r="Z50" i="17"/>
  <c r="AO119" i="17"/>
  <c r="AO14" i="17"/>
  <c r="AO63" i="17"/>
  <c r="AO28" i="17"/>
  <c r="AO97" i="17"/>
  <c r="AO145" i="17"/>
  <c r="AO88" i="17"/>
  <c r="AO148" i="17"/>
  <c r="Z49" i="17"/>
  <c r="AO128" i="17"/>
  <c r="Z85" i="17"/>
  <c r="AO65" i="17"/>
  <c r="Z146" i="17"/>
  <c r="AO98" i="17"/>
  <c r="AO132" i="17"/>
  <c r="AO143" i="17"/>
  <c r="Z57" i="17"/>
  <c r="AR57" i="17" s="1"/>
  <c r="AO105" i="17"/>
  <c r="AO76" i="17"/>
  <c r="Z125" i="17"/>
  <c r="AO101" i="17"/>
  <c r="AO40" i="17"/>
  <c r="AO92" i="17"/>
  <c r="AO29" i="17"/>
  <c r="AO41" i="17"/>
  <c r="AO134" i="17"/>
  <c r="Z123" i="17"/>
  <c r="AR141" i="17"/>
  <c r="M141" i="24"/>
  <c r="N141" i="24" s="1"/>
  <c r="O141" i="24" s="1"/>
  <c r="AR60" i="17"/>
  <c r="E60" i="24" s="1"/>
  <c r="M60" i="24"/>
  <c r="N60" i="24" s="1"/>
  <c r="O60" i="24" s="1"/>
  <c r="M39" i="24"/>
  <c r="N39" i="24" s="1"/>
  <c r="O39" i="24" s="1"/>
  <c r="M18" i="24"/>
  <c r="N18" i="24" s="1"/>
  <c r="O18" i="24" s="1"/>
  <c r="M24" i="24"/>
  <c r="N24" i="24" s="1"/>
  <c r="O24" i="24" s="1"/>
  <c r="Z7" i="17"/>
  <c r="AO7" i="17"/>
  <c r="AO6" i="17"/>
  <c r="L22" i="25"/>
  <c r="K24" i="25"/>
  <c r="M84" i="24"/>
  <c r="N84" i="24" s="1"/>
  <c r="O84" i="24" s="1"/>
  <c r="M46" i="24"/>
  <c r="N46" i="24" s="1"/>
  <c r="O46" i="24" s="1"/>
  <c r="M69" i="24"/>
  <c r="N69" i="24" s="1"/>
  <c r="O69" i="24" s="1"/>
  <c r="M26" i="24"/>
  <c r="N26" i="24" s="1"/>
  <c r="O26" i="24" s="1"/>
  <c r="M47" i="24"/>
  <c r="N47" i="24" s="1"/>
  <c r="O47" i="24" s="1"/>
  <c r="M74" i="24"/>
  <c r="N74" i="24" s="1"/>
  <c r="O74" i="24" s="1"/>
  <c r="M20" i="24"/>
  <c r="N20" i="24" s="1"/>
  <c r="O20" i="24" s="1"/>
  <c r="M19" i="24"/>
  <c r="N19" i="24" s="1"/>
  <c r="O19" i="24" s="1"/>
  <c r="M43" i="24"/>
  <c r="N43" i="24" s="1"/>
  <c r="O43" i="24" s="1"/>
  <c r="M27" i="24"/>
  <c r="N27" i="24" s="1"/>
  <c r="O27" i="24" s="1"/>
  <c r="M54" i="24"/>
  <c r="N54" i="24" s="1"/>
  <c r="O54" i="24" s="1"/>
  <c r="M21" i="24"/>
  <c r="N21" i="24" s="1"/>
  <c r="O21" i="24" s="1"/>
  <c r="M6" i="24"/>
  <c r="AR24" i="17"/>
  <c r="F24" i="24" s="1"/>
  <c r="M33" i="24"/>
  <c r="Q102" i="24"/>
  <c r="R102" i="24" s="1"/>
  <c r="S102" i="24" s="1"/>
  <c r="Q96" i="24"/>
  <c r="R96" i="24" s="1"/>
  <c r="S96" i="24" s="1"/>
  <c r="AR27" i="17"/>
  <c r="F27" i="24" s="1"/>
  <c r="M56" i="24"/>
  <c r="AR47" i="17"/>
  <c r="F47" i="24" s="1"/>
  <c r="AT81" i="17"/>
  <c r="AR43" i="17"/>
  <c r="M52" i="24"/>
  <c r="AR46" i="17"/>
  <c r="F46" i="24" s="1"/>
  <c r="AR39" i="17"/>
  <c r="Q81" i="24"/>
  <c r="R81" i="24" s="1"/>
  <c r="S81" i="24" s="1"/>
  <c r="AR54" i="17"/>
  <c r="AR74" i="17"/>
  <c r="F74" i="24" s="1"/>
  <c r="AT53" i="17"/>
  <c r="AR21" i="17"/>
  <c r="F21" i="24" s="1"/>
  <c r="AT99" i="17"/>
  <c r="AT52" i="17"/>
  <c r="AT25" i="17"/>
  <c r="AT154" i="17"/>
  <c r="AR19" i="17"/>
  <c r="F19" i="24" s="1"/>
  <c r="AR84" i="17"/>
  <c r="AR20" i="17"/>
  <c r="AT102" i="17"/>
  <c r="AR26" i="17"/>
  <c r="AR69" i="17"/>
  <c r="Q99" i="24"/>
  <c r="R99" i="24" s="1"/>
  <c r="S99" i="24" s="1"/>
  <c r="AT18" i="17"/>
  <c r="AT96" i="17"/>
  <c r="Q18" i="24"/>
  <c r="AT73" i="17"/>
  <c r="AR56" i="17"/>
  <c r="F56" i="24" s="1"/>
  <c r="Q73" i="24"/>
  <c r="R73" i="24" s="1"/>
  <c r="S73" i="24" s="1"/>
  <c r="AR6" i="17"/>
  <c r="Q147" i="24"/>
  <c r="R147" i="24" s="1"/>
  <c r="S147" i="24" s="1"/>
  <c r="AR33" i="17"/>
  <c r="F33" i="24" s="1"/>
  <c r="N6" i="24" l="1"/>
  <c r="Z156" i="17"/>
  <c r="AO156" i="17"/>
  <c r="F145" i="24"/>
  <c r="Q145" i="24"/>
  <c r="R145" i="24" s="1"/>
  <c r="S145" i="24" s="1"/>
  <c r="M97" i="24"/>
  <c r="N97" i="24" s="1"/>
  <c r="O97" i="24" s="1"/>
  <c r="M145" i="24"/>
  <c r="N145" i="24" s="1"/>
  <c r="O145" i="24" s="1"/>
  <c r="AT145" i="17"/>
  <c r="U145" i="24" s="1"/>
  <c r="V145" i="24" s="1"/>
  <c r="W145" i="24" s="1"/>
  <c r="M148" i="24"/>
  <c r="N148" i="24" s="1"/>
  <c r="O148" i="24" s="1"/>
  <c r="AT111" i="17"/>
  <c r="Q111" i="24"/>
  <c r="R111" i="24" s="1"/>
  <c r="S111" i="24" s="1"/>
  <c r="AT63" i="17"/>
  <c r="M80" i="24"/>
  <c r="N80" i="24" s="1"/>
  <c r="O80" i="24" s="1"/>
  <c r="K111" i="24"/>
  <c r="H111" i="24"/>
  <c r="J111" i="24"/>
  <c r="I111" i="24"/>
  <c r="F111" i="24"/>
  <c r="E111" i="24"/>
  <c r="M41" i="24"/>
  <c r="N41" i="24" s="1"/>
  <c r="O41" i="24" s="1"/>
  <c r="AR22" i="17"/>
  <c r="J22" i="24" s="1"/>
  <c r="AT13" i="17"/>
  <c r="U13" i="24" s="1"/>
  <c r="V13" i="24" s="1"/>
  <c r="W13" i="24" s="1"/>
  <c r="AR132" i="17"/>
  <c r="E132" i="24" s="1"/>
  <c r="F40" i="24"/>
  <c r="M115" i="24"/>
  <c r="N115" i="24" s="1"/>
  <c r="O115" i="24" s="1"/>
  <c r="M105" i="24"/>
  <c r="N105" i="24" s="1"/>
  <c r="O105" i="24" s="1"/>
  <c r="M87" i="24"/>
  <c r="N87" i="24" s="1"/>
  <c r="O87" i="24" s="1"/>
  <c r="M143" i="24"/>
  <c r="N143" i="24" s="1"/>
  <c r="O143" i="24" s="1"/>
  <c r="Q13" i="24"/>
  <c r="R13" i="24" s="1"/>
  <c r="S13" i="24" s="1"/>
  <c r="Q122" i="24"/>
  <c r="R122" i="24" s="1"/>
  <c r="S122" i="24" s="1"/>
  <c r="M29" i="24"/>
  <c r="N29" i="24" s="1"/>
  <c r="AT65" i="17"/>
  <c r="AR31" i="17"/>
  <c r="E31" i="24" s="1"/>
  <c r="M63" i="24"/>
  <c r="N63" i="24" s="1"/>
  <c r="F29" i="24"/>
  <c r="F65" i="24"/>
  <c r="M65" i="24"/>
  <c r="AT83" i="17"/>
  <c r="AR89" i="17"/>
  <c r="E89" i="24" s="1"/>
  <c r="AT29" i="17"/>
  <c r="M83" i="24"/>
  <c r="N83" i="24" s="1"/>
  <c r="AT28" i="17"/>
  <c r="R18" i="24"/>
  <c r="AT130" i="17"/>
  <c r="M92" i="24"/>
  <c r="N92" i="24" s="1"/>
  <c r="O92" i="24" s="1"/>
  <c r="M117" i="24"/>
  <c r="N117" i="24" s="1"/>
  <c r="O117" i="24" s="1"/>
  <c r="AR23" i="17"/>
  <c r="I23" i="24" s="1"/>
  <c r="AT134" i="17"/>
  <c r="U134" i="24" s="1"/>
  <c r="V134" i="24" s="1"/>
  <c r="W134" i="24" s="1"/>
  <c r="AR77" i="17"/>
  <c r="K77" i="24" s="1"/>
  <c r="AT48" i="17"/>
  <c r="M120" i="24"/>
  <c r="N120" i="24" s="1"/>
  <c r="O120" i="24" s="1"/>
  <c r="AO10" i="25"/>
  <c r="M134" i="24"/>
  <c r="N134" i="24" s="1"/>
  <c r="O134" i="24" s="1"/>
  <c r="Q130" i="24"/>
  <c r="R130" i="24" s="1"/>
  <c r="S130" i="24" s="1"/>
  <c r="M130" i="24"/>
  <c r="N130" i="24" s="1"/>
  <c r="O130" i="24" s="1"/>
  <c r="AR98" i="17"/>
  <c r="Q98" i="24" s="1"/>
  <c r="R98" i="24" s="1"/>
  <c r="S98" i="24" s="1"/>
  <c r="M90" i="24"/>
  <c r="N90" i="24" s="1"/>
  <c r="O90" i="24" s="1"/>
  <c r="AR76" i="17"/>
  <c r="Q76" i="24" s="1"/>
  <c r="R76" i="24" s="1"/>
  <c r="S76" i="24" s="1"/>
  <c r="M28" i="24"/>
  <c r="N28" i="24" s="1"/>
  <c r="M38" i="24"/>
  <c r="N38" i="24" s="1"/>
  <c r="O38" i="24" s="1"/>
  <c r="AR104" i="17"/>
  <c r="J104" i="24" s="1"/>
  <c r="F28" i="24"/>
  <c r="AR51" i="17"/>
  <c r="E51" i="24" s="1"/>
  <c r="M48" i="24"/>
  <c r="N48" i="24" s="1"/>
  <c r="Q134" i="24"/>
  <c r="R134" i="24" s="1"/>
  <c r="S134" i="24" s="1"/>
  <c r="AO9" i="25"/>
  <c r="F134" i="24"/>
  <c r="AR66" i="17"/>
  <c r="E66" i="24" s="1"/>
  <c r="E148" i="24"/>
  <c r="Q148" i="24"/>
  <c r="R148" i="24" s="1"/>
  <c r="S148" i="24" s="1"/>
  <c r="AT106" i="17"/>
  <c r="U106" i="24" s="1"/>
  <c r="V106" i="24" s="1"/>
  <c r="W106" i="24" s="1"/>
  <c r="F148" i="24"/>
  <c r="M142" i="24"/>
  <c r="N142" i="24" s="1"/>
  <c r="O142" i="24" s="1"/>
  <c r="M8" i="24"/>
  <c r="N8" i="24" s="1"/>
  <c r="O8" i="24" s="1"/>
  <c r="M118" i="24"/>
  <c r="N118" i="24" s="1"/>
  <c r="O118" i="24" s="1"/>
  <c r="AR127" i="17"/>
  <c r="K127" i="24" s="1"/>
  <c r="M15" i="24"/>
  <c r="N15" i="24" s="1"/>
  <c r="AT149" i="17"/>
  <c r="U149" i="24" s="1"/>
  <c r="V149" i="24" s="1"/>
  <c r="W149" i="24" s="1"/>
  <c r="M106" i="24"/>
  <c r="N106" i="24" s="1"/>
  <c r="O106" i="24" s="1"/>
  <c r="M116" i="24"/>
  <c r="N116" i="24" s="1"/>
  <c r="O116" i="24" s="1"/>
  <c r="M82" i="24"/>
  <c r="N82" i="24" s="1"/>
  <c r="O82" i="24" s="1"/>
  <c r="F92" i="24"/>
  <c r="AR128" i="17"/>
  <c r="E128" i="24" s="1"/>
  <c r="F59" i="24"/>
  <c r="M71" i="24"/>
  <c r="N71" i="24" s="1"/>
  <c r="O71" i="24" s="1"/>
  <c r="M107" i="24"/>
  <c r="N107" i="24" s="1"/>
  <c r="O107" i="24" s="1"/>
  <c r="M34" i="24"/>
  <c r="N34" i="24" s="1"/>
  <c r="O34" i="24" s="1"/>
  <c r="F107" i="24"/>
  <c r="Q40" i="24"/>
  <c r="R40" i="24" s="1"/>
  <c r="S40" i="24" s="1"/>
  <c r="F41" i="24"/>
  <c r="F113" i="24"/>
  <c r="AT40" i="17"/>
  <c r="M136" i="24"/>
  <c r="N136" i="24" s="1"/>
  <c r="O136" i="24" s="1"/>
  <c r="F143" i="24"/>
  <c r="F141" i="24"/>
  <c r="F152" i="24"/>
  <c r="F149" i="24"/>
  <c r="F30" i="24"/>
  <c r="F57" i="24"/>
  <c r="F120" i="24"/>
  <c r="M149" i="24"/>
  <c r="N149" i="24" s="1"/>
  <c r="O149" i="24" s="1"/>
  <c r="F63" i="24"/>
  <c r="M40" i="24"/>
  <c r="N40" i="24" s="1"/>
  <c r="O40" i="24" s="1"/>
  <c r="AT95" i="17"/>
  <c r="U95" i="24" s="1"/>
  <c r="V95" i="24" s="1"/>
  <c r="W95" i="24" s="1"/>
  <c r="K95" i="24"/>
  <c r="I95" i="24"/>
  <c r="J95" i="24"/>
  <c r="H95" i="24"/>
  <c r="G95" i="24"/>
  <c r="E95" i="24"/>
  <c r="K136" i="24"/>
  <c r="J136" i="24"/>
  <c r="I136" i="24"/>
  <c r="G136" i="24"/>
  <c r="H136" i="24"/>
  <c r="E136" i="24"/>
  <c r="J88" i="24"/>
  <c r="K88" i="24"/>
  <c r="I88" i="24"/>
  <c r="G88" i="24"/>
  <c r="H88" i="24"/>
  <c r="E88" i="24"/>
  <c r="Q90" i="24"/>
  <c r="R90" i="24" s="1"/>
  <c r="S90" i="24" s="1"/>
  <c r="K90" i="24"/>
  <c r="J90" i="24"/>
  <c r="I90" i="24"/>
  <c r="H90" i="24"/>
  <c r="G90" i="24"/>
  <c r="E90" i="24"/>
  <c r="K153" i="24"/>
  <c r="I153" i="24"/>
  <c r="J153" i="24"/>
  <c r="H153" i="24"/>
  <c r="G153" i="24"/>
  <c r="E153" i="24"/>
  <c r="Q115" i="24"/>
  <c r="R115" i="24" s="1"/>
  <c r="S115" i="24" s="1"/>
  <c r="J115" i="24"/>
  <c r="K115" i="24"/>
  <c r="I115" i="24"/>
  <c r="G115" i="24"/>
  <c r="H115" i="24"/>
  <c r="E115" i="24"/>
  <c r="Q22" i="24"/>
  <c r="H22" i="24"/>
  <c r="F136" i="24"/>
  <c r="Q82" i="24"/>
  <c r="R82" i="24" s="1"/>
  <c r="S82" i="24" s="1"/>
  <c r="J26" i="24"/>
  <c r="K26" i="24"/>
  <c r="I26" i="24"/>
  <c r="G26" i="24"/>
  <c r="H26" i="24"/>
  <c r="E26" i="24"/>
  <c r="J20" i="24"/>
  <c r="K20" i="24"/>
  <c r="I20" i="24"/>
  <c r="G20" i="24"/>
  <c r="H20" i="24"/>
  <c r="E20" i="24"/>
  <c r="F6" i="24"/>
  <c r="J152" i="24"/>
  <c r="I152" i="24"/>
  <c r="K152" i="24"/>
  <c r="H152" i="24"/>
  <c r="G152" i="24"/>
  <c r="J62" i="24"/>
  <c r="I62" i="24"/>
  <c r="K62" i="24"/>
  <c r="H62" i="24"/>
  <c r="G62" i="24"/>
  <c r="AO17" i="25"/>
  <c r="J151" i="24"/>
  <c r="K151" i="24"/>
  <c r="I151" i="24"/>
  <c r="H151" i="24"/>
  <c r="G151" i="24"/>
  <c r="AO8" i="25"/>
  <c r="F88" i="24"/>
  <c r="AT38" i="17"/>
  <c r="J38" i="24"/>
  <c r="K38" i="24"/>
  <c r="I38" i="24"/>
  <c r="H38" i="24"/>
  <c r="G38" i="24"/>
  <c r="Q143" i="24"/>
  <c r="R143" i="24" s="1"/>
  <c r="S143" i="24" s="1"/>
  <c r="J143" i="24"/>
  <c r="K143" i="24"/>
  <c r="I143" i="24"/>
  <c r="H143" i="24"/>
  <c r="G143" i="24"/>
  <c r="Q117" i="24"/>
  <c r="R117" i="24" s="1"/>
  <c r="S117" i="24" s="1"/>
  <c r="J117" i="24"/>
  <c r="I117" i="24"/>
  <c r="K117" i="24"/>
  <c r="G117" i="24"/>
  <c r="H117" i="24"/>
  <c r="AR72" i="17"/>
  <c r="F72" i="24" s="1"/>
  <c r="AT8" i="17"/>
  <c r="U8" i="24" s="1"/>
  <c r="V8" i="24" s="1"/>
  <c r="W8" i="24" s="1"/>
  <c r="I8" i="24"/>
  <c r="J8" i="24"/>
  <c r="K8" i="24"/>
  <c r="H8" i="24"/>
  <c r="G8" i="24"/>
  <c r="F115" i="24"/>
  <c r="AT36" i="17"/>
  <c r="J36" i="24"/>
  <c r="K36" i="24"/>
  <c r="I36" i="24"/>
  <c r="H36" i="24"/>
  <c r="G36" i="24"/>
  <c r="J78" i="24"/>
  <c r="K78" i="24"/>
  <c r="I78" i="24"/>
  <c r="G78" i="24"/>
  <c r="H78" i="24"/>
  <c r="F117" i="24"/>
  <c r="AT30" i="17"/>
  <c r="I30" i="24"/>
  <c r="K30" i="24"/>
  <c r="J30" i="24"/>
  <c r="H30" i="24"/>
  <c r="G30" i="24"/>
  <c r="M95" i="24"/>
  <c r="N95" i="24" s="1"/>
  <c r="O95" i="24" s="1"/>
  <c r="K10" i="24"/>
  <c r="I10" i="24"/>
  <c r="J10" i="24"/>
  <c r="H10" i="24"/>
  <c r="G10" i="24"/>
  <c r="I15" i="24"/>
  <c r="J15" i="24"/>
  <c r="K15" i="24"/>
  <c r="H15" i="24"/>
  <c r="G15" i="24"/>
  <c r="M88" i="24"/>
  <c r="N88" i="24" s="1"/>
  <c r="O88" i="24" s="1"/>
  <c r="F62" i="24"/>
  <c r="E8" i="24"/>
  <c r="J13" i="24"/>
  <c r="K13" i="24"/>
  <c r="I13" i="24"/>
  <c r="H13" i="24"/>
  <c r="G13" i="24"/>
  <c r="E13" i="24"/>
  <c r="J29" i="24"/>
  <c r="K29" i="24"/>
  <c r="I29" i="24"/>
  <c r="G29" i="24"/>
  <c r="H29" i="24"/>
  <c r="F10" i="24"/>
  <c r="F140" i="24"/>
  <c r="F153" i="24"/>
  <c r="F130" i="24"/>
  <c r="I83" i="24"/>
  <c r="J83" i="24"/>
  <c r="K83" i="24"/>
  <c r="G83" i="24"/>
  <c r="H83" i="24"/>
  <c r="F36" i="24"/>
  <c r="I65" i="24"/>
  <c r="J65" i="24"/>
  <c r="K65" i="24"/>
  <c r="G65" i="24"/>
  <c r="H65" i="24"/>
  <c r="I40" i="24"/>
  <c r="K40" i="24"/>
  <c r="J40" i="24"/>
  <c r="G40" i="24"/>
  <c r="H40" i="24"/>
  <c r="E78" i="24"/>
  <c r="F48" i="24"/>
  <c r="F38" i="24"/>
  <c r="K69" i="24"/>
  <c r="J69" i="24"/>
  <c r="I69" i="24"/>
  <c r="G69" i="24"/>
  <c r="H69" i="24"/>
  <c r="E69" i="24"/>
  <c r="I19" i="24"/>
  <c r="J19" i="24"/>
  <c r="K19" i="24"/>
  <c r="G19" i="24"/>
  <c r="H19" i="24"/>
  <c r="E19" i="24"/>
  <c r="AT82" i="17"/>
  <c r="U82" i="24" s="1"/>
  <c r="V82" i="24" s="1"/>
  <c r="W82" i="24" s="1"/>
  <c r="K54" i="24"/>
  <c r="J54" i="24"/>
  <c r="I54" i="24"/>
  <c r="G54" i="24"/>
  <c r="H54" i="24"/>
  <c r="E54" i="24"/>
  <c r="I43" i="24"/>
  <c r="J43" i="24"/>
  <c r="K43" i="24"/>
  <c r="G43" i="24"/>
  <c r="H43" i="24"/>
  <c r="E43" i="24"/>
  <c r="J120" i="24"/>
  <c r="I120" i="24"/>
  <c r="K120" i="24"/>
  <c r="G120" i="24"/>
  <c r="H120" i="24"/>
  <c r="F105" i="24"/>
  <c r="AO14" i="25"/>
  <c r="F8" i="24"/>
  <c r="Q142" i="24"/>
  <c r="R142" i="24" s="1"/>
  <c r="S142" i="24" s="1"/>
  <c r="K142" i="24"/>
  <c r="J142" i="24"/>
  <c r="I142" i="24"/>
  <c r="H142" i="24"/>
  <c r="G142" i="24"/>
  <c r="AT87" i="17"/>
  <c r="U87" i="24" s="1"/>
  <c r="V87" i="24" s="1"/>
  <c r="W87" i="24" s="1"/>
  <c r="I87" i="24"/>
  <c r="J87" i="24"/>
  <c r="K87" i="24"/>
  <c r="H87" i="24"/>
  <c r="G87" i="24"/>
  <c r="AR108" i="17"/>
  <c r="Q108" i="24" s="1"/>
  <c r="R108" i="24" s="1"/>
  <c r="S108" i="24" s="1"/>
  <c r="F80" i="24"/>
  <c r="F95" i="24"/>
  <c r="K16" i="24"/>
  <c r="I16" i="24"/>
  <c r="J16" i="24"/>
  <c r="H16" i="24"/>
  <c r="G16" i="24"/>
  <c r="I122" i="24"/>
  <c r="K122" i="24"/>
  <c r="J122" i="24"/>
  <c r="H122" i="24"/>
  <c r="G122" i="24"/>
  <c r="F83" i="24"/>
  <c r="I93" i="24"/>
  <c r="K93" i="24"/>
  <c r="J93" i="24"/>
  <c r="G93" i="24"/>
  <c r="H93" i="24"/>
  <c r="I35" i="24"/>
  <c r="J35" i="24"/>
  <c r="K35" i="24"/>
  <c r="H35" i="24"/>
  <c r="G35" i="24"/>
  <c r="J107" i="24"/>
  <c r="K107" i="24"/>
  <c r="I107" i="24"/>
  <c r="H107" i="24"/>
  <c r="G107" i="24"/>
  <c r="F118" i="24"/>
  <c r="I106" i="24"/>
  <c r="J106" i="24"/>
  <c r="K106" i="24"/>
  <c r="H106" i="24"/>
  <c r="G106" i="24"/>
  <c r="AT55" i="17"/>
  <c r="K55" i="24"/>
  <c r="I55" i="24"/>
  <c r="J55" i="24"/>
  <c r="H55" i="24"/>
  <c r="G55" i="24"/>
  <c r="AT148" i="17"/>
  <c r="U148" i="24" s="1"/>
  <c r="V148" i="24" s="1"/>
  <c r="W148" i="24" s="1"/>
  <c r="I148" i="24"/>
  <c r="J148" i="24"/>
  <c r="K148" i="24"/>
  <c r="H148" i="24"/>
  <c r="G148" i="24"/>
  <c r="I71" i="24"/>
  <c r="J71" i="24"/>
  <c r="K71" i="24"/>
  <c r="H71" i="24"/>
  <c r="G71" i="24"/>
  <c r="F60" i="24"/>
  <c r="F35" i="24"/>
  <c r="K28" i="24"/>
  <c r="J28" i="24"/>
  <c r="I28" i="24"/>
  <c r="H28" i="24"/>
  <c r="G28" i="24"/>
  <c r="M14" i="24"/>
  <c r="N14" i="24" s="1"/>
  <c r="O14" i="24" s="1"/>
  <c r="AR14" i="17"/>
  <c r="F54" i="24"/>
  <c r="E15" i="24"/>
  <c r="E55" i="24"/>
  <c r="E151" i="24"/>
  <c r="E122" i="24"/>
  <c r="E38" i="24"/>
  <c r="E106" i="24"/>
  <c r="E117" i="24"/>
  <c r="F69" i="24"/>
  <c r="J145" i="24"/>
  <c r="K145" i="24"/>
  <c r="I145" i="24"/>
  <c r="H145" i="24"/>
  <c r="G145" i="24"/>
  <c r="F16" i="24"/>
  <c r="I63" i="24"/>
  <c r="K63" i="24"/>
  <c r="J63" i="24"/>
  <c r="G63" i="24"/>
  <c r="H63" i="24"/>
  <c r="AR119" i="17"/>
  <c r="M119" i="24"/>
  <c r="N119" i="24" s="1"/>
  <c r="O119" i="24" s="1"/>
  <c r="F78" i="24"/>
  <c r="F93" i="24"/>
  <c r="F91" i="24"/>
  <c r="K46" i="24"/>
  <c r="I46" i="24"/>
  <c r="J46" i="24"/>
  <c r="G46" i="24"/>
  <c r="H46" i="24"/>
  <c r="E46" i="24"/>
  <c r="K47" i="24"/>
  <c r="I47" i="24"/>
  <c r="J47" i="24"/>
  <c r="G47" i="24"/>
  <c r="H47" i="24"/>
  <c r="E47" i="24"/>
  <c r="K34" i="24"/>
  <c r="J34" i="24"/>
  <c r="I34" i="24"/>
  <c r="H34" i="24"/>
  <c r="G34" i="24"/>
  <c r="Q118" i="24"/>
  <c r="R118" i="24" s="1"/>
  <c r="S118" i="24" s="1"/>
  <c r="K118" i="24"/>
  <c r="I118" i="24"/>
  <c r="J118" i="24"/>
  <c r="G118" i="24"/>
  <c r="H118" i="24"/>
  <c r="I116" i="24"/>
  <c r="J116" i="24"/>
  <c r="K116" i="24"/>
  <c r="G116" i="24"/>
  <c r="H116" i="24"/>
  <c r="F22" i="24"/>
  <c r="I82" i="24"/>
  <c r="K82" i="24"/>
  <c r="J82" i="24"/>
  <c r="G82" i="24"/>
  <c r="H82" i="24"/>
  <c r="K42" i="24"/>
  <c r="J42" i="24"/>
  <c r="I42" i="24"/>
  <c r="G42" i="24"/>
  <c r="H42" i="24"/>
  <c r="F71" i="24"/>
  <c r="F90" i="24"/>
  <c r="I124" i="24"/>
  <c r="J124" i="24"/>
  <c r="K124" i="24"/>
  <c r="H124" i="24"/>
  <c r="G124" i="24"/>
  <c r="E124" i="24"/>
  <c r="K109" i="24"/>
  <c r="J109" i="24"/>
  <c r="I109" i="24"/>
  <c r="H109" i="24"/>
  <c r="G109" i="24"/>
  <c r="E109" i="24"/>
  <c r="F116" i="24"/>
  <c r="K33" i="24"/>
  <c r="J33" i="24"/>
  <c r="I33" i="24"/>
  <c r="H33" i="24"/>
  <c r="G33" i="24"/>
  <c r="E33" i="24"/>
  <c r="I6" i="24"/>
  <c r="J6" i="24"/>
  <c r="K6" i="24"/>
  <c r="G6" i="24"/>
  <c r="H6" i="24"/>
  <c r="E6" i="24"/>
  <c r="I56" i="24"/>
  <c r="J56" i="24"/>
  <c r="K56" i="24"/>
  <c r="G56" i="24"/>
  <c r="H56" i="24"/>
  <c r="E56" i="24"/>
  <c r="K84" i="24"/>
  <c r="J84" i="24"/>
  <c r="I84" i="24"/>
  <c r="G84" i="24"/>
  <c r="H84" i="24"/>
  <c r="E84" i="24"/>
  <c r="J21" i="24"/>
  <c r="I21" i="24"/>
  <c r="K21" i="24"/>
  <c r="G21" i="24"/>
  <c r="H21" i="24"/>
  <c r="E21" i="24"/>
  <c r="AT116" i="17"/>
  <c r="U116" i="24" s="1"/>
  <c r="V116" i="24" s="1"/>
  <c r="W116" i="24" s="1"/>
  <c r="J74" i="24"/>
  <c r="K74" i="24"/>
  <c r="I74" i="24"/>
  <c r="G74" i="24"/>
  <c r="H74" i="24"/>
  <c r="E74" i="24"/>
  <c r="K39" i="24"/>
  <c r="J39" i="24"/>
  <c r="I39" i="24"/>
  <c r="G39" i="24"/>
  <c r="H39" i="24"/>
  <c r="E39" i="24"/>
  <c r="K27" i="24"/>
  <c r="I27" i="24"/>
  <c r="J27" i="24"/>
  <c r="G27" i="24"/>
  <c r="H27" i="24"/>
  <c r="E27" i="24"/>
  <c r="K24" i="24"/>
  <c r="J24" i="24"/>
  <c r="I24" i="24"/>
  <c r="G24" i="24"/>
  <c r="H24" i="24"/>
  <c r="E24" i="24"/>
  <c r="J97" i="24"/>
  <c r="I97" i="24"/>
  <c r="K97" i="24"/>
  <c r="G97" i="24"/>
  <c r="H97" i="24"/>
  <c r="I155" i="24"/>
  <c r="J155" i="24"/>
  <c r="K155" i="24"/>
  <c r="H155" i="24"/>
  <c r="G155" i="24"/>
  <c r="J60" i="24"/>
  <c r="K60" i="24"/>
  <c r="I60" i="24"/>
  <c r="H60" i="24"/>
  <c r="G60" i="24"/>
  <c r="Q141" i="24"/>
  <c r="R141" i="24" s="1"/>
  <c r="S141" i="24" s="1"/>
  <c r="I141" i="24"/>
  <c r="K141" i="24"/>
  <c r="J141" i="24"/>
  <c r="H141" i="24"/>
  <c r="G141" i="24"/>
  <c r="I57" i="24"/>
  <c r="J57" i="24"/>
  <c r="K57" i="24"/>
  <c r="H57" i="24"/>
  <c r="G57" i="24"/>
  <c r="F97" i="24"/>
  <c r="K113" i="24"/>
  <c r="I113" i="24"/>
  <c r="J113" i="24"/>
  <c r="G113" i="24"/>
  <c r="H113" i="24"/>
  <c r="Q80" i="24"/>
  <c r="R80" i="24" s="1"/>
  <c r="S80" i="24" s="1"/>
  <c r="K80" i="24"/>
  <c r="I80" i="24"/>
  <c r="J80" i="24"/>
  <c r="G80" i="24"/>
  <c r="H80" i="24"/>
  <c r="Q105" i="24"/>
  <c r="R105" i="24" s="1"/>
  <c r="S105" i="24" s="1"/>
  <c r="I105" i="24"/>
  <c r="J105" i="24"/>
  <c r="K105" i="24"/>
  <c r="H105" i="24"/>
  <c r="G105" i="24"/>
  <c r="AT59" i="17"/>
  <c r="U59" i="24" s="1"/>
  <c r="V59" i="24" s="1"/>
  <c r="W59" i="24" s="1"/>
  <c r="I59" i="24"/>
  <c r="K59" i="24"/>
  <c r="J59" i="24"/>
  <c r="H59" i="24"/>
  <c r="G59" i="24"/>
  <c r="F34" i="24"/>
  <c r="I41" i="24"/>
  <c r="J41" i="24"/>
  <c r="K41" i="24"/>
  <c r="H41" i="24"/>
  <c r="G41" i="24"/>
  <c r="F142" i="24"/>
  <c r="K140" i="24"/>
  <c r="J140" i="24"/>
  <c r="I140" i="24"/>
  <c r="H140" i="24"/>
  <c r="G140" i="24"/>
  <c r="F87" i="24"/>
  <c r="K149" i="24"/>
  <c r="I149" i="24"/>
  <c r="J149" i="24"/>
  <c r="H149" i="24"/>
  <c r="G149" i="24"/>
  <c r="K92" i="24"/>
  <c r="I92" i="24"/>
  <c r="J92" i="24"/>
  <c r="H92" i="24"/>
  <c r="G92" i="24"/>
  <c r="J91" i="24"/>
  <c r="I91" i="24"/>
  <c r="K91" i="24"/>
  <c r="H91" i="24"/>
  <c r="G91" i="24"/>
  <c r="AR101" i="17"/>
  <c r="F101" i="24" s="1"/>
  <c r="I130" i="24"/>
  <c r="K130" i="24"/>
  <c r="J130" i="24"/>
  <c r="H130" i="24"/>
  <c r="G130" i="24"/>
  <c r="F155" i="24"/>
  <c r="E141" i="24"/>
  <c r="E152" i="24"/>
  <c r="E149" i="24"/>
  <c r="E120" i="24"/>
  <c r="F39" i="24"/>
  <c r="F124" i="24"/>
  <c r="J134" i="24"/>
  <c r="K134" i="24"/>
  <c r="I134" i="24"/>
  <c r="H134" i="24"/>
  <c r="G134" i="24"/>
  <c r="F15" i="24"/>
  <c r="F55" i="24"/>
  <c r="F151" i="24"/>
  <c r="F42" i="24"/>
  <c r="F82" i="24"/>
  <c r="I48" i="24"/>
  <c r="K48" i="24"/>
  <c r="J48" i="24"/>
  <c r="H48" i="24"/>
  <c r="G48" i="24"/>
  <c r="F122" i="24"/>
  <c r="F106" i="24"/>
  <c r="F84" i="24"/>
  <c r="F26" i="24"/>
  <c r="E116" i="24"/>
  <c r="E59" i="24"/>
  <c r="E113" i="24"/>
  <c r="F43" i="24"/>
  <c r="E30" i="24"/>
  <c r="E57" i="24"/>
  <c r="F20" i="24"/>
  <c r="AT91" i="17"/>
  <c r="U91" i="24" s="1"/>
  <c r="V91" i="24" s="1"/>
  <c r="W91" i="24" s="1"/>
  <c r="AR133" i="17"/>
  <c r="AT133" i="17" s="1"/>
  <c r="U133" i="24" s="1"/>
  <c r="V133" i="24" s="1"/>
  <c r="W133" i="24" s="1"/>
  <c r="AR144" i="17"/>
  <c r="AT144" i="17" s="1"/>
  <c r="U144" i="24" s="1"/>
  <c r="V144" i="24" s="1"/>
  <c r="W144" i="24" s="1"/>
  <c r="AT35" i="17"/>
  <c r="AT140" i="17"/>
  <c r="U140" i="24" s="1"/>
  <c r="V140" i="24" s="1"/>
  <c r="W140" i="24" s="1"/>
  <c r="AO23" i="25"/>
  <c r="Q88" i="24"/>
  <c r="R88" i="24" s="1"/>
  <c r="S88" i="24" s="1"/>
  <c r="M133" i="24"/>
  <c r="N133" i="24" s="1"/>
  <c r="O133" i="24" s="1"/>
  <c r="M91" i="24"/>
  <c r="N91" i="24" s="1"/>
  <c r="O91" i="24" s="1"/>
  <c r="M11" i="24"/>
  <c r="N11" i="24" s="1"/>
  <c r="O11" i="24" s="1"/>
  <c r="AR45" i="17"/>
  <c r="AT45" i="17" s="1"/>
  <c r="AT92" i="17"/>
  <c r="U92" i="24" s="1"/>
  <c r="V92" i="24" s="1"/>
  <c r="W92" i="24" s="1"/>
  <c r="M35" i="24"/>
  <c r="N35" i="24" s="1"/>
  <c r="AT78" i="17"/>
  <c r="Z19" i="25"/>
  <c r="Z9" i="25"/>
  <c r="Q140" i="24"/>
  <c r="R140" i="24" s="1"/>
  <c r="S140" i="24" s="1"/>
  <c r="AR131" i="17"/>
  <c r="F131" i="24" s="1"/>
  <c r="M140" i="24"/>
  <c r="N140" i="24" s="1"/>
  <c r="O140" i="24" s="1"/>
  <c r="AR11" i="17"/>
  <c r="F11" i="24" s="1"/>
  <c r="M135" i="24"/>
  <c r="N135" i="24" s="1"/>
  <c r="O135" i="24" s="1"/>
  <c r="M78" i="24"/>
  <c r="N78" i="24" s="1"/>
  <c r="AT93" i="17"/>
  <c r="AT88" i="17"/>
  <c r="U88" i="24" s="1"/>
  <c r="V88" i="24" s="1"/>
  <c r="W88" i="24" s="1"/>
  <c r="M93" i="24"/>
  <c r="N93" i="24" s="1"/>
  <c r="Q91" i="24"/>
  <c r="R91" i="24" s="1"/>
  <c r="S91" i="24" s="1"/>
  <c r="Q92" i="24"/>
  <c r="R92" i="24" s="1"/>
  <c r="S92" i="24" s="1"/>
  <c r="AR12" i="17"/>
  <c r="M45" i="24"/>
  <c r="N45" i="24" s="1"/>
  <c r="O45" i="24" s="1"/>
  <c r="AR135" i="17"/>
  <c r="Q135" i="24" s="1"/>
  <c r="R135" i="24" s="1"/>
  <c r="S135" i="24" s="1"/>
  <c r="M144" i="24"/>
  <c r="N144" i="24" s="1"/>
  <c r="O144" i="24" s="1"/>
  <c r="M42" i="24"/>
  <c r="N42" i="24" s="1"/>
  <c r="Q71" i="24"/>
  <c r="Q41" i="24"/>
  <c r="AT109" i="17"/>
  <c r="U109" i="24" s="1"/>
  <c r="V109" i="24" s="1"/>
  <c r="W109" i="24" s="1"/>
  <c r="M70" i="24"/>
  <c r="N70" i="24" s="1"/>
  <c r="O70" i="24" s="1"/>
  <c r="M139" i="24"/>
  <c r="N139" i="24" s="1"/>
  <c r="O139" i="24" s="1"/>
  <c r="AT71" i="17"/>
  <c r="U71" i="24" s="1"/>
  <c r="V71" i="24" s="1"/>
  <c r="W71" i="24" s="1"/>
  <c r="Q107" i="24"/>
  <c r="R107" i="24" s="1"/>
  <c r="S107" i="24" s="1"/>
  <c r="AT42" i="17"/>
  <c r="Z14" i="25"/>
  <c r="AO7" i="25"/>
  <c r="M110" i="24"/>
  <c r="N110" i="24" s="1"/>
  <c r="O110" i="24" s="1"/>
  <c r="AR121" i="17"/>
  <c r="AT121" i="17" s="1"/>
  <c r="U121" i="24" s="1"/>
  <c r="V121" i="24" s="1"/>
  <c r="W121" i="24" s="1"/>
  <c r="AR139" i="17"/>
  <c r="AT124" i="17"/>
  <c r="U124" i="24" s="1"/>
  <c r="V124" i="24" s="1"/>
  <c r="W124" i="24" s="1"/>
  <c r="Z11" i="25"/>
  <c r="M44" i="24"/>
  <c r="N44" i="24" s="1"/>
  <c r="O44" i="24" s="1"/>
  <c r="AR138" i="17"/>
  <c r="M152" i="24"/>
  <c r="N152" i="24" s="1"/>
  <c r="O152" i="24" s="1"/>
  <c r="AR86" i="17"/>
  <c r="F86" i="24" s="1"/>
  <c r="Z17" i="25"/>
  <c r="M55" i="24"/>
  <c r="AR44" i="17"/>
  <c r="AT44" i="17" s="1"/>
  <c r="U44" i="24" s="1"/>
  <c r="V44" i="24" s="1"/>
  <c r="W44" i="24" s="1"/>
  <c r="M138" i="24"/>
  <c r="N138" i="24" s="1"/>
  <c r="O138" i="24" s="1"/>
  <c r="AR129" i="17"/>
  <c r="F129" i="24" s="1"/>
  <c r="M129" i="24"/>
  <c r="N129" i="24" s="1"/>
  <c r="O129" i="24" s="1"/>
  <c r="M155" i="24"/>
  <c r="N155" i="24" s="1"/>
  <c r="O155" i="24" s="1"/>
  <c r="M137" i="24"/>
  <c r="N137" i="24" s="1"/>
  <c r="O137" i="24" s="1"/>
  <c r="M61" i="24"/>
  <c r="N61" i="24" s="1"/>
  <c r="O61" i="24" s="1"/>
  <c r="AR137" i="17"/>
  <c r="M30" i="24"/>
  <c r="N30" i="24" s="1"/>
  <c r="M37" i="24"/>
  <c r="N37" i="24" s="1"/>
  <c r="O37" i="24" s="1"/>
  <c r="M32" i="24"/>
  <c r="N32" i="24" s="1"/>
  <c r="O32" i="24" s="1"/>
  <c r="AR32" i="17"/>
  <c r="F32" i="24" s="1"/>
  <c r="M62" i="24"/>
  <c r="N62" i="24" s="1"/>
  <c r="O62" i="24" s="1"/>
  <c r="M86" i="24"/>
  <c r="N86" i="24" s="1"/>
  <c r="O86" i="24" s="1"/>
  <c r="M151" i="24"/>
  <c r="N151" i="24" s="1"/>
  <c r="O151" i="24" s="1"/>
  <c r="AR37" i="17"/>
  <c r="F37" i="24" s="1"/>
  <c r="AR61" i="17"/>
  <c r="F61" i="24" s="1"/>
  <c r="AT16" i="17"/>
  <c r="AO11" i="25"/>
  <c r="M75" i="24"/>
  <c r="N75" i="24" s="1"/>
  <c r="O75" i="24" s="1"/>
  <c r="AR75" i="17"/>
  <c r="AR103" i="17"/>
  <c r="M94" i="24"/>
  <c r="N94" i="24" s="1"/>
  <c r="O94" i="24" s="1"/>
  <c r="M153" i="24"/>
  <c r="N153" i="24" s="1"/>
  <c r="O153" i="24" s="1"/>
  <c r="AR94" i="17"/>
  <c r="Z18" i="25"/>
  <c r="M16" i="24"/>
  <c r="N16" i="24" s="1"/>
  <c r="AT142" i="17"/>
  <c r="U142" i="24" s="1"/>
  <c r="V142" i="24" s="1"/>
  <c r="W142" i="24" s="1"/>
  <c r="AR100" i="17"/>
  <c r="Q109" i="24"/>
  <c r="R109" i="24" s="1"/>
  <c r="S109" i="24" s="1"/>
  <c r="Q10" i="24"/>
  <c r="R10" i="24" s="1"/>
  <c r="S10" i="24" s="1"/>
  <c r="AT10" i="17"/>
  <c r="U10" i="24" s="1"/>
  <c r="V10" i="24" s="1"/>
  <c r="W10" i="24" s="1"/>
  <c r="L24" i="25"/>
  <c r="M112" i="24"/>
  <c r="N112" i="24" s="1"/>
  <c r="O112" i="24" s="1"/>
  <c r="AR110" i="17"/>
  <c r="F110" i="24" s="1"/>
  <c r="M121" i="24"/>
  <c r="N121" i="24" s="1"/>
  <c r="O121" i="24" s="1"/>
  <c r="AR9" i="17"/>
  <c r="F9" i="24" s="1"/>
  <c r="AR126" i="17"/>
  <c r="AO16" i="25"/>
  <c r="AT41" i="17"/>
  <c r="U41" i="24" s="1"/>
  <c r="V41" i="24" s="1"/>
  <c r="W41" i="24" s="1"/>
  <c r="AT107" i="17"/>
  <c r="U107" i="24" s="1"/>
  <c r="V107" i="24" s="1"/>
  <c r="W107" i="24" s="1"/>
  <c r="M58" i="24"/>
  <c r="N58" i="24" s="1"/>
  <c r="O58" i="24" s="1"/>
  <c r="AR112" i="17"/>
  <c r="M9" i="24"/>
  <c r="N9" i="24" s="1"/>
  <c r="O9" i="24" s="1"/>
  <c r="Z12" i="25"/>
  <c r="AR58" i="17"/>
  <c r="AR150" i="17"/>
  <c r="M150" i="24"/>
  <c r="N150" i="24" s="1"/>
  <c r="O150" i="24" s="1"/>
  <c r="AR70" i="17"/>
  <c r="AT70" i="17" s="1"/>
  <c r="U70" i="24" s="1"/>
  <c r="V70" i="24" s="1"/>
  <c r="W70" i="24" s="1"/>
  <c r="M10" i="24"/>
  <c r="N10" i="24" s="1"/>
  <c r="O10" i="24" s="1"/>
  <c r="M126" i="24"/>
  <c r="N126" i="24" s="1"/>
  <c r="O126" i="24" s="1"/>
  <c r="Z20" i="25"/>
  <c r="AT104" i="17"/>
  <c r="U104" i="24" s="1"/>
  <c r="V104" i="24" s="1"/>
  <c r="W104" i="24" s="1"/>
  <c r="Q38" i="24"/>
  <c r="R38" i="24" s="1"/>
  <c r="S38" i="24" s="1"/>
  <c r="AT105" i="17"/>
  <c r="U105" i="24" s="1"/>
  <c r="V105" i="24" s="1"/>
  <c r="W105" i="24" s="1"/>
  <c r="Z7" i="25"/>
  <c r="AT117" i="17"/>
  <c r="U117" i="24" s="1"/>
  <c r="V117" i="24" s="1"/>
  <c r="W117" i="24" s="1"/>
  <c r="AT143" i="17"/>
  <c r="U143" i="24" s="1"/>
  <c r="V143" i="24" s="1"/>
  <c r="W143" i="24" s="1"/>
  <c r="AT90" i="17"/>
  <c r="U90" i="24" s="1"/>
  <c r="V90" i="24" s="1"/>
  <c r="W90" i="24" s="1"/>
  <c r="AO13" i="25"/>
  <c r="M114" i="24"/>
  <c r="N114" i="24" s="1"/>
  <c r="O114" i="24" s="1"/>
  <c r="AR114" i="17"/>
  <c r="AO21" i="25"/>
  <c r="AT115" i="17"/>
  <c r="U115" i="24" s="1"/>
  <c r="V115" i="24" s="1"/>
  <c r="W115" i="24" s="1"/>
  <c r="Q95" i="24"/>
  <c r="R95" i="24" s="1"/>
  <c r="S95" i="24" s="1"/>
  <c r="Z21" i="25"/>
  <c r="Q8" i="24"/>
  <c r="M36" i="24"/>
  <c r="N36" i="24" s="1"/>
  <c r="AO18" i="25"/>
  <c r="AT118" i="17"/>
  <c r="U118" i="24" s="1"/>
  <c r="V118" i="24" s="1"/>
  <c r="W118" i="24" s="1"/>
  <c r="Z8" i="25"/>
  <c r="Z6" i="25"/>
  <c r="M68" i="24"/>
  <c r="N68" i="24" s="1"/>
  <c r="O68" i="24" s="1"/>
  <c r="M79" i="24"/>
  <c r="N79" i="24" s="1"/>
  <c r="O79" i="24" s="1"/>
  <c r="AO20" i="25"/>
  <c r="Z13" i="25"/>
  <c r="AR68" i="17"/>
  <c r="F68" i="24" s="1"/>
  <c r="AR79" i="17"/>
  <c r="F79" i="24" s="1"/>
  <c r="AT152" i="17"/>
  <c r="U152" i="24" s="1"/>
  <c r="V152" i="24" s="1"/>
  <c r="W152" i="24" s="1"/>
  <c r="AT136" i="17"/>
  <c r="U136" i="24" s="1"/>
  <c r="V136" i="24" s="1"/>
  <c r="W136" i="24" s="1"/>
  <c r="AT141" i="17"/>
  <c r="U141" i="24" s="1"/>
  <c r="V141" i="24" s="1"/>
  <c r="W141" i="24" s="1"/>
  <c r="AO12" i="25"/>
  <c r="AO19" i="25"/>
  <c r="Q57" i="24"/>
  <c r="R57" i="24" s="1"/>
  <c r="S57" i="24" s="1"/>
  <c r="AT34" i="17"/>
  <c r="U34" i="24" s="1"/>
  <c r="V34" i="24" s="1"/>
  <c r="W34" i="24" s="1"/>
  <c r="AT80" i="17"/>
  <c r="U80" i="24" s="1"/>
  <c r="V80" i="24" s="1"/>
  <c r="W80" i="24" s="1"/>
  <c r="Q87" i="24"/>
  <c r="R87" i="24" s="1"/>
  <c r="S87" i="24" s="1"/>
  <c r="Q59" i="24"/>
  <c r="R59" i="24" s="1"/>
  <c r="S59" i="24" s="1"/>
  <c r="Q46" i="24"/>
  <c r="R46" i="24" s="1"/>
  <c r="S46" i="24" s="1"/>
  <c r="Q84" i="24"/>
  <c r="R84" i="24" s="1"/>
  <c r="S84" i="24" s="1"/>
  <c r="Q43" i="24"/>
  <c r="R43" i="24" s="1"/>
  <c r="S43" i="24" s="1"/>
  <c r="Q27" i="24"/>
  <c r="R27" i="24" s="1"/>
  <c r="S27" i="24" s="1"/>
  <c r="AT62" i="17"/>
  <c r="U62" i="24" s="1"/>
  <c r="V62" i="24" s="1"/>
  <c r="W62" i="24" s="1"/>
  <c r="AR64" i="17"/>
  <c r="F64" i="24" s="1"/>
  <c r="M64" i="24"/>
  <c r="N64" i="24" s="1"/>
  <c r="O64" i="24" s="1"/>
  <c r="Q39" i="24"/>
  <c r="R39" i="24" s="1"/>
  <c r="S39" i="24" s="1"/>
  <c r="Q69" i="24"/>
  <c r="R69" i="24" s="1"/>
  <c r="S69" i="24" s="1"/>
  <c r="Q26" i="24"/>
  <c r="R26" i="24" s="1"/>
  <c r="S26" i="24" s="1"/>
  <c r="Q54" i="24"/>
  <c r="R54" i="24" s="1"/>
  <c r="S54" i="24" s="1"/>
  <c r="Q120" i="24"/>
  <c r="R120" i="24" s="1"/>
  <c r="S120" i="24" s="1"/>
  <c r="Q155" i="24"/>
  <c r="R155" i="24" s="1"/>
  <c r="S155" i="24" s="1"/>
  <c r="AT151" i="17"/>
  <c r="U151" i="24" s="1"/>
  <c r="V151" i="24" s="1"/>
  <c r="W151" i="24" s="1"/>
  <c r="Q6" i="24"/>
  <c r="Q20" i="24"/>
  <c r="R20" i="24" s="1"/>
  <c r="S20" i="24" s="1"/>
  <c r="Q47" i="24"/>
  <c r="R47" i="24" s="1"/>
  <c r="S47" i="24" s="1"/>
  <c r="Q21" i="24"/>
  <c r="R21" i="24" s="1"/>
  <c r="S21" i="24" s="1"/>
  <c r="Q74" i="24"/>
  <c r="R74" i="24" s="1"/>
  <c r="S74" i="24" s="1"/>
  <c r="Q24" i="24"/>
  <c r="Q97" i="24"/>
  <c r="R97" i="24" s="1"/>
  <c r="S97" i="24" s="1"/>
  <c r="Q153" i="24"/>
  <c r="R153" i="24" s="1"/>
  <c r="S153" i="24" s="1"/>
  <c r="AT60" i="17"/>
  <c r="U60" i="24" s="1"/>
  <c r="V60" i="24" s="1"/>
  <c r="W60" i="24" s="1"/>
  <c r="M57" i="24"/>
  <c r="N57" i="24" s="1"/>
  <c r="O57" i="24" s="1"/>
  <c r="Z10" i="25"/>
  <c r="Z22" i="25"/>
  <c r="AT57" i="17"/>
  <c r="U57" i="24" s="1"/>
  <c r="V57" i="24" s="1"/>
  <c r="W57" i="24" s="1"/>
  <c r="Z23" i="25"/>
  <c r="Z16" i="25"/>
  <c r="M59" i="24"/>
  <c r="N59" i="24" s="1"/>
  <c r="O59" i="24" s="1"/>
  <c r="Q34" i="24"/>
  <c r="R34" i="24" s="1"/>
  <c r="S34" i="24" s="1"/>
  <c r="M67" i="24"/>
  <c r="N67" i="24" s="1"/>
  <c r="O67" i="24" s="1"/>
  <c r="AR67" i="17"/>
  <c r="F67" i="24" s="1"/>
  <c r="M17" i="24"/>
  <c r="N17" i="24" s="1"/>
  <c r="O17" i="24" s="1"/>
  <c r="AR146" i="17"/>
  <c r="AR17" i="17"/>
  <c r="F17" i="24" s="1"/>
  <c r="M146" i="24"/>
  <c r="N146" i="24" s="1"/>
  <c r="O146" i="24" s="1"/>
  <c r="Q113" i="24"/>
  <c r="R113" i="24" s="1"/>
  <c r="S113" i="24" s="1"/>
  <c r="AT113" i="17"/>
  <c r="U113" i="24" s="1"/>
  <c r="V113" i="24" s="1"/>
  <c r="W113" i="24" s="1"/>
  <c r="M125" i="24"/>
  <c r="N125" i="24" s="1"/>
  <c r="O125" i="24" s="1"/>
  <c r="AR125" i="17"/>
  <c r="AR49" i="17"/>
  <c r="M49" i="24"/>
  <c r="N49" i="24" s="1"/>
  <c r="O49" i="24" s="1"/>
  <c r="M113" i="24"/>
  <c r="N113" i="24" s="1"/>
  <c r="O113" i="24" s="1"/>
  <c r="AR123" i="17"/>
  <c r="F123" i="24" s="1"/>
  <c r="M123" i="24"/>
  <c r="N123" i="24" s="1"/>
  <c r="O123" i="24" s="1"/>
  <c r="AR85" i="17"/>
  <c r="F85" i="24" s="1"/>
  <c r="M85" i="24"/>
  <c r="N85" i="24" s="1"/>
  <c r="O85" i="24" s="1"/>
  <c r="AR50" i="17"/>
  <c r="M50" i="24"/>
  <c r="N50" i="24" s="1"/>
  <c r="O50" i="24" s="1"/>
  <c r="Q60" i="24"/>
  <c r="R60" i="24" s="1"/>
  <c r="S60" i="24" s="1"/>
  <c r="Q151" i="24"/>
  <c r="R151" i="24" s="1"/>
  <c r="S151" i="24" s="1"/>
  <c r="AT155" i="17"/>
  <c r="U155" i="24" s="1"/>
  <c r="V155" i="24" s="1"/>
  <c r="W155" i="24" s="1"/>
  <c r="AT120" i="17"/>
  <c r="U120" i="24" s="1"/>
  <c r="V120" i="24" s="1"/>
  <c r="W120" i="24" s="1"/>
  <c r="Q62" i="24"/>
  <c r="R62" i="24" s="1"/>
  <c r="S62" i="24" s="1"/>
  <c r="Q136" i="24"/>
  <c r="R136" i="24" s="1"/>
  <c r="S136" i="24" s="1"/>
  <c r="AT153" i="17"/>
  <c r="U153" i="24" s="1"/>
  <c r="V153" i="24" s="1"/>
  <c r="W153" i="24" s="1"/>
  <c r="AO22" i="25"/>
  <c r="Q53" i="24"/>
  <c r="Q19" i="24"/>
  <c r="M154" i="24"/>
  <c r="N154" i="24" s="1"/>
  <c r="O154" i="24" s="1"/>
  <c r="Q25" i="24"/>
  <c r="Y24" i="17"/>
  <c r="AR7" i="17"/>
  <c r="M7" i="24"/>
  <c r="N7" i="24" s="1"/>
  <c r="O7" i="24" s="1"/>
  <c r="Z15" i="25"/>
  <c r="AT97" i="17"/>
  <c r="U97" i="24" s="1"/>
  <c r="V97" i="24" s="1"/>
  <c r="W97" i="24" s="1"/>
  <c r="AO15" i="25"/>
  <c r="Q152" i="24"/>
  <c r="R152" i="24" s="1"/>
  <c r="S152" i="24" s="1"/>
  <c r="U147" i="24"/>
  <c r="V147" i="24" s="1"/>
  <c r="W147" i="24" s="1"/>
  <c r="U40" i="24"/>
  <c r="V40" i="24" s="1"/>
  <c r="W40" i="24" s="1"/>
  <c r="U99" i="24"/>
  <c r="V99" i="24" s="1"/>
  <c r="W99" i="24" s="1"/>
  <c r="U122" i="24"/>
  <c r="V122" i="24" s="1"/>
  <c r="W122" i="24" s="1"/>
  <c r="U130" i="24"/>
  <c r="V130" i="24" s="1"/>
  <c r="W130" i="24" s="1"/>
  <c r="U111" i="24"/>
  <c r="V111" i="24" s="1"/>
  <c r="W111" i="24" s="1"/>
  <c r="U81" i="24"/>
  <c r="V81" i="24" s="1"/>
  <c r="W81" i="24" s="1"/>
  <c r="U96" i="24"/>
  <c r="V96" i="24" s="1"/>
  <c r="W96" i="24" s="1"/>
  <c r="U102" i="24"/>
  <c r="V102" i="24" s="1"/>
  <c r="W102" i="24" s="1"/>
  <c r="AT33" i="17"/>
  <c r="Q42" i="24"/>
  <c r="R42" i="24" s="1"/>
  <c r="S42" i="24" s="1"/>
  <c r="N65" i="24"/>
  <c r="AT6" i="17"/>
  <c r="Q15" i="24"/>
  <c r="Q16" i="24"/>
  <c r="R16" i="24" s="1"/>
  <c r="S16" i="24" s="1"/>
  <c r="AT20" i="17"/>
  <c r="Q29" i="24"/>
  <c r="R29" i="24" s="1"/>
  <c r="S29" i="24" s="1"/>
  <c r="AT39" i="17"/>
  <c r="U39" i="24" s="1"/>
  <c r="V39" i="24" s="1"/>
  <c r="W39" i="24" s="1"/>
  <c r="Q48" i="24"/>
  <c r="R48" i="24" s="1"/>
  <c r="S48" i="24" s="1"/>
  <c r="N33" i="24"/>
  <c r="AT24" i="17"/>
  <c r="U24" i="24" s="1"/>
  <c r="V24" i="24" s="1"/>
  <c r="W24" i="24" s="1"/>
  <c r="Q33" i="24"/>
  <c r="R33" i="24" s="1"/>
  <c r="S33" i="24" s="1"/>
  <c r="AT26" i="17"/>
  <c r="Q35" i="24"/>
  <c r="R35" i="24" s="1"/>
  <c r="S35" i="24" s="1"/>
  <c r="AT19" i="17"/>
  <c r="U19" i="24" s="1"/>
  <c r="V19" i="24" s="1"/>
  <c r="W19" i="24" s="1"/>
  <c r="Q28" i="24"/>
  <c r="R28" i="24" s="1"/>
  <c r="S28" i="24" s="1"/>
  <c r="AT21" i="17"/>
  <c r="U21" i="24" s="1"/>
  <c r="V21" i="24" s="1"/>
  <c r="W21" i="24" s="1"/>
  <c r="Q30" i="24"/>
  <c r="R30" i="24" s="1"/>
  <c r="S30" i="24" s="1"/>
  <c r="AT74" i="17"/>
  <c r="U74" i="24" s="1"/>
  <c r="V74" i="24" s="1"/>
  <c r="W74" i="24" s="1"/>
  <c r="Q83" i="24"/>
  <c r="R83" i="24" s="1"/>
  <c r="S83" i="24" s="1"/>
  <c r="AT54" i="17"/>
  <c r="U54" i="24" s="1"/>
  <c r="V54" i="24" s="1"/>
  <c r="W54" i="24" s="1"/>
  <c r="Q63" i="24"/>
  <c r="R63" i="24" s="1"/>
  <c r="S63" i="24" s="1"/>
  <c r="AT46" i="17"/>
  <c r="U46" i="24" s="1"/>
  <c r="V46" i="24" s="1"/>
  <c r="W46" i="24" s="1"/>
  <c r="Q55" i="24"/>
  <c r="R55" i="24" s="1"/>
  <c r="S55" i="24" s="1"/>
  <c r="AT47" i="17"/>
  <c r="U47" i="24" s="1"/>
  <c r="V47" i="24" s="1"/>
  <c r="W47" i="24" s="1"/>
  <c r="Q56" i="24"/>
  <c r="R56" i="24" s="1"/>
  <c r="S56" i="24" s="1"/>
  <c r="AT27" i="17"/>
  <c r="U27" i="24" s="1"/>
  <c r="V27" i="24" s="1"/>
  <c r="W27" i="24" s="1"/>
  <c r="Q36" i="24"/>
  <c r="R36" i="24" s="1"/>
  <c r="S36" i="24" s="1"/>
  <c r="AT56" i="17"/>
  <c r="Q65" i="24"/>
  <c r="R65" i="24" s="1"/>
  <c r="S65" i="24" s="1"/>
  <c r="AT69" i="17"/>
  <c r="U69" i="24" s="1"/>
  <c r="V69" i="24" s="1"/>
  <c r="W69" i="24" s="1"/>
  <c r="Q78" i="24"/>
  <c r="R78" i="24" s="1"/>
  <c r="S78" i="24" s="1"/>
  <c r="AT84" i="17"/>
  <c r="U84" i="24" s="1"/>
  <c r="V84" i="24" s="1"/>
  <c r="W84" i="24" s="1"/>
  <c r="Q93" i="24"/>
  <c r="R93" i="24" s="1"/>
  <c r="S93" i="24" s="1"/>
  <c r="N52" i="24"/>
  <c r="AT43" i="17"/>
  <c r="U43" i="24" s="1"/>
  <c r="V43" i="24" s="1"/>
  <c r="W43" i="24" s="1"/>
  <c r="Q52" i="24"/>
  <c r="R52" i="24" s="1"/>
  <c r="S52" i="24" s="1"/>
  <c r="N56" i="24"/>
  <c r="M156" i="24" l="1"/>
  <c r="O6" i="24"/>
  <c r="AR156" i="17"/>
  <c r="AT31" i="17"/>
  <c r="U31" i="24" s="1"/>
  <c r="V31" i="24" s="1"/>
  <c r="W31" i="24" s="1"/>
  <c r="AT23" i="17"/>
  <c r="F31" i="24"/>
  <c r="I31" i="24"/>
  <c r="AR8" i="25"/>
  <c r="AS8" i="25" s="1"/>
  <c r="G89" i="24"/>
  <c r="E22" i="24"/>
  <c r="K66" i="24"/>
  <c r="I22" i="24"/>
  <c r="Q66" i="24"/>
  <c r="R66" i="24" s="1"/>
  <c r="AT77" i="17"/>
  <c r="U77" i="24" s="1"/>
  <c r="V77" i="24" s="1"/>
  <c r="W77" i="24" s="1"/>
  <c r="J66" i="24"/>
  <c r="J77" i="24"/>
  <c r="K22" i="24"/>
  <c r="Q31" i="24"/>
  <c r="R31" i="24" s="1"/>
  <c r="AT22" i="17"/>
  <c r="U22" i="24" s="1"/>
  <c r="V22" i="24" s="1"/>
  <c r="W22" i="24" s="1"/>
  <c r="F77" i="24"/>
  <c r="G22" i="24"/>
  <c r="U15" i="24"/>
  <c r="V15" i="24" s="1"/>
  <c r="W15" i="24" s="1"/>
  <c r="AT76" i="17"/>
  <c r="U76" i="24" s="1"/>
  <c r="V76" i="24" s="1"/>
  <c r="W76" i="24" s="1"/>
  <c r="F98" i="24"/>
  <c r="AT132" i="17"/>
  <c r="U132" i="24" s="1"/>
  <c r="V132" i="24" s="1"/>
  <c r="W132" i="24" s="1"/>
  <c r="Q132" i="24"/>
  <c r="R132" i="24" s="1"/>
  <c r="S132" i="24" s="1"/>
  <c r="J132" i="24"/>
  <c r="K132" i="24"/>
  <c r="G132" i="24"/>
  <c r="I132" i="24"/>
  <c r="H132" i="24"/>
  <c r="E23" i="24"/>
  <c r="K98" i="24"/>
  <c r="J23" i="24"/>
  <c r="F132" i="24"/>
  <c r="I128" i="24"/>
  <c r="G66" i="24"/>
  <c r="I66" i="24"/>
  <c r="G31" i="24"/>
  <c r="E77" i="24"/>
  <c r="Q77" i="24"/>
  <c r="R77" i="24" s="1"/>
  <c r="S77" i="24" s="1"/>
  <c r="G77" i="24"/>
  <c r="H66" i="24"/>
  <c r="AT66" i="17"/>
  <c r="U66" i="24" s="1"/>
  <c r="V66" i="24" s="1"/>
  <c r="W66" i="24" s="1"/>
  <c r="H31" i="24"/>
  <c r="J31" i="24"/>
  <c r="I77" i="24"/>
  <c r="K31" i="24"/>
  <c r="F66" i="24"/>
  <c r="H77" i="24"/>
  <c r="Q89" i="24"/>
  <c r="R89" i="24" s="1"/>
  <c r="S89" i="24" s="1"/>
  <c r="AT89" i="17"/>
  <c r="U89" i="24" s="1"/>
  <c r="V89" i="24" s="1"/>
  <c r="W89" i="24" s="1"/>
  <c r="K104" i="24"/>
  <c r="H23" i="24"/>
  <c r="Q23" i="24"/>
  <c r="R23" i="24" s="1"/>
  <c r="S23" i="24" s="1"/>
  <c r="K76" i="24"/>
  <c r="F23" i="24"/>
  <c r="K23" i="24"/>
  <c r="G23" i="24"/>
  <c r="F76" i="24"/>
  <c r="J89" i="24"/>
  <c r="I89" i="24"/>
  <c r="F89" i="24"/>
  <c r="H89" i="24"/>
  <c r="K89" i="24"/>
  <c r="G128" i="24"/>
  <c r="K128" i="24"/>
  <c r="G104" i="24"/>
  <c r="I104" i="24"/>
  <c r="F128" i="24"/>
  <c r="F104" i="24"/>
  <c r="AT128" i="17"/>
  <c r="U128" i="24" s="1"/>
  <c r="V128" i="24" s="1"/>
  <c r="W128" i="24" s="1"/>
  <c r="H128" i="24"/>
  <c r="H104" i="24"/>
  <c r="Q104" i="24"/>
  <c r="R104" i="24" s="1"/>
  <c r="S104" i="24" s="1"/>
  <c r="Q128" i="24"/>
  <c r="R128" i="24" s="1"/>
  <c r="S128" i="24" s="1"/>
  <c r="J128" i="24"/>
  <c r="E104" i="24"/>
  <c r="R25" i="24"/>
  <c r="R6" i="24"/>
  <c r="R24" i="24"/>
  <c r="R53" i="24"/>
  <c r="R71" i="24"/>
  <c r="R22" i="24"/>
  <c r="R19" i="24"/>
  <c r="R8" i="24"/>
  <c r="R41" i="24"/>
  <c r="S18" i="24"/>
  <c r="F51" i="24"/>
  <c r="J98" i="24"/>
  <c r="G76" i="24"/>
  <c r="J76" i="24"/>
  <c r="E98" i="24"/>
  <c r="G98" i="24"/>
  <c r="I98" i="24"/>
  <c r="H76" i="24"/>
  <c r="AT98" i="17"/>
  <c r="U98" i="24" s="1"/>
  <c r="V98" i="24" s="1"/>
  <c r="W98" i="24" s="1"/>
  <c r="K51" i="24"/>
  <c r="E76" i="24"/>
  <c r="H98" i="24"/>
  <c r="I76" i="24"/>
  <c r="AT131" i="17"/>
  <c r="U131" i="24" s="1"/>
  <c r="V131" i="24" s="1"/>
  <c r="W131" i="24" s="1"/>
  <c r="Q131" i="24"/>
  <c r="R131" i="24" s="1"/>
  <c r="S131" i="24" s="1"/>
  <c r="AT51" i="17"/>
  <c r="U51" i="24" s="1"/>
  <c r="V51" i="24" s="1"/>
  <c r="W51" i="24" s="1"/>
  <c r="I51" i="24"/>
  <c r="G51" i="24"/>
  <c r="J51" i="24"/>
  <c r="AR11" i="25"/>
  <c r="AW11" i="25" s="1"/>
  <c r="H51" i="24"/>
  <c r="Q51" i="24"/>
  <c r="E127" i="24"/>
  <c r="AT127" i="17"/>
  <c r="U127" i="24" s="1"/>
  <c r="V127" i="24" s="1"/>
  <c r="W127" i="24" s="1"/>
  <c r="Q127" i="24"/>
  <c r="R127" i="24" s="1"/>
  <c r="S127" i="24" s="1"/>
  <c r="AR19" i="25"/>
  <c r="H127" i="24"/>
  <c r="J127" i="24"/>
  <c r="F127" i="24"/>
  <c r="AR9" i="25"/>
  <c r="G127" i="24"/>
  <c r="I127" i="24"/>
  <c r="Q144" i="24"/>
  <c r="R144" i="24" s="1"/>
  <c r="S144" i="24" s="1"/>
  <c r="AT11" i="17"/>
  <c r="U11" i="24" s="1"/>
  <c r="V11" i="24" s="1"/>
  <c r="W11" i="24" s="1"/>
  <c r="Q11" i="24"/>
  <c r="R11" i="24" s="1"/>
  <c r="S11" i="24" s="1"/>
  <c r="F12" i="24"/>
  <c r="AT12" i="17"/>
  <c r="U12" i="24" s="1"/>
  <c r="V12" i="24" s="1"/>
  <c r="W12" i="24" s="1"/>
  <c r="Q12" i="24"/>
  <c r="R12" i="24" s="1"/>
  <c r="S12" i="24" s="1"/>
  <c r="AR12" i="25"/>
  <c r="AS12" i="25" s="1"/>
  <c r="J49" i="24"/>
  <c r="I49" i="24"/>
  <c r="K49" i="24"/>
  <c r="H49" i="24"/>
  <c r="G49" i="24"/>
  <c r="E49" i="24"/>
  <c r="J135" i="24"/>
  <c r="I135" i="24"/>
  <c r="K135" i="24"/>
  <c r="H135" i="24"/>
  <c r="G135" i="24"/>
  <c r="E135" i="24"/>
  <c r="I50" i="24"/>
  <c r="J50" i="24"/>
  <c r="K50" i="24"/>
  <c r="G50" i="24"/>
  <c r="H50" i="24"/>
  <c r="E50" i="24"/>
  <c r="J123" i="24"/>
  <c r="K123" i="24"/>
  <c r="I123" i="24"/>
  <c r="H123" i="24"/>
  <c r="G123" i="24"/>
  <c r="E123" i="24"/>
  <c r="J125" i="24"/>
  <c r="I125" i="24"/>
  <c r="K125" i="24"/>
  <c r="H125" i="24"/>
  <c r="G125" i="24"/>
  <c r="E125" i="24"/>
  <c r="K70" i="24"/>
  <c r="J70" i="24"/>
  <c r="I70" i="24"/>
  <c r="H70" i="24"/>
  <c r="G70" i="24"/>
  <c r="E70" i="24"/>
  <c r="J58" i="24"/>
  <c r="I58" i="24"/>
  <c r="K58" i="24"/>
  <c r="G58" i="24"/>
  <c r="H58" i="24"/>
  <c r="E58" i="24"/>
  <c r="Q112" i="24"/>
  <c r="R112" i="24" s="1"/>
  <c r="S112" i="24" s="1"/>
  <c r="I112" i="24"/>
  <c r="J112" i="24"/>
  <c r="K112" i="24"/>
  <c r="G112" i="24"/>
  <c r="H112" i="24"/>
  <c r="E112" i="24"/>
  <c r="J126" i="24"/>
  <c r="I126" i="24"/>
  <c r="K126" i="24"/>
  <c r="H126" i="24"/>
  <c r="G126" i="24"/>
  <c r="E126" i="24"/>
  <c r="J94" i="24"/>
  <c r="K94" i="24"/>
  <c r="I94" i="24"/>
  <c r="G94" i="24"/>
  <c r="H94" i="24"/>
  <c r="E94" i="24"/>
  <c r="I75" i="24"/>
  <c r="J75" i="24"/>
  <c r="K75" i="24"/>
  <c r="G75" i="24"/>
  <c r="H75" i="24"/>
  <c r="E75" i="24"/>
  <c r="AT101" i="17"/>
  <c r="U101" i="24" s="1"/>
  <c r="V101" i="24" s="1"/>
  <c r="W101" i="24" s="1"/>
  <c r="F49" i="24"/>
  <c r="J14" i="24"/>
  <c r="G14" i="24"/>
  <c r="I14" i="24"/>
  <c r="K14" i="24"/>
  <c r="H14" i="24"/>
  <c r="AT14" i="17"/>
  <c r="U14" i="24" s="1"/>
  <c r="V14" i="24" s="1"/>
  <c r="W14" i="24" s="1"/>
  <c r="Q14" i="24"/>
  <c r="R14" i="24" s="1"/>
  <c r="S14" i="24" s="1"/>
  <c r="E14" i="24"/>
  <c r="AT108" i="17"/>
  <c r="U108" i="24" s="1"/>
  <c r="V108" i="24" s="1"/>
  <c r="W108" i="24" s="1"/>
  <c r="I108" i="24"/>
  <c r="J108" i="24"/>
  <c r="K108" i="24"/>
  <c r="G108" i="24"/>
  <c r="H108" i="24"/>
  <c r="E108" i="24"/>
  <c r="F50" i="24"/>
  <c r="F135" i="24"/>
  <c r="F75" i="24"/>
  <c r="I7" i="24"/>
  <c r="J7" i="24"/>
  <c r="K7" i="24"/>
  <c r="H7" i="24"/>
  <c r="G7" i="24"/>
  <c r="E7" i="24"/>
  <c r="Q68" i="24"/>
  <c r="R68" i="24" s="1"/>
  <c r="S68" i="24" s="1"/>
  <c r="K68" i="24"/>
  <c r="I68" i="24"/>
  <c r="J68" i="24"/>
  <c r="G68" i="24"/>
  <c r="H68" i="24"/>
  <c r="E68" i="24"/>
  <c r="I103" i="24"/>
  <c r="K103" i="24"/>
  <c r="J103" i="24"/>
  <c r="G103" i="24"/>
  <c r="H103" i="24"/>
  <c r="E103" i="24"/>
  <c r="I86" i="24"/>
  <c r="K86" i="24"/>
  <c r="J86" i="24"/>
  <c r="G86" i="24"/>
  <c r="H86" i="24"/>
  <c r="E86" i="24"/>
  <c r="I121" i="24"/>
  <c r="J121" i="24"/>
  <c r="K121" i="24"/>
  <c r="H121" i="24"/>
  <c r="G121" i="24"/>
  <c r="E121" i="24"/>
  <c r="J45" i="24"/>
  <c r="K45" i="24"/>
  <c r="I45" i="24"/>
  <c r="H45" i="24"/>
  <c r="G45" i="24"/>
  <c r="E45" i="24"/>
  <c r="K133" i="24"/>
  <c r="J133" i="24"/>
  <c r="I133" i="24"/>
  <c r="H133" i="24"/>
  <c r="G133" i="24"/>
  <c r="E133" i="24"/>
  <c r="J101" i="24"/>
  <c r="I101" i="24"/>
  <c r="K101" i="24"/>
  <c r="G101" i="24"/>
  <c r="H101" i="24"/>
  <c r="E101" i="24"/>
  <c r="I119" i="24"/>
  <c r="J119" i="24"/>
  <c r="K119" i="24"/>
  <c r="G119" i="24"/>
  <c r="H119" i="24"/>
  <c r="AT119" i="17"/>
  <c r="U119" i="24" s="1"/>
  <c r="V119" i="24" s="1"/>
  <c r="W119" i="24" s="1"/>
  <c r="Q119" i="24"/>
  <c r="R119" i="24" s="1"/>
  <c r="S119" i="24" s="1"/>
  <c r="E119" i="24"/>
  <c r="Q45" i="24"/>
  <c r="Q67" i="24"/>
  <c r="R67" i="24" s="1"/>
  <c r="S67" i="24" s="1"/>
  <c r="I67" i="24"/>
  <c r="K67" i="24"/>
  <c r="J67" i="24"/>
  <c r="G67" i="24"/>
  <c r="H67" i="24"/>
  <c r="E67" i="24"/>
  <c r="Q121" i="24"/>
  <c r="R121" i="24" s="1"/>
  <c r="S121" i="24" s="1"/>
  <c r="K9" i="24"/>
  <c r="I9" i="24"/>
  <c r="J9" i="24"/>
  <c r="G9" i="24"/>
  <c r="H9" i="24"/>
  <c r="E9" i="24"/>
  <c r="AT100" i="17"/>
  <c r="U100" i="24" s="1"/>
  <c r="V100" i="24" s="1"/>
  <c r="W100" i="24" s="1"/>
  <c r="K100" i="24"/>
  <c r="J100" i="24"/>
  <c r="I100" i="24"/>
  <c r="G100" i="24"/>
  <c r="H100" i="24"/>
  <c r="E100" i="24"/>
  <c r="AT61" i="17"/>
  <c r="U61" i="24" s="1"/>
  <c r="V61" i="24" s="1"/>
  <c r="W61" i="24" s="1"/>
  <c r="I61" i="24"/>
  <c r="K61" i="24"/>
  <c r="J61" i="24"/>
  <c r="H61" i="24"/>
  <c r="G61" i="24"/>
  <c r="E61" i="24"/>
  <c r="I137" i="24"/>
  <c r="K137" i="24"/>
  <c r="J137" i="24"/>
  <c r="H137" i="24"/>
  <c r="G137" i="24"/>
  <c r="E137" i="24"/>
  <c r="J44" i="24"/>
  <c r="I44" i="24"/>
  <c r="K44" i="24"/>
  <c r="H44" i="24"/>
  <c r="G44" i="24"/>
  <c r="E44" i="24"/>
  <c r="I138" i="24"/>
  <c r="K138" i="24"/>
  <c r="J138" i="24"/>
  <c r="H138" i="24"/>
  <c r="G138" i="24"/>
  <c r="E138" i="24"/>
  <c r="I11" i="24"/>
  <c r="J11" i="24"/>
  <c r="K11" i="24"/>
  <c r="G11" i="24"/>
  <c r="H11" i="24"/>
  <c r="E11" i="24"/>
  <c r="J131" i="24"/>
  <c r="I131" i="24"/>
  <c r="K131" i="24"/>
  <c r="H131" i="24"/>
  <c r="G131" i="24"/>
  <c r="E131" i="24"/>
  <c r="J144" i="24"/>
  <c r="K144" i="24"/>
  <c r="I144" i="24"/>
  <c r="G144" i="24"/>
  <c r="H144" i="24"/>
  <c r="E144" i="24"/>
  <c r="F133" i="24"/>
  <c r="F119" i="24"/>
  <c r="F14" i="24"/>
  <c r="F144" i="24"/>
  <c r="F126" i="24"/>
  <c r="F103" i="24"/>
  <c r="F108" i="24"/>
  <c r="Q146" i="24"/>
  <c r="R146" i="24" s="1"/>
  <c r="S146" i="24" s="1"/>
  <c r="I146" i="24"/>
  <c r="K146" i="24"/>
  <c r="J146" i="24"/>
  <c r="H146" i="24"/>
  <c r="G146" i="24"/>
  <c r="E146" i="24"/>
  <c r="Q114" i="24"/>
  <c r="R114" i="24" s="1"/>
  <c r="S114" i="24" s="1"/>
  <c r="K114" i="24"/>
  <c r="J114" i="24"/>
  <c r="I114" i="24"/>
  <c r="H114" i="24"/>
  <c r="G114" i="24"/>
  <c r="E114" i="24"/>
  <c r="I150" i="24"/>
  <c r="K150" i="24"/>
  <c r="J150" i="24"/>
  <c r="G150" i="24"/>
  <c r="H150" i="24"/>
  <c r="E150" i="24"/>
  <c r="AR14" i="25"/>
  <c r="AS14" i="25" s="1"/>
  <c r="K110" i="24"/>
  <c r="I110" i="24"/>
  <c r="J110" i="24"/>
  <c r="H110" i="24"/>
  <c r="G110" i="24"/>
  <c r="E110" i="24"/>
  <c r="AT129" i="17"/>
  <c r="U129" i="24" s="1"/>
  <c r="V129" i="24" s="1"/>
  <c r="W129" i="24" s="1"/>
  <c r="J129" i="24"/>
  <c r="I129" i="24"/>
  <c r="K129" i="24"/>
  <c r="G129" i="24"/>
  <c r="H129" i="24"/>
  <c r="E129" i="24"/>
  <c r="F45" i="24"/>
  <c r="F114" i="24"/>
  <c r="Q72" i="24"/>
  <c r="R72" i="24" s="1"/>
  <c r="S72" i="24" s="1"/>
  <c r="J72" i="24"/>
  <c r="I72" i="24"/>
  <c r="K72" i="24"/>
  <c r="G72" i="24"/>
  <c r="H72" i="24"/>
  <c r="E72" i="24"/>
  <c r="Q133" i="24"/>
  <c r="R133" i="24" s="1"/>
  <c r="S133" i="24" s="1"/>
  <c r="J85" i="24"/>
  <c r="K85" i="24"/>
  <c r="I85" i="24"/>
  <c r="G85" i="24"/>
  <c r="H85" i="24"/>
  <c r="E85" i="24"/>
  <c r="AT17" i="17"/>
  <c r="U17" i="24" s="1"/>
  <c r="V17" i="24" s="1"/>
  <c r="W17" i="24" s="1"/>
  <c r="I17" i="24"/>
  <c r="K17" i="24"/>
  <c r="J17" i="24"/>
  <c r="H17" i="24"/>
  <c r="G17" i="24"/>
  <c r="E17" i="24"/>
  <c r="I64" i="24"/>
  <c r="K64" i="24"/>
  <c r="J64" i="24"/>
  <c r="G64" i="24"/>
  <c r="H64" i="24"/>
  <c r="E64" i="24"/>
  <c r="AT135" i="17"/>
  <c r="U135" i="24" s="1"/>
  <c r="V135" i="24" s="1"/>
  <c r="W135" i="24" s="1"/>
  <c r="I79" i="24"/>
  <c r="J79" i="24"/>
  <c r="K79" i="24"/>
  <c r="H79" i="24"/>
  <c r="G79" i="24"/>
  <c r="E79" i="24"/>
  <c r="AT72" i="17"/>
  <c r="U72" i="24" s="1"/>
  <c r="V72" i="24" s="1"/>
  <c r="W72" i="24" s="1"/>
  <c r="AT37" i="17"/>
  <c r="U37" i="24" s="1"/>
  <c r="V37" i="24" s="1"/>
  <c r="W37" i="24" s="1"/>
  <c r="I37" i="24"/>
  <c r="J37" i="24"/>
  <c r="K37" i="24"/>
  <c r="H37" i="24"/>
  <c r="G37" i="24"/>
  <c r="E37" i="24"/>
  <c r="K32" i="24"/>
  <c r="I32" i="24"/>
  <c r="J32" i="24"/>
  <c r="H32" i="24"/>
  <c r="G32" i="24"/>
  <c r="E32" i="24"/>
  <c r="K139" i="24"/>
  <c r="J139" i="24"/>
  <c r="I139" i="24"/>
  <c r="G139" i="24"/>
  <c r="H139" i="24"/>
  <c r="E139" i="24"/>
  <c r="Q101" i="24"/>
  <c r="R101" i="24" s="1"/>
  <c r="S101" i="24" s="1"/>
  <c r="K12" i="24"/>
  <c r="I12" i="24"/>
  <c r="J12" i="24"/>
  <c r="G12" i="24"/>
  <c r="H12" i="24"/>
  <c r="E12" i="24"/>
  <c r="F146" i="24"/>
  <c r="F137" i="24"/>
  <c r="F112" i="24"/>
  <c r="F139" i="24"/>
  <c r="F94" i="24"/>
  <c r="F7" i="24"/>
  <c r="F100" i="24"/>
  <c r="F121" i="24"/>
  <c r="F70" i="24"/>
  <c r="F44" i="24"/>
  <c r="F58" i="24"/>
  <c r="F125" i="24"/>
  <c r="F138" i="24"/>
  <c r="F150" i="24"/>
  <c r="N55" i="24"/>
  <c r="N156" i="24" s="1"/>
  <c r="Q150" i="24"/>
  <c r="R150" i="24" s="1"/>
  <c r="S150" i="24" s="1"/>
  <c r="AT103" i="17"/>
  <c r="U103" i="24" s="1"/>
  <c r="V103" i="24" s="1"/>
  <c r="W103" i="24" s="1"/>
  <c r="AT150" i="17"/>
  <c r="U150" i="24" s="1"/>
  <c r="V150" i="24" s="1"/>
  <c r="W150" i="24" s="1"/>
  <c r="AT139" i="17"/>
  <c r="U139" i="24" s="1"/>
  <c r="V139" i="24" s="1"/>
  <c r="W139" i="24" s="1"/>
  <c r="Q103" i="24"/>
  <c r="R103" i="24" s="1"/>
  <c r="S103" i="24" s="1"/>
  <c r="Q139" i="24"/>
  <c r="R139" i="24" s="1"/>
  <c r="S139" i="24" s="1"/>
  <c r="AR20" i="25"/>
  <c r="AS20" i="25" s="1"/>
  <c r="AT137" i="17"/>
  <c r="U137" i="24" s="1"/>
  <c r="V137" i="24" s="1"/>
  <c r="W137" i="24" s="1"/>
  <c r="AT75" i="17"/>
  <c r="U75" i="24" s="1"/>
  <c r="V75" i="24" s="1"/>
  <c r="W75" i="24" s="1"/>
  <c r="Q138" i="24"/>
  <c r="R138" i="24" s="1"/>
  <c r="S138" i="24" s="1"/>
  <c r="Q75" i="24"/>
  <c r="R75" i="24" s="1"/>
  <c r="S75" i="24" s="1"/>
  <c r="AT138" i="17"/>
  <c r="U138" i="24" s="1"/>
  <c r="V138" i="24" s="1"/>
  <c r="W138" i="24" s="1"/>
  <c r="Q70" i="24"/>
  <c r="R70" i="24" s="1"/>
  <c r="S70" i="24" s="1"/>
  <c r="Q129" i="24"/>
  <c r="R129" i="24" s="1"/>
  <c r="S129" i="24" s="1"/>
  <c r="Q137" i="24"/>
  <c r="R137" i="24" s="1"/>
  <c r="S137" i="24" s="1"/>
  <c r="AT94" i="17"/>
  <c r="U94" i="24" s="1"/>
  <c r="V94" i="24" s="1"/>
  <c r="W94" i="24" s="1"/>
  <c r="AT79" i="17"/>
  <c r="U79" i="24" s="1"/>
  <c r="V79" i="24" s="1"/>
  <c r="W79" i="24" s="1"/>
  <c r="AT114" i="17"/>
  <c r="U114" i="24" s="1"/>
  <c r="V114" i="24" s="1"/>
  <c r="W114" i="24" s="1"/>
  <c r="Q94" i="24"/>
  <c r="R94" i="24" s="1"/>
  <c r="S94" i="24" s="1"/>
  <c r="Q32" i="24"/>
  <c r="R32" i="24" s="1"/>
  <c r="S32" i="24" s="1"/>
  <c r="Q58" i="24"/>
  <c r="R58" i="24" s="1"/>
  <c r="S58" i="24" s="1"/>
  <c r="AT126" i="17"/>
  <c r="U126" i="24" s="1"/>
  <c r="V126" i="24" s="1"/>
  <c r="W126" i="24" s="1"/>
  <c r="Q86" i="24"/>
  <c r="R86" i="24" s="1"/>
  <c r="S86" i="24" s="1"/>
  <c r="AT58" i="17"/>
  <c r="U58" i="24" s="1"/>
  <c r="V58" i="24" s="1"/>
  <c r="W58" i="24" s="1"/>
  <c r="AT9" i="17"/>
  <c r="U9" i="24" s="1"/>
  <c r="V9" i="24" s="1"/>
  <c r="W9" i="24" s="1"/>
  <c r="AT86" i="17"/>
  <c r="U86" i="24" s="1"/>
  <c r="V86" i="24" s="1"/>
  <c r="W86" i="24" s="1"/>
  <c r="Q61" i="24"/>
  <c r="R61" i="24" s="1"/>
  <c r="S61" i="24" s="1"/>
  <c r="AR17" i="25"/>
  <c r="AS17" i="25" s="1"/>
  <c r="AR16" i="25"/>
  <c r="AS16" i="25" s="1"/>
  <c r="Q37" i="24"/>
  <c r="Q9" i="24"/>
  <c r="R9" i="24" s="1"/>
  <c r="S9" i="24" s="1"/>
  <c r="Q126" i="24"/>
  <c r="R126" i="24" s="1"/>
  <c r="S126" i="24" s="1"/>
  <c r="Q44" i="24"/>
  <c r="AT32" i="17"/>
  <c r="U32" i="24" s="1"/>
  <c r="V32" i="24" s="1"/>
  <c r="W32" i="24" s="1"/>
  <c r="AR23" i="25"/>
  <c r="AS23" i="25" s="1"/>
  <c r="AR21" i="25"/>
  <c r="AS21" i="25" s="1"/>
  <c r="Q100" i="24"/>
  <c r="R100" i="24" s="1"/>
  <c r="S100" i="24" s="1"/>
  <c r="AT112" i="17"/>
  <c r="U112" i="24" s="1"/>
  <c r="V112" i="24" s="1"/>
  <c r="W112" i="24" s="1"/>
  <c r="AR6" i="25"/>
  <c r="AS6" i="25" s="1"/>
  <c r="AR18" i="25"/>
  <c r="AS18" i="25" s="1"/>
  <c r="Q110" i="24"/>
  <c r="R110" i="24" s="1"/>
  <c r="S110" i="24" s="1"/>
  <c r="AT110" i="17"/>
  <c r="U110" i="24" s="1"/>
  <c r="V110" i="24" s="1"/>
  <c r="W110" i="24" s="1"/>
  <c r="AT68" i="17"/>
  <c r="U68" i="24" s="1"/>
  <c r="V68" i="24" s="1"/>
  <c r="W68" i="24" s="1"/>
  <c r="AR7" i="25"/>
  <c r="AS7" i="25" s="1"/>
  <c r="Q79" i="24"/>
  <c r="AR13" i="25"/>
  <c r="AS13" i="25" s="1"/>
  <c r="AR10" i="25"/>
  <c r="AS10" i="25" s="1"/>
  <c r="Z24" i="25"/>
  <c r="Q17" i="24"/>
  <c r="AT146" i="17"/>
  <c r="U146" i="24" s="1"/>
  <c r="V146" i="24" s="1"/>
  <c r="W146" i="24" s="1"/>
  <c r="AT67" i="17"/>
  <c r="U67" i="24" s="1"/>
  <c r="V67" i="24" s="1"/>
  <c r="W67" i="24" s="1"/>
  <c r="Q64" i="24"/>
  <c r="R64" i="24" s="1"/>
  <c r="S64" i="24" s="1"/>
  <c r="AT64" i="17"/>
  <c r="U64" i="24" s="1"/>
  <c r="V64" i="24" s="1"/>
  <c r="W64" i="24" s="1"/>
  <c r="AR22" i="25"/>
  <c r="AS22" i="25" s="1"/>
  <c r="AT50" i="17"/>
  <c r="U50" i="24" s="1"/>
  <c r="V50" i="24" s="1"/>
  <c r="W50" i="24" s="1"/>
  <c r="Q50" i="24"/>
  <c r="R50" i="24" s="1"/>
  <c r="S50" i="24" s="1"/>
  <c r="AT125" i="17"/>
  <c r="U125" i="24" s="1"/>
  <c r="V125" i="24" s="1"/>
  <c r="W125" i="24" s="1"/>
  <c r="Q125" i="24"/>
  <c r="R125" i="24" s="1"/>
  <c r="S125" i="24" s="1"/>
  <c r="Q85" i="24"/>
  <c r="R85" i="24" s="1"/>
  <c r="S85" i="24" s="1"/>
  <c r="AT85" i="17"/>
  <c r="U85" i="24" s="1"/>
  <c r="V85" i="24" s="1"/>
  <c r="W85" i="24" s="1"/>
  <c r="Q49" i="24"/>
  <c r="R49" i="24" s="1"/>
  <c r="S49" i="24" s="1"/>
  <c r="AT49" i="17"/>
  <c r="U49" i="24" s="1"/>
  <c r="V49" i="24" s="1"/>
  <c r="W49" i="24" s="1"/>
  <c r="AT123" i="17"/>
  <c r="U123" i="24" s="1"/>
  <c r="V123" i="24" s="1"/>
  <c r="W123" i="24" s="1"/>
  <c r="Q123" i="24"/>
  <c r="R123" i="24" s="1"/>
  <c r="S123" i="24" s="1"/>
  <c r="AO24" i="25"/>
  <c r="Y138" i="17"/>
  <c r="Y60" i="17"/>
  <c r="Y46" i="17"/>
  <c r="Y17" i="17"/>
  <c r="Y6" i="25" s="1"/>
  <c r="Y150" i="17"/>
  <c r="Y102" i="17"/>
  <c r="Y44" i="17"/>
  <c r="Y100" i="17"/>
  <c r="Y134" i="17"/>
  <c r="Y81" i="17"/>
  <c r="Y104" i="17"/>
  <c r="Y137" i="17"/>
  <c r="Y48" i="17"/>
  <c r="Y123" i="17"/>
  <c r="Y113" i="17"/>
  <c r="Y115" i="17"/>
  <c r="Y141" i="17"/>
  <c r="Y40" i="17"/>
  <c r="Y33" i="17"/>
  <c r="Y126" i="17"/>
  <c r="Y127" i="17"/>
  <c r="Y85" i="17"/>
  <c r="Y63" i="17"/>
  <c r="Y13" i="17"/>
  <c r="Y42" i="17"/>
  <c r="Y28" i="17"/>
  <c r="Y7" i="17"/>
  <c r="Y50" i="17"/>
  <c r="Y57" i="17"/>
  <c r="Y155" i="17"/>
  <c r="Y83" i="17"/>
  <c r="Y78" i="17"/>
  <c r="Y38" i="17"/>
  <c r="Y106" i="17"/>
  <c r="Y53" i="17"/>
  <c r="U26" i="24"/>
  <c r="V26" i="24" s="1"/>
  <c r="W26" i="24" s="1"/>
  <c r="U73" i="24"/>
  <c r="V73" i="24" s="1"/>
  <c r="W73" i="24" s="1"/>
  <c r="U23" i="24"/>
  <c r="V23" i="24" s="1"/>
  <c r="W23" i="24" s="1"/>
  <c r="U53" i="24"/>
  <c r="V53" i="24" s="1"/>
  <c r="W53" i="24" s="1"/>
  <c r="U38" i="24"/>
  <c r="V38" i="24" s="1"/>
  <c r="W38" i="24" s="1"/>
  <c r="U25" i="24"/>
  <c r="V25" i="24" s="1"/>
  <c r="W25" i="24" s="1"/>
  <c r="U45" i="24"/>
  <c r="V45" i="24" s="1"/>
  <c r="W45" i="24" s="1"/>
  <c r="U20" i="24"/>
  <c r="V20" i="24" s="1"/>
  <c r="W20" i="24" s="1"/>
  <c r="U18" i="24"/>
  <c r="V18" i="24" s="1"/>
  <c r="W18" i="24" s="1"/>
  <c r="Q7" i="24"/>
  <c r="R7" i="24" s="1"/>
  <c r="S7" i="24" s="1"/>
  <c r="Q154" i="24"/>
  <c r="R154" i="24" s="1"/>
  <c r="S154" i="24" s="1"/>
  <c r="Y149" i="17"/>
  <c r="Y130" i="17"/>
  <c r="Y90" i="17"/>
  <c r="Y36" i="17"/>
  <c r="Y61" i="17"/>
  <c r="Y92" i="17"/>
  <c r="Y82" i="17"/>
  <c r="Y151" i="17"/>
  <c r="Y91" i="17"/>
  <c r="Y10" i="17"/>
  <c r="Y93" i="17"/>
  <c r="Y31" i="17"/>
  <c r="Y105" i="17"/>
  <c r="Y119" i="17"/>
  <c r="Y65" i="17"/>
  <c r="Y64" i="17"/>
  <c r="Y86" i="17"/>
  <c r="Y71" i="17"/>
  <c r="Y125" i="17"/>
  <c r="Y15" i="17"/>
  <c r="Y23" i="17"/>
  <c r="Y79" i="17"/>
  <c r="Y41" i="17"/>
  <c r="Y14" i="17"/>
  <c r="Y29" i="17"/>
  <c r="Y8" i="17"/>
  <c r="Y140" i="17"/>
  <c r="Y109" i="17"/>
  <c r="Y75" i="17"/>
  <c r="Y37" i="17"/>
  <c r="Y16" i="17"/>
  <c r="Y49" i="17"/>
  <c r="Y129" i="17"/>
  <c r="Y122" i="17"/>
  <c r="Y56" i="17"/>
  <c r="Y27" i="17"/>
  <c r="Y39" i="17"/>
  <c r="Y55" i="17"/>
  <c r="Y97" i="17"/>
  <c r="Y152" i="17"/>
  <c r="Y107" i="17"/>
  <c r="Y98" i="17"/>
  <c r="Y73" i="17"/>
  <c r="Y66" i="17"/>
  <c r="Y88" i="17"/>
  <c r="Y153" i="17"/>
  <c r="Y101" i="17"/>
  <c r="Y103" i="17"/>
  <c r="Y22" i="17"/>
  <c r="Y94" i="17"/>
  <c r="Y117" i="17"/>
  <c r="Y143" i="17"/>
  <c r="Y35" i="17"/>
  <c r="Y120" i="17"/>
  <c r="Y124" i="17"/>
  <c r="Y58" i="17"/>
  <c r="Y25" i="17"/>
  <c r="Y133" i="17"/>
  <c r="Y67" i="17"/>
  <c r="Y18" i="17"/>
  <c r="Y95" i="17"/>
  <c r="Y128" i="17"/>
  <c r="Y51" i="17"/>
  <c r="Y116" i="17"/>
  <c r="Y99" i="17"/>
  <c r="Y146" i="17"/>
  <c r="Y77" i="17"/>
  <c r="Y118" i="17"/>
  <c r="Y89" i="17"/>
  <c r="Y45" i="17"/>
  <c r="Y9" i="25" s="1"/>
  <c r="Y9" i="17"/>
  <c r="Y145" i="17"/>
  <c r="Y147" i="17"/>
  <c r="Y47" i="17"/>
  <c r="Y74" i="17"/>
  <c r="Y84" i="17"/>
  <c r="Y69" i="17"/>
  <c r="Y54" i="17"/>
  <c r="Y26" i="17"/>
  <c r="Y6" i="17"/>
  <c r="Y20" i="17"/>
  <c r="Y144" i="17"/>
  <c r="Y110" i="17"/>
  <c r="Y76" i="17"/>
  <c r="Y59" i="17"/>
  <c r="Y108" i="17"/>
  <c r="Y30" i="17"/>
  <c r="Y132" i="17"/>
  <c r="Y12" i="17"/>
  <c r="Y96" i="17"/>
  <c r="Y142" i="17"/>
  <c r="Y135" i="17"/>
  <c r="Y32" i="17"/>
  <c r="Y121" i="17"/>
  <c r="Y52" i="17"/>
  <c r="Y139" i="17"/>
  <c r="Y136" i="17"/>
  <c r="Y62" i="17"/>
  <c r="Y11" i="17"/>
  <c r="Y68" i="17"/>
  <c r="Y87" i="17"/>
  <c r="Y111" i="17"/>
  <c r="Y112" i="17"/>
  <c r="Y154" i="17"/>
  <c r="Y131" i="17"/>
  <c r="Y70" i="17"/>
  <c r="Y80" i="17"/>
  <c r="Y148" i="17"/>
  <c r="Y114" i="17"/>
  <c r="Y34" i="17"/>
  <c r="Y72" i="17"/>
  <c r="Y21" i="17"/>
  <c r="Y43" i="17"/>
  <c r="Y19" i="17"/>
  <c r="AT7" i="17"/>
  <c r="AR15" i="25"/>
  <c r="AS15" i="25" s="1"/>
  <c r="U6" i="24"/>
  <c r="U65" i="24"/>
  <c r="V65" i="24" s="1"/>
  <c r="W65" i="24" s="1"/>
  <c r="U56" i="24"/>
  <c r="V56" i="24" s="1"/>
  <c r="W56" i="24" s="1"/>
  <c r="U83" i="24"/>
  <c r="V83" i="24" s="1"/>
  <c r="W83" i="24" s="1"/>
  <c r="U16" i="24"/>
  <c r="V16" i="24" s="1"/>
  <c r="W16" i="24" s="1"/>
  <c r="U52" i="24"/>
  <c r="V52" i="24" s="1"/>
  <c r="W52" i="24" s="1"/>
  <c r="U78" i="24"/>
  <c r="V78" i="24" s="1"/>
  <c r="W78" i="24" s="1"/>
  <c r="U36" i="24"/>
  <c r="V36" i="24" s="1"/>
  <c r="W36" i="24" s="1"/>
  <c r="U63" i="24"/>
  <c r="V63" i="24" s="1"/>
  <c r="W63" i="24" s="1"/>
  <c r="U30" i="24"/>
  <c r="V30" i="24" s="1"/>
  <c r="W30" i="24" s="1"/>
  <c r="U28" i="24"/>
  <c r="V28" i="24" s="1"/>
  <c r="W28" i="24" s="1"/>
  <c r="U33" i="24"/>
  <c r="V33" i="24" s="1"/>
  <c r="W33" i="24" s="1"/>
  <c r="U48" i="24"/>
  <c r="V48" i="24" s="1"/>
  <c r="W48" i="24" s="1"/>
  <c r="U29" i="24"/>
  <c r="V29" i="24" s="1"/>
  <c r="W29" i="24" s="1"/>
  <c r="U93" i="24"/>
  <c r="V93" i="24" s="1"/>
  <c r="W93" i="24" s="1"/>
  <c r="U55" i="24"/>
  <c r="V55" i="24" s="1"/>
  <c r="W55" i="24" s="1"/>
  <c r="U35" i="24"/>
  <c r="V35" i="24" s="1"/>
  <c r="W35" i="24" s="1"/>
  <c r="U42" i="24"/>
  <c r="V42" i="24" s="1"/>
  <c r="W42" i="24" s="1"/>
  <c r="O63" i="24"/>
  <c r="O56" i="24"/>
  <c r="O30" i="24"/>
  <c r="O29" i="24"/>
  <c r="O15" i="24"/>
  <c r="R15" i="24"/>
  <c r="O65" i="24"/>
  <c r="O93" i="24"/>
  <c r="O42" i="24"/>
  <c r="O33" i="24"/>
  <c r="O36" i="24"/>
  <c r="O28" i="24"/>
  <c r="O35" i="24"/>
  <c r="O52" i="24"/>
  <c r="O48" i="24"/>
  <c r="O83" i="24"/>
  <c r="O16" i="24"/>
  <c r="O78" i="24"/>
  <c r="Q156" i="24" l="1"/>
  <c r="AT8" i="25"/>
  <c r="AT156" i="17"/>
  <c r="Y156" i="17"/>
  <c r="AW8" i="25"/>
  <c r="AU8" i="25"/>
  <c r="AV8" i="25"/>
  <c r="AX8" i="25"/>
  <c r="AY8" i="25"/>
  <c r="BB8" i="25"/>
  <c r="BC8" i="25" s="1"/>
  <c r="BA8" i="25"/>
  <c r="R51" i="24"/>
  <c r="BA11" i="25"/>
  <c r="F157" i="24" a="1"/>
  <c r="F157" i="24" s="1"/>
  <c r="BA12" i="25"/>
  <c r="BA21" i="25"/>
  <c r="S31" i="24"/>
  <c r="BB10" i="25"/>
  <c r="BC10" i="25" s="1"/>
  <c r="BA19" i="25"/>
  <c r="BA14" i="25"/>
  <c r="BA22" i="25"/>
  <c r="R17" i="24"/>
  <c r="BA6" i="25"/>
  <c r="R37" i="24"/>
  <c r="BA17" i="25"/>
  <c r="S41" i="24"/>
  <c r="BB12" i="25"/>
  <c r="BC12" i="25" s="1"/>
  <c r="S19" i="24"/>
  <c r="BB21" i="25"/>
  <c r="BC21" i="25" s="1"/>
  <c r="BA16" i="25"/>
  <c r="S71" i="24"/>
  <c r="BB19" i="25"/>
  <c r="BC19" i="25" s="1"/>
  <c r="S53" i="24"/>
  <c r="BB14" i="25"/>
  <c r="BC14" i="25" s="1"/>
  <c r="S6" i="24"/>
  <c r="BB22" i="25"/>
  <c r="BC22" i="25" s="1"/>
  <c r="R44" i="24"/>
  <c r="BA7" i="25"/>
  <c r="R45" i="24"/>
  <c r="BA9" i="25"/>
  <c r="U157" i="24" a="1"/>
  <c r="U157" i="24" s="1"/>
  <c r="BA15" i="25"/>
  <c r="S22" i="24"/>
  <c r="BB16" i="25"/>
  <c r="BC16" i="25" s="1"/>
  <c r="BA20" i="25"/>
  <c r="BA18" i="25"/>
  <c r="BA13" i="25"/>
  <c r="V6" i="24"/>
  <c r="R79" i="24"/>
  <c r="BA23" i="25"/>
  <c r="T157" i="24" a="1"/>
  <c r="T157" i="24" s="1"/>
  <c r="S8" i="24"/>
  <c r="BB15" i="25"/>
  <c r="BC15" i="25" s="1"/>
  <c r="BA10" i="25"/>
  <c r="S66" i="24"/>
  <c r="BB20" i="25"/>
  <c r="BC20" i="25" s="1"/>
  <c r="S24" i="24"/>
  <c r="BB18" i="25"/>
  <c r="BC18" i="25" s="1"/>
  <c r="S25" i="24"/>
  <c r="BB13" i="25"/>
  <c r="BC13" i="25" s="1"/>
  <c r="AT9" i="25"/>
  <c r="AS9" i="25"/>
  <c r="AW19" i="25"/>
  <c r="AS19" i="25"/>
  <c r="AT11" i="25"/>
  <c r="AS11" i="25"/>
  <c r="AX24" i="25"/>
  <c r="AY24" i="25"/>
  <c r="AW24" i="25"/>
  <c r="AX13" i="25"/>
  <c r="AY13" i="25"/>
  <c r="AY16" i="25"/>
  <c r="AX16" i="25"/>
  <c r="AY15" i="25"/>
  <c r="AX15" i="25"/>
  <c r="AX22" i="25"/>
  <c r="AY22" i="25"/>
  <c r="AY7" i="25"/>
  <c r="AX7" i="25"/>
  <c r="AX18" i="25"/>
  <c r="AY18" i="25"/>
  <c r="AX21" i="25"/>
  <c r="AY21" i="25"/>
  <c r="AX17" i="25"/>
  <c r="AY17" i="25"/>
  <c r="AW9" i="25"/>
  <c r="AX9" i="25"/>
  <c r="AY9" i="25"/>
  <c r="AX6" i="25"/>
  <c r="AY6" i="25"/>
  <c r="AY23" i="25"/>
  <c r="AX23" i="25"/>
  <c r="AU19" i="25"/>
  <c r="AY19" i="25"/>
  <c r="AX19" i="25"/>
  <c r="AV11" i="25"/>
  <c r="AY11" i="25"/>
  <c r="AX11" i="25"/>
  <c r="AX10" i="25"/>
  <c r="AY10" i="25"/>
  <c r="AY20" i="25"/>
  <c r="AX20" i="25"/>
  <c r="AX14" i="25"/>
  <c r="AY14" i="25"/>
  <c r="AT12" i="25"/>
  <c r="AY12" i="25"/>
  <c r="AX12" i="25"/>
  <c r="AT19" i="25"/>
  <c r="AU11" i="25"/>
  <c r="AV19" i="25"/>
  <c r="O55" i="24"/>
  <c r="O157" i="24" s="1" a="1"/>
  <c r="O157" i="24" s="1"/>
  <c r="AV9" i="25"/>
  <c r="AU9" i="25"/>
  <c r="O156" i="24"/>
  <c r="I157" i="24" a="1"/>
  <c r="I157" i="24" s="1"/>
  <c r="G157" i="24" a="1"/>
  <c r="G157" i="24" s="1"/>
  <c r="P157" i="24" a="1"/>
  <c r="P157" i="24" s="1"/>
  <c r="J156" i="24"/>
  <c r="K156" i="24"/>
  <c r="I156" i="24"/>
  <c r="G156" i="24"/>
  <c r="H156" i="24"/>
  <c r="E156" i="24"/>
  <c r="M157" i="24" a="1"/>
  <c r="M157" i="24" s="1"/>
  <c r="AT16" i="25"/>
  <c r="AW16" i="25"/>
  <c r="AU16" i="25"/>
  <c r="AV16" i="25"/>
  <c r="AT14" i="25"/>
  <c r="AW14" i="25"/>
  <c r="AU14" i="25"/>
  <c r="AV14" i="25"/>
  <c r="F156" i="24"/>
  <c r="E157" i="24" a="1"/>
  <c r="E157" i="24" s="1"/>
  <c r="H157" i="24" a="1"/>
  <c r="H157" i="24" s="1"/>
  <c r="AT6" i="25"/>
  <c r="AW6" i="25"/>
  <c r="AU6" i="25"/>
  <c r="AV6" i="25"/>
  <c r="AT15" i="25"/>
  <c r="AW15" i="25"/>
  <c r="AV15" i="25"/>
  <c r="AU15" i="25"/>
  <c r="AT22" i="25"/>
  <c r="AW22" i="25"/>
  <c r="AU22" i="25"/>
  <c r="AV22" i="25"/>
  <c r="AT13" i="25"/>
  <c r="AW13" i="25"/>
  <c r="AU13" i="25"/>
  <c r="AV13" i="25"/>
  <c r="N157" i="24" a="1"/>
  <c r="N157" i="24" s="1"/>
  <c r="L157" i="24" a="1"/>
  <c r="L157" i="24" s="1"/>
  <c r="AT23" i="25"/>
  <c r="AW23" i="25"/>
  <c r="AU23" i="25"/>
  <c r="AV23" i="25"/>
  <c r="AT17" i="25"/>
  <c r="AW17" i="25"/>
  <c r="AU17" i="25"/>
  <c r="AV17" i="25"/>
  <c r="AT20" i="25"/>
  <c r="AW20" i="25"/>
  <c r="AU20" i="25"/>
  <c r="AV20" i="25"/>
  <c r="AT10" i="25"/>
  <c r="AW10" i="25"/>
  <c r="AV10" i="25"/>
  <c r="AU10" i="25"/>
  <c r="AT21" i="25"/>
  <c r="AW21" i="25"/>
  <c r="AU21" i="25"/>
  <c r="AV21" i="25"/>
  <c r="K157" i="24" a="1"/>
  <c r="K157" i="24" s="1"/>
  <c r="AT7" i="25"/>
  <c r="AW7" i="25"/>
  <c r="AU7" i="25"/>
  <c r="AV7" i="25"/>
  <c r="J157" i="24" a="1"/>
  <c r="J157" i="24" s="1"/>
  <c r="AT18" i="25"/>
  <c r="AW18" i="25"/>
  <c r="AU18" i="25"/>
  <c r="AV18" i="25"/>
  <c r="AW12" i="25"/>
  <c r="AU12" i="25"/>
  <c r="AV12" i="25"/>
  <c r="AR24" i="25"/>
  <c r="AS24" i="25" s="1"/>
  <c r="Y12" i="25"/>
  <c r="Y11" i="25"/>
  <c r="Y10" i="25"/>
  <c r="Q157" i="24" a="1"/>
  <c r="Q157" i="24" s="1"/>
  <c r="Y16" i="25"/>
  <c r="U7" i="24"/>
  <c r="V7" i="24" s="1"/>
  <c r="W7" i="24" s="1"/>
  <c r="U154" i="24"/>
  <c r="V154" i="24" s="1"/>
  <c r="W154" i="24" s="1"/>
  <c r="Y21" i="25"/>
  <c r="Y17" i="25"/>
  <c r="Y8" i="25"/>
  <c r="Y23" i="25"/>
  <c r="Y18" i="25"/>
  <c r="Y13" i="25"/>
  <c r="Y15" i="25"/>
  <c r="Y7" i="25"/>
  <c r="Y14" i="25"/>
  <c r="Y20" i="25"/>
  <c r="Y22" i="25"/>
  <c r="Y19" i="25"/>
  <c r="S15" i="24"/>
  <c r="V156" i="24" l="1"/>
  <c r="W156" i="24" s="1"/>
  <c r="U156" i="24"/>
  <c r="R156" i="24"/>
  <c r="S156" i="24" s="1"/>
  <c r="R157" i="24" a="1"/>
  <c r="R157" i="24" s="1"/>
  <c r="BA24" i="25"/>
  <c r="S44" i="24"/>
  <c r="BB7" i="25"/>
  <c r="BC7" i="25" s="1"/>
  <c r="S17" i="24"/>
  <c r="BB6" i="25"/>
  <c r="BC6" i="25" s="1"/>
  <c r="W6" i="24"/>
  <c r="V157" i="24" a="1"/>
  <c r="V157" i="24" s="1"/>
  <c r="S45" i="24"/>
  <c r="BB9" i="25"/>
  <c r="BC9" i="25" s="1"/>
  <c r="S37" i="24"/>
  <c r="BB17" i="25"/>
  <c r="BC17" i="25" s="1"/>
  <c r="S51" i="24"/>
  <c r="BB11" i="25"/>
  <c r="BC11" i="25" s="1"/>
  <c r="S79" i="24"/>
  <c r="BB23" i="25"/>
  <c r="BC23" i="25" s="1"/>
  <c r="AT24" i="25"/>
  <c r="AV24" i="25"/>
  <c r="AU24" i="25"/>
  <c r="Y24" i="25"/>
  <c r="S157" i="24" l="1" a="1"/>
  <c r="S157" i="24" s="1"/>
  <c r="BB24" i="25"/>
  <c r="BC24" i="25" s="1"/>
  <c r="W157" i="24" a="1"/>
  <c r="W157" i="24" s="1"/>
</calcChain>
</file>

<file path=xl/comments1.xml><?xml version="1.0" encoding="utf-8"?>
<comments xmlns="http://schemas.openxmlformats.org/spreadsheetml/2006/main">
  <authors>
    <author>Peltola Johannes (OKM)</author>
  </authors>
  <commentList>
    <comment ref="E2" authorId="0" shapeId="0">
      <text>
        <r>
          <rPr>
            <b/>
            <sz val="9"/>
            <color indexed="81"/>
            <rFont val="Tahoma"/>
            <family val="2"/>
          </rPr>
          <t>Peltola Johannes (OKM):</t>
        </r>
        <r>
          <rPr>
            <sz val="9"/>
            <color indexed="81"/>
            <rFont val="Tahoma"/>
            <family val="2"/>
          </rPr>
          <t xml:space="preserve">
Huom. tässä vertaillaan vain varsinaisella suoritepäätöksellä jaettavia osuuksia. Perusrahoituksen myöhemmin varainhoitovuoden aikana jaettavan osan puuttuminen laskee tässä perusrahoituksen osuutta koko varainhoitovuoden vastaaviin lukuihin verrattuna. Siis älä vertaa 70/20/10 jakoon vaan ao. summariviin.</t>
        </r>
      </text>
    </comment>
    <comment ref="L2" authorId="0" shapeId="0">
      <text>
        <r>
          <rPr>
            <b/>
            <sz val="9"/>
            <color indexed="81"/>
            <rFont val="Tahoma"/>
            <family val="2"/>
          </rPr>
          <t>Peltola Johannes (OKM):</t>
        </r>
        <r>
          <rPr>
            <sz val="9"/>
            <color indexed="81"/>
            <rFont val="Tahoma"/>
            <family val="2"/>
          </rPr>
          <t xml:space="preserve">
Jälleen vertaillaan vain varsinaisella suoritepäätöksellä jaettavia osuuksia. Koko varainhoitovuoden osalta on hyvä muistaa, että myös myöhemmin vv. aikana jaettava osuus kasvaa vuonna 2020.
Huom. mukana vain järjestäjät, joilla järjestämislupa vuonna 2020 (myös vuoden 2019 summaluvuissa).</t>
        </r>
      </text>
    </comment>
  </commentList>
</comments>
</file>

<file path=xl/comments2.xml><?xml version="1.0" encoding="utf-8"?>
<comments xmlns="http://schemas.openxmlformats.org/spreadsheetml/2006/main">
  <authors>
    <author>Peltola Johannes (OKM)</author>
  </authors>
  <commentList>
    <comment ref="AZ2" authorId="0" shapeId="0">
      <text>
        <r>
          <rPr>
            <b/>
            <sz val="9"/>
            <color indexed="81"/>
            <rFont val="Tahoma"/>
            <family val="2"/>
          </rPr>
          <t>Peltola Johannes (OKM):</t>
        </r>
        <r>
          <rPr>
            <sz val="9"/>
            <color indexed="81"/>
            <rFont val="Tahoma"/>
            <family val="2"/>
          </rPr>
          <t xml:space="preserve">
Huom. mukana vain järjestäjät, joilla järjestämislupa vuonna 2020 (myös vuoden 2019 summaluvuissa).</t>
        </r>
      </text>
    </comment>
  </commentList>
</comments>
</file>

<file path=xl/comments3.xml><?xml version="1.0" encoding="utf-8"?>
<comments xmlns="http://schemas.openxmlformats.org/spreadsheetml/2006/main">
  <authors>
    <author>Peltola Johannes (OKM)</author>
  </authors>
  <commentList>
    <comment ref="BR5" authorId="0" shapeId="0">
      <text>
        <r>
          <rPr>
            <b/>
            <sz val="9"/>
            <color indexed="81"/>
            <rFont val="Tahoma"/>
            <family val="2"/>
          </rPr>
          <t>Peltola Johannes (OKM):</t>
        </r>
        <r>
          <rPr>
            <sz val="9"/>
            <color indexed="81"/>
            <rFont val="Tahoma"/>
            <family val="2"/>
          </rPr>
          <t xml:space="preserve">
2019 tiedot copy-paste arvioinnin pohjaksi
KORJATTU 03072019</t>
        </r>
      </text>
    </comment>
    <comment ref="CS5" authorId="0" shapeId="0">
      <text>
        <r>
          <rPr>
            <b/>
            <sz val="9"/>
            <color indexed="81"/>
            <rFont val="Tahoma"/>
            <family val="2"/>
          </rPr>
          <t>Peltola Johannes (OKM):</t>
        </r>
        <r>
          <rPr>
            <sz val="9"/>
            <color indexed="81"/>
            <rFont val="Tahoma"/>
            <family val="2"/>
          </rPr>
          <t xml:space="preserve">
2019 päätöksen mukaiset tiedot pohjana</t>
        </r>
      </text>
    </comment>
  </commentList>
</comments>
</file>

<file path=xl/comments4.xml><?xml version="1.0" encoding="utf-8"?>
<comments xmlns="http://schemas.openxmlformats.org/spreadsheetml/2006/main">
  <authors>
    <author>Peltola Johannes (OKM)</author>
  </authors>
  <commentList>
    <comment ref="D1" authorId="0" shapeId="0">
      <text>
        <r>
          <rPr>
            <b/>
            <sz val="9"/>
            <color indexed="81"/>
            <rFont val="Tahoma"/>
            <family val="2"/>
          </rPr>
          <t>Peltola Johannes (OKM):</t>
        </r>
        <r>
          <rPr>
            <sz val="9"/>
            <color indexed="81"/>
            <rFont val="Tahoma"/>
            <family val="2"/>
          </rPr>
          <t xml:space="preserve">
Tämä on lopullinen, OPH ei enää ota vastaan muutoksia. Mahdolliset tarpeet oikaisujen kautta.</t>
        </r>
      </text>
    </comment>
  </commentList>
</comments>
</file>

<file path=xl/comments5.xml><?xml version="1.0" encoding="utf-8"?>
<comments xmlns="http://schemas.openxmlformats.org/spreadsheetml/2006/main">
  <authors>
    <author>Peltola Johannes (OKM)</author>
  </authors>
  <commentList>
    <comment ref="H3" authorId="0" shapeId="0">
      <text>
        <r>
          <rPr>
            <b/>
            <sz val="9"/>
            <color indexed="81"/>
            <rFont val="Tahoma"/>
            <family val="2"/>
          </rPr>
          <t>Peltola Johannes (OKM):</t>
        </r>
        <r>
          <rPr>
            <sz val="9"/>
            <color indexed="81"/>
            <rFont val="Tahoma"/>
            <family val="2"/>
          </rPr>
          <t xml:space="preserve">
Valos-raportilla profiilikerroin 5 des tarkkuudella. Se ei kuitenkaan täsmää rahoituksen kanssa. Laskennassa käytetty ja käytettävä tarkkoja lukuja. Kopioin vanhasta suoriteraporttiversiosta tähän tarkat profiilikertoimet.</t>
        </r>
      </text>
    </comment>
  </commentList>
</comments>
</file>

<file path=xl/sharedStrings.xml><?xml version="1.0" encoding="utf-8"?>
<sst xmlns="http://schemas.openxmlformats.org/spreadsheetml/2006/main" count="4506" uniqueCount="907">
  <si>
    <t>Koulutuksen järjestäjä</t>
  </si>
  <si>
    <t>Perustutkintojen määrä</t>
  </si>
  <si>
    <t>Ammatti- ja erikoisammattitutkintojen määrä</t>
  </si>
  <si>
    <t>Perustutkintojen tutkinnon osien määrä</t>
  </si>
  <si>
    <t>Ammatti- ja erikoisammattitutkintojen tutkinnon osien määrä</t>
  </si>
  <si>
    <t>Perustutkintojen kustannusryhmän ja pohjakoulutuksen mukaan painotetut pisteet</t>
  </si>
  <si>
    <t>Ammatti- ja erikoisammattitutkintojen kustannusryhmän ja pohjakoulutuksen mukaan painotetut pisteet</t>
  </si>
  <si>
    <t>Erityisen tuen mukaan painotetut tutkintojen pisteet</t>
  </si>
  <si>
    <t>Perustutkintojen osien kustannusryhmän mukaan painotetut osaamispisteet</t>
  </si>
  <si>
    <t>Ammatti- ja erikoisammattitutkintojen osien kustannusryhmän mukaan painotetut osaamispisteet</t>
  </si>
  <si>
    <t>Erityisen tuen mukaan painotetut tutkinnon osien osaamispisteet</t>
  </si>
  <si>
    <t>Tutkintojen ja tutkinnon osien painotetut pisteet yhteensä</t>
  </si>
  <si>
    <t/>
  </si>
  <si>
    <t>Tutkintojen määrä</t>
  </si>
  <si>
    <t>Työllistyneet</t>
  </si>
  <si>
    <t>Jatko-opiskelijat</t>
  </si>
  <si>
    <t>Työllistyneet ja jatko-opiskelijat yhteensä</t>
  </si>
  <si>
    <t>Työllistyneet painotetut pisteet</t>
  </si>
  <si>
    <t>Jatko-opiskelijat painotetut pisteet</t>
  </si>
  <si>
    <t>Työllistyneet ja jatko-opiskelijat painotetut pisteet</t>
  </si>
  <si>
    <t>Työllistyneet ja jatko-opiskelijat painotetut pisteet, %-osuus järjestäjittäin</t>
  </si>
  <si>
    <t>Yhteensä</t>
  </si>
  <si>
    <t>Aloittaneet</t>
  </si>
  <si>
    <t>Ahlmanin koulun Säätiö sr</t>
  </si>
  <si>
    <t>Aitoon Emäntäkoulu Oy</t>
  </si>
  <si>
    <t>Ami-säätiö sr</t>
  </si>
  <si>
    <t>Ammattienedistämislaitossäätiö AEL sr</t>
  </si>
  <si>
    <t>Ammattiopisto Spesia Oy</t>
  </si>
  <si>
    <t>Ava-Instituutin kannatusyhdistys ry</t>
  </si>
  <si>
    <t>Axxell Utbildning Ab</t>
  </si>
  <si>
    <t>Cimson Koulutuspalvelut Oy</t>
  </si>
  <si>
    <t>Espoon seudun koulutuskuntayhtymä Omnia</t>
  </si>
  <si>
    <t>Etelä-Karjalan Koulutuskuntayhtymä</t>
  </si>
  <si>
    <t>Etelä-Savon Koulutus Oy</t>
  </si>
  <si>
    <t>Eurajoen kristillisen opiston kannatusyhdistys r.y.</t>
  </si>
  <si>
    <t>Folkhälsan Utbildning Ab</t>
  </si>
  <si>
    <t>Haapaveden Opiston kannatusyhdistys ry</t>
  </si>
  <si>
    <t>Harjun Oppimiskeskus Oy</t>
  </si>
  <si>
    <t>Helsingin kaupunki</t>
  </si>
  <si>
    <t>Helsingin Konservatorion Säätiö sr</t>
  </si>
  <si>
    <t>Helsinki Business College Oy</t>
  </si>
  <si>
    <t>Hengitysliitto ry</t>
  </si>
  <si>
    <t>Hevosopisto Oy</t>
  </si>
  <si>
    <t>Hyria koulutus Oy</t>
  </si>
  <si>
    <t>Hämeen ammatti-instituutti Oy</t>
  </si>
  <si>
    <t>Invalidisäätiö sr</t>
  </si>
  <si>
    <t>Itä-Karjalan Kansanopistoseura ry</t>
  </si>
  <si>
    <t>Itä-Savon koulutuskuntayhtymä</t>
  </si>
  <si>
    <t>Itä-Suomen Liikuntaopisto Oy</t>
  </si>
  <si>
    <t>Joensuun kaupunki</t>
  </si>
  <si>
    <t>Jokilaaksojen koulutuskuntayhtymä</t>
  </si>
  <si>
    <t>Jollas-Opisto Oy</t>
  </si>
  <si>
    <t>Jyväskylän Koulutuskuntayhtymä</t>
  </si>
  <si>
    <t>Jyväskylän kristillisen opiston säätiö sr</t>
  </si>
  <si>
    <t>Jyväskylän Talouskouluyhdistys r.y.</t>
  </si>
  <si>
    <t>Järviseudun Koulutuskuntayhtymä</t>
  </si>
  <si>
    <t>Kajaanin kaupunki</t>
  </si>
  <si>
    <t>Kalajoen Kristillisen Opiston kannatusyhdistys ry</t>
  </si>
  <si>
    <t>Kanneljärven Kansanopiston kannatusyhdistys r.y.</t>
  </si>
  <si>
    <t>Kansan Sivistystyön Liitto KSL ry</t>
  </si>
  <si>
    <t>Karstulan Evankelisen Kansanopiston kannatusyhdistys ry</t>
  </si>
  <si>
    <t>Kauppiaitten Kauppaoppilaitos Oy</t>
  </si>
  <si>
    <t>Kaustisen Evankelisen Opiston Kannatusyhdistys ry</t>
  </si>
  <si>
    <t>Kellosepäntaidon Edistämissäätiö sr</t>
  </si>
  <si>
    <t>Kemi-Tornionlaakson koulutuskuntayhtymä Lappia</t>
  </si>
  <si>
    <t>Keski-Pohjanmaan Konservatorion Kannatusyhdistys Ry</t>
  </si>
  <si>
    <t>Keski-Pohjanmaan Koulutusyhtymä</t>
  </si>
  <si>
    <t>Keski-Uudenmaan koulutuskuntayhtymä</t>
  </si>
  <si>
    <t>Kiinteistöalan Koulutussäätiö sr</t>
  </si>
  <si>
    <t>Kiipulasäätiö sr</t>
  </si>
  <si>
    <t>Kirkkopalvelut ry</t>
  </si>
  <si>
    <t>Kisakalliosäätiö sr</t>
  </si>
  <si>
    <t>Kiteen Evankelisen Kansanopiston kannatusyhdistys ry</t>
  </si>
  <si>
    <t>Korpisaaren Säätiö sr</t>
  </si>
  <si>
    <t>Kotkan-Haminan seudun koulutuskuntayhtymä</t>
  </si>
  <si>
    <t>Koulutuskeskus Salpaus -kuntayhtymä</t>
  </si>
  <si>
    <t>Koulutuskuntayhtymä Tavastia</t>
  </si>
  <si>
    <t>Kouvolan Aikuiskoulutussäätiö sr</t>
  </si>
  <si>
    <t>Kouvolan kaupunki</t>
  </si>
  <si>
    <t>KSAK Oy</t>
  </si>
  <si>
    <t>Kuopion Konservatorion kannatusyhdistys r.y.</t>
  </si>
  <si>
    <t>Kuopion Talouskoulun kannatusyhdistys r.y.</t>
  </si>
  <si>
    <t>Kuortaneen Urheiluopistosäätiö sr</t>
  </si>
  <si>
    <t>Laajasalon opiston säätiö sr</t>
  </si>
  <si>
    <t>Lahden kansanopiston säätiö sr</t>
  </si>
  <si>
    <t>Lahden Konservatorio Oy</t>
  </si>
  <si>
    <t>Lounais-Hämeen koulutuskuntayhtymä</t>
  </si>
  <si>
    <t>Lounais-Suomen koulutuskuntayhtymä</t>
  </si>
  <si>
    <t>Luksia, Länsi-Uudenmaan koulutuskuntayhtymä</t>
  </si>
  <si>
    <t>Länsirannikon Koulutus Oy</t>
  </si>
  <si>
    <t>Maalariammattikoulun kannatusyhdistys r.y.</t>
  </si>
  <si>
    <t>Management Institute of Finland MIF Oy</t>
  </si>
  <si>
    <t>Markkinointi-instituutin Kannatusyhdistys ry</t>
  </si>
  <si>
    <t>Marttayhdistysten liitto ry</t>
  </si>
  <si>
    <t>Optima samkommun</t>
  </si>
  <si>
    <t>Oulun kaupunki</t>
  </si>
  <si>
    <t>Oulun seudun koulutuskuntayhtymä (OSEKK)</t>
  </si>
  <si>
    <t>Paasikiviopistoyhdistys r.y.</t>
  </si>
  <si>
    <t>Palkansaajien koulutussäätiö sr</t>
  </si>
  <si>
    <t>Palloilu Säätiö sr</t>
  </si>
  <si>
    <t>Peimarin koulutuskuntayhtymä</t>
  </si>
  <si>
    <t>Perho Liiketalousopisto Oy</t>
  </si>
  <si>
    <t>Peräpohjolan Kansanopiston kannatusyhdistys ry</t>
  </si>
  <si>
    <t>Pohjois-Karjalan Koulutuskuntayhtymä</t>
  </si>
  <si>
    <t>Pohjois-Satakunnan Kansanopiston kannatusyhdistys r.y.</t>
  </si>
  <si>
    <t>Pohjois-Savon Kansanopistoseura r.y.</t>
  </si>
  <si>
    <t>Pohjois-Suomen Koulutuskeskussäätiö sr</t>
  </si>
  <si>
    <t>Pop &amp; Jazz Konservatorion Säätiö sr</t>
  </si>
  <si>
    <t>Portaanpää ry</t>
  </si>
  <si>
    <t>Raahen Koulutuskuntayhtymä</t>
  </si>
  <si>
    <t>Raahen Porvari- ja Kauppakoulurahasto sr</t>
  </si>
  <si>
    <t>Raision Seudun Koulutuskuntayhtymä</t>
  </si>
  <si>
    <t>Rakennusteollisuus RT ry</t>
  </si>
  <si>
    <t>Rastor Oy</t>
  </si>
  <si>
    <t>Raudaskylän Kristillinen Opisto r.y.</t>
  </si>
  <si>
    <t>Rovalan Setlementti ry</t>
  </si>
  <si>
    <t>Rovaniemen Koulutuskuntayhtymä</t>
  </si>
  <si>
    <t>Salon Seudun Koulutuskuntayhtymä</t>
  </si>
  <si>
    <t>SASKY koulutuskuntayhtymä</t>
  </si>
  <si>
    <t>Satakunnan koulutuskuntayhtymä</t>
  </si>
  <si>
    <t>Savon Koulutuskuntayhtymä</t>
  </si>
  <si>
    <t>Seinäjoen koulutuskuntayhtymä</t>
  </si>
  <si>
    <t>Suomen Diakoniaopisto - SDO Oy</t>
  </si>
  <si>
    <t>Suomen kansallisooppera ja -baletti sr</t>
  </si>
  <si>
    <t>Suomen Nuoriso-Opiston kannatusyhdistys ry</t>
  </si>
  <si>
    <t>Suomen Urheiluopiston Kannatusosakeyhtiö</t>
  </si>
  <si>
    <t>Suomen ympäristöopisto SYKLI Oy</t>
  </si>
  <si>
    <t>Suomen yrittäjäopiston kannatus Oy</t>
  </si>
  <si>
    <t>Suupohjan Koulutuskuntayhtymä</t>
  </si>
  <si>
    <t>Svenska Framtidsskolan i Helsingforsregionen Ab</t>
  </si>
  <si>
    <t>Svenska Österbottens förbund för Utbildning och Kultur</t>
  </si>
  <si>
    <t>Tampereen Aikuiskoulutussäätiö sr</t>
  </si>
  <si>
    <t>Tampereen kaupunki</t>
  </si>
  <si>
    <t>Tampereen Musiikkiopiston Säätiö sr</t>
  </si>
  <si>
    <t>Tanhuvaaran Säätiö sr</t>
  </si>
  <si>
    <t>Tohtori Matthias Ingmanin säätiö sr</t>
  </si>
  <si>
    <t>Traffica Oy</t>
  </si>
  <si>
    <t>Turun Aikuiskoulutussäätiö sr</t>
  </si>
  <si>
    <t>Turun Ammattiopistosäätiö sr</t>
  </si>
  <si>
    <t>Turun kaupunki</t>
  </si>
  <si>
    <t>Turun Konservatorion kannatusyhdistys - Garantiföreningen för Åbo Konservatorium r.y.</t>
  </si>
  <si>
    <t>Turun kristillisen opiston säätiö sr</t>
  </si>
  <si>
    <t>Työtehoseura ry</t>
  </si>
  <si>
    <t>Vaasan kaupunki</t>
  </si>
  <si>
    <t>Valkeakosken seudun koulutuskuntayhtymä</t>
  </si>
  <si>
    <t>Valkealan Kristillisen Kansanopiston kannatusyhdistys r.y.</t>
  </si>
  <si>
    <t>Valtakunnallinen valmennus- ja liikuntakeskus Oy</t>
  </si>
  <si>
    <t>Vantaan kaupunki</t>
  </si>
  <si>
    <t>Varalan Säätiö sr</t>
  </si>
  <si>
    <t>Ylä-Savon koulutuskuntayhtymä</t>
  </si>
  <si>
    <t>Äänekosken Ammatillisen Koulutuksen kuntayhtymä</t>
  </si>
  <si>
    <t>Koko tutkinnon suorittaneet</t>
  </si>
  <si>
    <t>Tutkinnon osia suorittaneet</t>
  </si>
  <si>
    <t>Fysikaalinen hoitolaitos Arcus Lumio &amp; Pirttimaa</t>
  </si>
  <si>
    <t>KONE Hissit Oy</t>
  </si>
  <si>
    <t>Suomen Luterilainen Evankeliumiyhdistys ry</t>
  </si>
  <si>
    <t>TYA-oppilaitos Oy</t>
  </si>
  <si>
    <t>Kustannusryhmän mukaan painotetut perustutkinnon opiskelijavuodet</t>
  </si>
  <si>
    <t>Kustannusryhmän mukaan painotetut at- ja eat-tutkinnon opiskelijavuodet</t>
  </si>
  <si>
    <t>Kustannusryhmän mukaan painotetut VALMA&amp;TELMA opiskelijavuodet</t>
  </si>
  <si>
    <t>Kustannusryhmän mukaan painotetut opiskelijavalmiuksia tukevat opiskelijavuodet</t>
  </si>
  <si>
    <t>Kustannusryhmän mukaan painotetut muun koulutuksen opiskelijavuodet</t>
  </si>
  <si>
    <t>Erityistuen mukaan painotetut opiskelijavuodet</t>
  </si>
  <si>
    <t>Majoituksen mukaan painotetut opiskelijavuodet</t>
  </si>
  <si>
    <t>Henkilöstökoulutuksen mukaan painotetut opiskelijavuodet</t>
  </si>
  <si>
    <t>Työvoimakoulutuksen mukaan painotetut opiskelijavuodet</t>
  </si>
  <si>
    <t>Vankilakoulutuksen mukaan painotetut opiskelijavuodet</t>
  </si>
  <si>
    <t>Painotetut opiskelijavuodet yhteensä</t>
  </si>
  <si>
    <t>Profiilikerroin</t>
  </si>
  <si>
    <t>Fria Kristliga Folkhögskolan i Vasa</t>
  </si>
  <si>
    <t>Haus Kehittämiskeskus Oy</t>
  </si>
  <si>
    <t>Konecranes Finland Oy</t>
  </si>
  <si>
    <t>Kvarnen samkommun</t>
  </si>
  <si>
    <t>Meyer Turku Oy</t>
  </si>
  <si>
    <t>Reisjärven Kristillinen Kansanopistoyhdistys ry</t>
  </si>
  <si>
    <t>Samkommunen för Yrkesutbildning i Östra Nyland</t>
  </si>
  <si>
    <t>Tampereen Urheiluhierojakoulu Oy</t>
  </si>
  <si>
    <t>Toyota Auto Finland Oy</t>
  </si>
  <si>
    <t>TUL:n Kisakeskussäätiö sr</t>
  </si>
  <si>
    <t>ABB Oy</t>
  </si>
  <si>
    <t>Cargotec Finland Oy</t>
  </si>
  <si>
    <t>Finnair Oyj</t>
  </si>
  <si>
    <t>Nanso Group Oy</t>
  </si>
  <si>
    <t>Rautaruukki Oyj</t>
  </si>
  <si>
    <t>Suomen Ilmailuopisto Oy</t>
  </si>
  <si>
    <t>UPM-Kymmene Oyj</t>
  </si>
  <si>
    <t>Valmet Automotive Oy</t>
  </si>
  <si>
    <t>Vuolle Setlementti ry</t>
  </si>
  <si>
    <t>Wärtsilä Finland Oy</t>
  </si>
  <si>
    <t>Air Navigation Services Finland Oy</t>
  </si>
  <si>
    <t>Lieksan Kristillisen Opiston kannatusyhdistys ry</t>
  </si>
  <si>
    <t>Suoritusrahoituksen tutkinnon osien osaamispisteiden ja koko tutkintojen osuus laskennallisesta rahoituksesta vuonna 2020 on 20 %</t>
  </si>
  <si>
    <t>Nokia Oyj</t>
  </si>
  <si>
    <t>Työväen Sivistysliitto TSL ry</t>
  </si>
  <si>
    <t>Järjestämis-luvan opiskelija-vuosien vähimmäis-määrä</t>
  </si>
  <si>
    <t>Suorite-päätöksellä 2019 jaetut opiskelija-vuodet 
(luvan ylittävä osuus)</t>
  </si>
  <si>
    <t>1 Tavoitteellinen opiskelijavuosimäärä 2019</t>
  </si>
  <si>
    <t>2
-josta työvoimakoulutus</t>
  </si>
  <si>
    <t>3
Profiilikerroin</t>
  </si>
  <si>
    <t>4 
Painotetut tavoitteelliset opiskelija-vuodet</t>
  </si>
  <si>
    <t>5 
Kiky-vähennys €</t>
  </si>
  <si>
    <t>6 
Harkinnan-varainen korotus €</t>
  </si>
  <si>
    <t>7 
Perusrahoitus yhteensä €</t>
  </si>
  <si>
    <t>8 
Tutkintojen määrä</t>
  </si>
  <si>
    <t>10 Suoritusrahoitus yhteensä €</t>
  </si>
  <si>
    <t>11 
Rahoitus yhteensä (pl. alv) €</t>
  </si>
  <si>
    <t>12 
Arvonlisävero-korvaus €</t>
  </si>
  <si>
    <t>Ava-instituutin kannatusyhdistys ry</t>
  </si>
  <si>
    <t>Careeria Oy</t>
  </si>
  <si>
    <t>HAUS Kehittämiskeskus Oy</t>
  </si>
  <si>
    <t>Kalajoen Kristillisen Opiston Kannatusyhdistys ry</t>
  </si>
  <si>
    <t>Kymenlaakson Opiston Kannatusyhdistys ry</t>
  </si>
  <si>
    <t xml:space="preserve">Sanoma Oyj </t>
  </si>
  <si>
    <t>Suoritusrahoitus</t>
  </si>
  <si>
    <t>€</t>
  </si>
  <si>
    <t>Ammatillisen koulutuksen rahoitus ml. alv</t>
  </si>
  <si>
    <t>Alv</t>
  </si>
  <si>
    <t>Strategiarahoitus</t>
  </si>
  <si>
    <t>Harkinnanvarainen perusrahoitus</t>
  </si>
  <si>
    <t>Laskennallinen rahoitus + alv</t>
  </si>
  <si>
    <t xml:space="preserve">Työllistyneet ja jatko-opiskelijat </t>
  </si>
  <si>
    <t>%-osuus 1</t>
  </si>
  <si>
    <t>Painotetut pisteet 2</t>
  </si>
  <si>
    <t>%-osuus 2</t>
  </si>
  <si>
    <t>Painotetut pisteet 3</t>
  </si>
  <si>
    <t>%-osuus 3</t>
  </si>
  <si>
    <t>1 Opiskelijavuodet</t>
  </si>
  <si>
    <t>2 Tutkinnot ja tutkinnon osat</t>
  </si>
  <si>
    <t xml:space="preserve">3 Työllistyneet ja jatko-opiskelijat </t>
  </si>
  <si>
    <t>4 Aloittaneet opiskelijapalaute</t>
  </si>
  <si>
    <t>Painotetut pisteet 4</t>
  </si>
  <si>
    <t>%-osuus 4</t>
  </si>
  <si>
    <t>%-osuus 6</t>
  </si>
  <si>
    <t>Painotetut opiskelija-vuodet</t>
  </si>
  <si>
    <t>Tavoitteelliset opiske-lijavuodet</t>
  </si>
  <si>
    <t>Profiili-kerroin</t>
  </si>
  <si>
    <t>%-osuus 5</t>
  </si>
  <si>
    <t>Painotetut pisteet 5</t>
  </si>
  <si>
    <t>Uusimaa</t>
  </si>
  <si>
    <t>2918298-7</t>
  </si>
  <si>
    <t>Keski-Suomi</t>
  </si>
  <si>
    <t>0208589-6</t>
  </si>
  <si>
    <t>Pohjois-Savo</t>
  </si>
  <si>
    <t>0214765-5</t>
  </si>
  <si>
    <t>Pohjanmaa</t>
  </si>
  <si>
    <t>0773744-3</t>
  </si>
  <si>
    <t>Pohjois-Pohjanmaa</t>
  </si>
  <si>
    <t>0195032-3</t>
  </si>
  <si>
    <t>Kainuu</t>
  </si>
  <si>
    <t>Pirkanmaa</t>
  </si>
  <si>
    <t>0155689-5</t>
  </si>
  <si>
    <t>0124610-9</t>
  </si>
  <si>
    <t>Päijät-Häme</t>
  </si>
  <si>
    <t>1053500-9</t>
  </si>
  <si>
    <t>Varsinais-Suomi</t>
  </si>
  <si>
    <t>0143991-2</t>
  </si>
  <si>
    <t>Kymenlaakso</t>
  </si>
  <si>
    <t>0163408-0</t>
  </si>
  <si>
    <t>0206289-7</t>
  </si>
  <si>
    <t>0209602-6</t>
  </si>
  <si>
    <t>1041090-0</t>
  </si>
  <si>
    <t>0215382-8</t>
  </si>
  <si>
    <t>0202496-2</t>
  </si>
  <si>
    <t>0915313-4</t>
  </si>
  <si>
    <t>0204819-8</t>
  </si>
  <si>
    <t>0276652-8</t>
  </si>
  <si>
    <t>0142247-5</t>
  </si>
  <si>
    <t>0858476-8</t>
  </si>
  <si>
    <t>0172730-8</t>
  </si>
  <si>
    <t>1577184-4</t>
  </si>
  <si>
    <t>1019670-5</t>
  </si>
  <si>
    <t>Etelä-Pohjanmaa</t>
  </si>
  <si>
    <t>Etelä-Savo</t>
  </si>
  <si>
    <t>0166930-4</t>
  </si>
  <si>
    <t>1099221-8</t>
  </si>
  <si>
    <t>0206148-0</t>
  </si>
  <si>
    <t>0211675-2</t>
  </si>
  <si>
    <t>0155651-0</t>
  </si>
  <si>
    <t>0988182-8</t>
  </si>
  <si>
    <t>1648362-5</t>
  </si>
  <si>
    <t>0973712-1</t>
  </si>
  <si>
    <t>0208850-1</t>
  </si>
  <si>
    <t>0681365-1</t>
  </si>
  <si>
    <t>0202512-1</t>
  </si>
  <si>
    <t>0207230-7</t>
  </si>
  <si>
    <t>0242525-6</t>
  </si>
  <si>
    <t>0116936-9</t>
  </si>
  <si>
    <t>Satakunta</t>
  </si>
  <si>
    <t>1728925-0</t>
  </si>
  <si>
    <t>2756786-7</t>
  </si>
  <si>
    <t>1007629-5</t>
  </si>
  <si>
    <t>1852679-9</t>
  </si>
  <si>
    <t>0203929-1</t>
  </si>
  <si>
    <t>0204964-1</t>
  </si>
  <si>
    <t>1524361-1</t>
  </si>
  <si>
    <t>0139545-4</t>
  </si>
  <si>
    <t>Lappi</t>
  </si>
  <si>
    <t>0973110-9</t>
  </si>
  <si>
    <t>0210668-5</t>
  </si>
  <si>
    <t>0210311-8</t>
  </si>
  <si>
    <t>0113276-9</t>
  </si>
  <si>
    <t>0195258-0</t>
  </si>
  <si>
    <t>0215303-5</t>
  </si>
  <si>
    <t>0204427-7</t>
  </si>
  <si>
    <t>0189373-6</t>
  </si>
  <si>
    <t>0210287-9</t>
  </si>
  <si>
    <t>0828475-7</t>
  </si>
  <si>
    <t>0214822-8</t>
  </si>
  <si>
    <t>0280690-5</t>
  </si>
  <si>
    <t>0207972-8</t>
  </si>
  <si>
    <t>0908429-8</t>
  </si>
  <si>
    <t>0193507-8</t>
  </si>
  <si>
    <t>2734201-9</t>
  </si>
  <si>
    <t>0823246-3</t>
  </si>
  <si>
    <t>0153158-3</t>
  </si>
  <si>
    <t>0882817-9</t>
  </si>
  <si>
    <t>0365121-2</t>
  </si>
  <si>
    <t>Pohjois-Karjala</t>
  </si>
  <si>
    <t>0212371-7</t>
  </si>
  <si>
    <t>0992445-3</t>
  </si>
  <si>
    <t>0187690-1</t>
  </si>
  <si>
    <t>0796234-1</t>
  </si>
  <si>
    <t>0201789-3</t>
  </si>
  <si>
    <t>0112038-9</t>
  </si>
  <si>
    <t>0151534-8</t>
  </si>
  <si>
    <t>2460281-5</t>
  </si>
  <si>
    <t>0772017-4</t>
  </si>
  <si>
    <t>0187711-1</t>
  </si>
  <si>
    <t>0201689-0</t>
  </si>
  <si>
    <t>0222804-1</t>
  </si>
  <si>
    <t>0871305-6</t>
  </si>
  <si>
    <t>2245018-4</t>
  </si>
  <si>
    <t>0203167-9</t>
  </si>
  <si>
    <t>0204023-3</t>
  </si>
  <si>
    <t>Kanta-Häme</t>
  </si>
  <si>
    <t>0626288-8</t>
  </si>
  <si>
    <t>0169327-5</t>
  </si>
  <si>
    <t>0149057-4</t>
  </si>
  <si>
    <t>0149666-9</t>
  </si>
  <si>
    <t>0206976-5</t>
  </si>
  <si>
    <t>0209021-4</t>
  </si>
  <si>
    <t>0213834-5</t>
  </si>
  <si>
    <t>0180124-8</t>
  </si>
  <si>
    <t>0207872-5</t>
  </si>
  <si>
    <t>0207862-9</t>
  </si>
  <si>
    <t>0832600-5</t>
  </si>
  <si>
    <t>Keski-Pohjanmaa</t>
  </si>
  <si>
    <t>0208916-8</t>
  </si>
  <si>
    <t>1943518-6</t>
  </si>
  <si>
    <t>0161075-9</t>
  </si>
  <si>
    <t>0161067-9</t>
  </si>
  <si>
    <t>0205303-4</t>
  </si>
  <si>
    <t>0993644-6</t>
  </si>
  <si>
    <t>1958694-5</t>
  </si>
  <si>
    <t>0536496-2</t>
  </si>
  <si>
    <t>0950895-1</t>
  </si>
  <si>
    <t>1904292-1</t>
  </si>
  <si>
    <t>0207572-7</t>
  </si>
  <si>
    <t>0128756-8</t>
  </si>
  <si>
    <t>0215281-7</t>
  </si>
  <si>
    <t>0147520-0</t>
  </si>
  <si>
    <t>0774302-6</t>
  </si>
  <si>
    <t>2109309-0</t>
  </si>
  <si>
    <t>0101304-9</t>
  </si>
  <si>
    <t>0178980-8</t>
  </si>
  <si>
    <t>0503417-0</t>
  </si>
  <si>
    <t>0208362-0</t>
  </si>
  <si>
    <t>0213502-1</t>
  </si>
  <si>
    <t>0213977-8</t>
  </si>
  <si>
    <t>0209892-9</t>
  </si>
  <si>
    <t>0214958-9</t>
  </si>
  <si>
    <t>1807931-9</t>
  </si>
  <si>
    <t>0208201-1</t>
  </si>
  <si>
    <t>1637771-8</t>
  </si>
  <si>
    <t>0210010-1</t>
  </si>
  <si>
    <t>0242746-2</t>
  </si>
  <si>
    <t>0942165-3</t>
  </si>
  <si>
    <t>1605076-6</t>
  </si>
  <si>
    <t>0167924-6</t>
  </si>
  <si>
    <t>0207390-8</t>
  </si>
  <si>
    <t>0207329-7</t>
  </si>
  <si>
    <t>0201375-3</t>
  </si>
  <si>
    <t>2627679-3</t>
  </si>
  <si>
    <t>2250205-2</t>
  </si>
  <si>
    <t>0200004-7</t>
  </si>
  <si>
    <t>0201252-3</t>
  </si>
  <si>
    <t>0934732-6</t>
  </si>
  <si>
    <t>0201472-1</t>
  </si>
  <si>
    <t>2162576-3</t>
  </si>
  <si>
    <t>0201256-6</t>
  </si>
  <si>
    <t>1778388-1</t>
  </si>
  <si>
    <t>1055483-2</t>
  </si>
  <si>
    <t>0209770-7</t>
  </si>
  <si>
    <t>0734567-7</t>
  </si>
  <si>
    <t>0209492-8</t>
  </si>
  <si>
    <t>2334857-9</t>
  </si>
  <si>
    <t>0108023-3</t>
  </si>
  <si>
    <t>0203717-3</t>
  </si>
  <si>
    <t>2249317-6</t>
  </si>
  <si>
    <t>Etelä-Karjala</t>
  </si>
  <si>
    <t>1027740-9</t>
  </si>
  <si>
    <t>0502454-6</t>
  </si>
  <si>
    <t>2189108-4</t>
  </si>
  <si>
    <t>0986820-1</t>
  </si>
  <si>
    <t>2064886-7</t>
  </si>
  <si>
    <t>0211060-9</t>
  </si>
  <si>
    <t>2767840-1</t>
  </si>
  <si>
    <t>2811092-2</t>
  </si>
  <si>
    <t>0150951-1</t>
  </si>
  <si>
    <t>0155402-1</t>
  </si>
  <si>
    <t>0763403-0</t>
  </si>
  <si>
    <t>Nimi</t>
  </si>
  <si>
    <t>Y-tunnus</t>
  </si>
  <si>
    <t>KOULUTUKSEN JÄRJESTÄJÄ</t>
  </si>
  <si>
    <t>Päätös 5, €</t>
  </si>
  <si>
    <t>Hakemus 5, €</t>
  </si>
  <si>
    <t>Päätös 4, €</t>
  </si>
  <si>
    <t>Hakemus 4, €</t>
  </si>
  <si>
    <t>Päätös 3, €</t>
  </si>
  <si>
    <t>Hakemus 3, €</t>
  </si>
  <si>
    <t>Päätös 2, €</t>
  </si>
  <si>
    <t>Hakemus 2, €</t>
  </si>
  <si>
    <t>kuntayhtymä</t>
  </si>
  <si>
    <t>yksityinen</t>
  </si>
  <si>
    <t>kunta</t>
  </si>
  <si>
    <t>Vaikuttavuusrahoitus</t>
  </si>
  <si>
    <t>5 Päättäneet  opiskelijapalaute</t>
  </si>
  <si>
    <t>Opiskelijapalaute</t>
  </si>
  <si>
    <t>Päättäneet</t>
  </si>
  <si>
    <t>Omistajatyyppi</t>
  </si>
  <si>
    <t>Maakunta</t>
  </si>
  <si>
    <t>Hakemus 1, €</t>
  </si>
  <si>
    <t>Päätös 1, €</t>
  </si>
  <si>
    <t>Suoritus-rahoitus</t>
  </si>
  <si>
    <t>Vaikuttavuus-rahoitus yhteensä</t>
  </si>
  <si>
    <t>-josta työllistyneet ja jatko-opiskelijat</t>
  </si>
  <si>
    <t>-josta aloittaneet opiskelija-palaute</t>
  </si>
  <si>
    <t>-josta päättäneet opiskelija-palaute</t>
  </si>
  <si>
    <t>Ammatillisen koulutuksen rahoitus pl. alv</t>
  </si>
  <si>
    <t>Laskennallinen rahoitus pl. alv</t>
  </si>
  <si>
    <t>Perusrahoitus yht.</t>
  </si>
  <si>
    <t>Perus-rahoituksesta</t>
  </si>
  <si>
    <t>Vaikuttavuus-rahoituksesta</t>
  </si>
  <si>
    <t>Opiskelija-palaute-osuudesta</t>
  </si>
  <si>
    <t>Laskennalli-sesta</t>
  </si>
  <si>
    <t>Kaikesta 
(pl. alv)</t>
  </si>
  <si>
    <t>Summa</t>
  </si>
  <si>
    <t>Suoriteperusteinen perusrahoitus yht. (jakovara- ja oikaisuvähennyksen jälkeen)</t>
  </si>
  <si>
    <t>Työelämäpalaute (osana vaikuttavuusrahoitusta vuodesta 2022 alkaen)</t>
  </si>
  <si>
    <t>Kunta</t>
  </si>
  <si>
    <t>Yksityinen</t>
  </si>
  <si>
    <t>Järjestäjien kokonais-määrä</t>
  </si>
  <si>
    <t>Kunta-yhtymä</t>
  </si>
  <si>
    <t>Painottamattomat opiskelijavuodet yhteensä</t>
  </si>
  <si>
    <t>Painottamattomat opiskelijavuodet (pl. muu koulutus)</t>
  </si>
  <si>
    <t>Muun koulutuksen painottamattomat opiskelijavuodet</t>
  </si>
  <si>
    <t>Huom. osa järjestäjistä toimii usealla maakunnalla, joten jaottelu on vain suuntaa antava</t>
  </si>
  <si>
    <t>Vaikuttavuusrahoituksen opiskelun päättäneiden palautteen osuus laskennallisesta rahoituksesta vuonna 2020 on  1,875 % (= 2,5 x 0,75)</t>
  </si>
  <si>
    <t>Vaikuttavuusrahoituksen opiskelun aloittaneiden palautteen osuus laskennallisesta rahoituksesta vuonna 2020 on 0,625 % (= 2,5 x 0,25)</t>
  </si>
  <si>
    <t>Vaikuttavuusrahoituksen työllistyneet ja jatko-opiskelijat osuus laskennallisesta rahoituksesta vuonna 2020 on 7,5 %</t>
  </si>
  <si>
    <t>Perusrahoituksen osuus laskennallisesta rahoituksesta vuonna 2020 on 70 %, rahoitus perustuu profiikertoimella painotettujen tavoitteellisten opiskelijavuosien sekä pienin osin harkinnanvaraisen korotuksen määrään</t>
  </si>
  <si>
    <t>Tutkintojen painotetut pisteet yhteensä</t>
  </si>
  <si>
    <t>Tutkinnon osien painotetut osaamispisteet yhteensä</t>
  </si>
  <si>
    <t>Suoriteperusteinen perusrahoitus yht. (ennen varainhoitovuoden jakovara- ja oikaisuvähennystä)</t>
  </si>
  <si>
    <t>Varainhoitovuoden jakovara ja oikaisuvähennys (-)</t>
  </si>
  <si>
    <t>Kotipaikkakunnan maakunta</t>
  </si>
  <si>
    <t>Perusrahoitus yhteensä</t>
  </si>
  <si>
    <t>Suoritusrahoitus yhteensä</t>
  </si>
  <si>
    <t>Vaikuttavuusrahoitus yhteensä</t>
  </si>
  <si>
    <t>Suoritusrahoitus, €</t>
  </si>
  <si>
    <t>Työllistymiseen ja jatko-opintoihin siirtymiseen perustuva sekä opiskelija-palautteisiin perustuva, €</t>
  </si>
  <si>
    <t>Hakemus 6, €</t>
  </si>
  <si>
    <t>Päätös 6, €</t>
  </si>
  <si>
    <t>Hakemus 7, €</t>
  </si>
  <si>
    <t>Päätös 7, €</t>
  </si>
  <si>
    <t>Perus-, suoritus- ja vaikuttavuusrahoitus yhteensä, €</t>
  </si>
  <si>
    <t>Järjestämisluvan opiskelijavuosien lisäksi suoritepäätöksellä jaettavat tavoitteelliset opiskelijavuodet</t>
  </si>
  <si>
    <t>Suoritepäätöksellä jaettavien tavoitteellisten opiskelijavuosien kohdentuminen vuosina 2018 ja 2019</t>
  </si>
  <si>
    <t>Kotipaikan maakunnan koodi</t>
  </si>
  <si>
    <t>Toiminta-alueen pääasiallinen maakuntakoodi</t>
  </si>
  <si>
    <t>Toiminta-alueen pääasiallinen maakunta</t>
  </si>
  <si>
    <t>Omistajatyypin koodi</t>
  </si>
  <si>
    <t>Ei määritetä/valtakunnallinen</t>
  </si>
  <si>
    <t>0188756-3</t>
  </si>
  <si>
    <t>Kainuun Opisto Oy</t>
  </si>
  <si>
    <t>0244767-4</t>
  </si>
  <si>
    <t>Alv-korvaus, €</t>
  </si>
  <si>
    <t>Koko rahoitus + 
alv-korvaus, €</t>
  </si>
  <si>
    <t>Opintotoiminnan Keskusliitto ry, Centralförbundet för Studieverksamhet rf</t>
  </si>
  <si>
    <t>2) Vuoden 2018 toteutuneet opiskelijavuodet</t>
  </si>
  <si>
    <t>Toteutuneet opiskelijavuodet yhteensä 2</t>
  </si>
  <si>
    <t>Erotus yhteensä 3</t>
  </si>
  <si>
    <t>Toteumaennuste loppuvuodelle</t>
  </si>
  <si>
    <t>Toteumaennuste koko vuodelle</t>
  </si>
  <si>
    <t>toistaiseksi näin, kohdennusperusteet tarkentuvat myöhemmin</t>
  </si>
  <si>
    <t>3) Vuoden 2018 toteuman ja tavoitteellisten opiskelijavuosien välinen erotus</t>
  </si>
  <si>
    <t>Järjestämisluvan mukaiset 1</t>
  </si>
  <si>
    <t>Järjestämisluvan mukaiset 4</t>
  </si>
  <si>
    <t>Yhteensä 4</t>
  </si>
  <si>
    <t>7) Vuoden 2019 toteutuneet opiskelijavuodet</t>
  </si>
  <si>
    <t>8) Vuoden 2019 toteuman ja tavoitteellisten opiskelijavuosien välinen erotus</t>
  </si>
  <si>
    <t>10) Vuoden 2020 koulutuksen järjestäjien esitysten ja vuoden 2019 suoritepäätöksen välinen erotus</t>
  </si>
  <si>
    <t>11) Vuoden 2020 koulutuksen järjestäjien esitysten ja vuoden 2019 toteuman välinen erotus</t>
  </si>
  <si>
    <t>13) Vuoden 2020 OKM:n suoritepäätösesityksen ja vuoden 2019 suoritepäätöksen välinen erotus</t>
  </si>
  <si>
    <t>14) Vuoden 2020 OKM:n esityksen ja vuoden 2019 suoritepäätöksen välinen erotus, %</t>
  </si>
  <si>
    <t>15) Vuoden 2020 OKM:n suoritepäätösesityksen ja koulutuksen järjestäjien esitysten välinen erotus</t>
  </si>
  <si>
    <t>16) Vuoden 2020 OKM:n suoritepäätösesityksen ja koulutuksen järjestäjien esitysten välinen erotus, %</t>
  </si>
  <si>
    <t>rakenne tarkentuu samalla kun esitykset</t>
  </si>
  <si>
    <t>täydentyy autom. kohdan 13) perusteella</t>
  </si>
  <si>
    <t>täytä tämä, pohjana viime vuoden tiedot</t>
  </si>
  <si>
    <t>tulee syksyllä, pohjana viime vuoden tiedot</t>
  </si>
  <si>
    <t>9) Vuodelle 2020 koulutuksen järjestäjien esitykset</t>
  </si>
  <si>
    <t>4) Vuodelle 2019 suoritepäätöksellä jaetut tavoitteelliset opiskelijavuodet</t>
  </si>
  <si>
    <t>5) Vuosien 2019 ja 2018 suoritepäätösten välinen erotus</t>
  </si>
  <si>
    <t>6) Vuosien 2019 ja 2018 suoritepäätösten välinen erotus, %</t>
  </si>
  <si>
    <t>12) Vuodelle 2020 OKM:n suoritepäätösesitys</t>
  </si>
  <si>
    <t>Nuorisotyöt. väh. ja osaamistarp. vast., muu kuin työvoima-koulutus 4</t>
  </si>
  <si>
    <t>Nuorisotyöt. väh. ja osaamistarp. vast., muu kuin työvoima-koulutus 1</t>
  </si>
  <si>
    <t>Nuorisotyöt. väh. ja osaamistarp. vast., työvoima-koulutus 1</t>
  </si>
  <si>
    <t>Kohdentamat-tomat 1</t>
  </si>
  <si>
    <t>Kohdentamat-tomat 2</t>
  </si>
  <si>
    <t>Maahan-muuttajien koulutus 2</t>
  </si>
  <si>
    <t>Maahan-muuttajien koulutus 1</t>
  </si>
  <si>
    <t>Työvoima-koulutus 1</t>
  </si>
  <si>
    <t>Kohdentamat-tomat 3</t>
  </si>
  <si>
    <t>Työvoima-koulutus 3</t>
  </si>
  <si>
    <t>Maahan-muuttajien koulutus 3</t>
  </si>
  <si>
    <t>Järjestämisluvan mukaiset 12</t>
  </si>
  <si>
    <t>Kohdentamat-tomat 13</t>
  </si>
  <si>
    <t>Työvoima-koulutus 14</t>
  </si>
  <si>
    <t>Maahan-muuttajien koulutus 15</t>
  </si>
  <si>
    <t>Nuorisotyöt. väh. ja osaamistarp. vast., muu kuin työvoima-koulutus 16</t>
  </si>
  <si>
    <t>Kohdentamat-tomat 4</t>
  </si>
  <si>
    <t>Työvoima-koulutus 4</t>
  </si>
  <si>
    <t>Maahan-muuttajien koulutus 4</t>
  </si>
  <si>
    <t>Nuorisotyöt. väh. ja osaamistarp. vast., työvoima-koulutus 4</t>
  </si>
  <si>
    <t>Järjestämisluvan mukaiset 5</t>
  </si>
  <si>
    <t>Kohdentamat-tomat 5</t>
  </si>
  <si>
    <t>Työvoima-koulutus 5</t>
  </si>
  <si>
    <t>Maahan-muuttajien koulutus 5</t>
  </si>
  <si>
    <t>Nuorisotyöt. väh. ja osaamistarp. vast., muu kuin työvoima-koulutus 5</t>
  </si>
  <si>
    <t>Nuorisotyöt. väh. ja osaamistarp. vast., työvoima-koulutus 5</t>
  </si>
  <si>
    <t>Yhteensä 5</t>
  </si>
  <si>
    <t>Järjestämisluvan mukaiset 6</t>
  </si>
  <si>
    <t>Kohdentamat-tomat 6</t>
  </si>
  <si>
    <t>Työvoima-koulutus 6</t>
  </si>
  <si>
    <t>Maahan-muuttajien koulutus 6</t>
  </si>
  <si>
    <t>Nuorisotyöt. väh. ja osaamistarp. vast., muu kuin työvoima-koulutus 6</t>
  </si>
  <si>
    <t>Nuorisotyöt. väh. ja osaamistarp. vast., työvoima-koulutus 6</t>
  </si>
  <si>
    <t>Yhteensä 6</t>
  </si>
  <si>
    <t>Muu kuin työvoima-koulutus 7a</t>
  </si>
  <si>
    <t>Työvoima-koulutus 7a</t>
  </si>
  <si>
    <t>Yhteensä 7a</t>
  </si>
  <si>
    <t>Yhteensä 7b</t>
  </si>
  <si>
    <t>Yhteensä 7c</t>
  </si>
  <si>
    <t>Muu kuin työvoima-koulutus 7b</t>
  </si>
  <si>
    <t>Työvoima-koulutus 7b</t>
  </si>
  <si>
    <t>Työvoima-koulutus 7c</t>
  </si>
  <si>
    <t>Muu kuin työvoima-koulutus 7c</t>
  </si>
  <si>
    <t>Muu kuin työvoima-koulutus3 8</t>
  </si>
  <si>
    <t>Työvoima-koulutus 8</t>
  </si>
  <si>
    <t>Erotus yhteensä 8</t>
  </si>
  <si>
    <t>Järjestämisluvan mukaiset 13</t>
  </si>
  <si>
    <t>Kohdentamat-tomat 14</t>
  </si>
  <si>
    <t>Työvoima-koulutus 15</t>
  </si>
  <si>
    <t>Maahan-muuttajien koulutus 16</t>
  </si>
  <si>
    <t>Järjestämisluvan mukaiset 14</t>
  </si>
  <si>
    <t>Kohdentamat-tomat 15</t>
  </si>
  <si>
    <t>Työvoima-koulutus 16</t>
  </si>
  <si>
    <t>Järjestämisluvan mukaiset 15</t>
  </si>
  <si>
    <t>Kohdentamat-tomat 16</t>
  </si>
  <si>
    <t>Järjestämisluvan mukaiset 16</t>
  </si>
  <si>
    <t>Järjestämisluvan mukaiset 9</t>
  </si>
  <si>
    <t>Kohdentamat-tomat 9</t>
  </si>
  <si>
    <t>Työvoima-koulutus 9</t>
  </si>
  <si>
    <t>Maahan-muuttajien koulutus 9</t>
  </si>
  <si>
    <t>Nuorisotyöt. väh. ja osaamistarp. vast., muu kuin työvoima-koulutus 9</t>
  </si>
  <si>
    <t>Nuorisotyöt. väh. ja osaamistarp. vast., työvoima-koulutus 9</t>
  </si>
  <si>
    <t>Yhteensä 9</t>
  </si>
  <si>
    <t>Tavoitteelliset opiskelijavuodet yhteensä 9</t>
  </si>
  <si>
    <t>Järjestämisluvan mukaiset 10</t>
  </si>
  <si>
    <t>Kohdentamat-tomat 10</t>
  </si>
  <si>
    <t>Työvoima-koulutus 10</t>
  </si>
  <si>
    <t>Maahan-muuttajien koulutus 10</t>
  </si>
  <si>
    <t>Nuorisotyöt. väh. ja osaamistarp. vast., muu kuin työvoima-koulutus 10</t>
  </si>
  <si>
    <t>Nuorisotyöt. väh. ja osaamistarp. vast., työvoima-koulutus 10</t>
  </si>
  <si>
    <t>Yhteensä 10</t>
  </si>
  <si>
    <t>Tavoitteelliset opiskelijavuodet yhteensä 10</t>
  </si>
  <si>
    <t>Yhteensä 11</t>
  </si>
  <si>
    <t>Muu kuin työvoima-koulutus 11</t>
  </si>
  <si>
    <t>Työvoima-koulutus 11</t>
  </si>
  <si>
    <t>Kohdentamat-tomat 12</t>
  </si>
  <si>
    <t>Työvoima-koulutus 12</t>
  </si>
  <si>
    <t>Maahan-muuttajien koulutus 12</t>
  </si>
  <si>
    <t>Nuorisotyöt. väh. ja osaamistarp. vast., muu kuin työvoima-koulutus 12</t>
  </si>
  <si>
    <t>Nuorisotyöt. väh. ja osaamistarp. vast., työvoima-koulutus 12</t>
  </si>
  <si>
    <t>Yhteensä 12</t>
  </si>
  <si>
    <t>Tavoitteelliset opiskelijavuodet yhteensä 12</t>
  </si>
  <si>
    <t>Työvoima-koulutus 13</t>
  </si>
  <si>
    <t>Maahan-muuttajien koulutus 13</t>
  </si>
  <si>
    <t>Nuorisotyöt. väh. ja osaamistarp. vast., muu kuin työvoima-koulutus 13</t>
  </si>
  <si>
    <t>Nuorisotyöt. väh. ja osaamistarp. vast., työvoima-koulutus 13</t>
  </si>
  <si>
    <t>Yhteensä 13</t>
  </si>
  <si>
    <t>Tavoitteelliset opiskelijavuodet yhteensä 13</t>
  </si>
  <si>
    <t>Maahan-muuttajien koulutus 14</t>
  </si>
  <si>
    <t>Nuorisotyöt. väh. ja osaamistarp. vast., muu kuin työvoima-koulutus 14</t>
  </si>
  <si>
    <t>Nuorisotyöt. väh. ja osaamistarp. vast., työvoima-koulutus 14</t>
  </si>
  <si>
    <t>Yhteensä 14</t>
  </si>
  <si>
    <t>Tavoitteelliset opiskelijavuodet yhteensä 14</t>
  </si>
  <si>
    <t>Nuorisotyöt. väh. ja osaamistarp. vast., muu kuin työvoima-koulutus 15</t>
  </si>
  <si>
    <t>Nuorisotyöt. väh. ja osaamistarp. vast., työvoima-koulutus 15</t>
  </si>
  <si>
    <t>Yhteensä 15</t>
  </si>
  <si>
    <t>Tavoitteelliset opiskelijavuodet yhteensä 15</t>
  </si>
  <si>
    <t>Nuorisotyöt. väh. ja osaamistarp. vast., työvoima-koulutus 16</t>
  </si>
  <si>
    <t>Yhteensä 16</t>
  </si>
  <si>
    <t>Tavoitteelliset opiskelijavuodet yhteensä 16</t>
  </si>
  <si>
    <t>1) Vuodelle 2018 suoritepäätöksellä ja lisäsuoritepäätöksillä jaetut tavoitteelliset opiskelijavuodet</t>
  </si>
  <si>
    <t>Lisäsuoritepäätöksillä jaetut tavoitteelliset opiskelijavuodet</t>
  </si>
  <si>
    <t>Toteumaennuste vuonna 2019 toteutuneista vuoden 2018 lisätalousarvioiden perusteella jaetuista tavoitteellisista opiskelijavuosista</t>
  </si>
  <si>
    <t>Yhteensä  1</t>
  </si>
  <si>
    <t>Ensikertaisella suoritepäätöksellä jaetut tavoitteelliset opiskelijavuodet yhteensä 1</t>
  </si>
  <si>
    <t>Talousarvion perusteella kohdentamattomat</t>
  </si>
  <si>
    <t>Lisätalousarvioiden perusteella</t>
  </si>
  <si>
    <t>Lisäsuoritepäätöksillä jaetut tavoitteelliset opiskelijavuoden yhteensä</t>
  </si>
  <si>
    <t>Vuoden 2018 tavoitteelliset opiskelijavuodet yhteensä 1</t>
  </si>
  <si>
    <t>Kohdentamaton työvoima-koulutus 2</t>
  </si>
  <si>
    <t>Ensikertaisella suoritepäätöksellä jaetut tavoitteelliset opiskelijavuodet yhteensä 4</t>
  </si>
  <si>
    <t>Talousarvion perusteella työvoimakoulutus 1</t>
  </si>
  <si>
    <t>Lisätalousarvioiden perusteella jaetut 2</t>
  </si>
  <si>
    <t>Lisätalousarvioiden perusteella jaetut 3</t>
  </si>
  <si>
    <t>Ensikertaisella suoritepäätöksellä jaetut tavoitteelliset opiskelijavuodet yhteensä 5</t>
  </si>
  <si>
    <t>Ensikertaisella suoritepäätöksellä jaetut tavoitteelliset opiskelijavuodet yhteensä 6</t>
  </si>
  <si>
    <t>Laskettu toteumaennusteen mukaan ilman vuonna 2019 toteutuneita vuoden 2018 lisätalousarvioiden perusteella jaettuja</t>
  </si>
  <si>
    <t>Toteumaennuste koko vuodelle ilman vuoden 2018 lisätalousarvioiden perusteella jaettuja</t>
  </si>
  <si>
    <t>Muu kuin työvoima-koulutus 7d</t>
  </si>
  <si>
    <t>Työvoima-koulutus 7d</t>
  </si>
  <si>
    <t>Yhteensä 7d</t>
  </si>
  <si>
    <t>Muu kuin työvoima-koulutus 7e</t>
  </si>
  <si>
    <t>Työvoima-koulutus 7e</t>
  </si>
  <si>
    <t>Yhteensä 7e</t>
  </si>
  <si>
    <t>Rahoitusperusteraportti: Tutkintojen ja tutkinnon osien painotetut pisteet</t>
  </si>
  <si>
    <t>Rahoitusperusteraportti: Tutkinnon suorittaneiden työllistyminen ja jatko-opiskelu painotetut pisteet</t>
  </si>
  <si>
    <t>Rahoitusperusteraportti: Opiskelijapalautteen aloituskyselyn painotetut pisteet</t>
  </si>
  <si>
    <t>Rahoitusperusteraportti: Opiskelijapalautteen päättökyselyn painotetut pisteet</t>
  </si>
  <si>
    <t>Järjestämisluvan opisk.vuosien vähimmäismäärä</t>
  </si>
  <si>
    <t>Muutos, € 2</t>
  </si>
  <si>
    <t>Muutos, % 2</t>
  </si>
  <si>
    <t>Vuosittaisten euromäärien muokkaus tapahtuu siirtotiedoston kautta. Keltaisella pohjalla olevat tiedot tulevat siirtotiedostosta (euromäärät) sekä asetuksista (rahoitusosien osuudet), muut laskettuina niiden perusteella.</t>
  </si>
  <si>
    <t>Turun aikuiskoulutussäätiö</t>
  </si>
  <si>
    <t>Suomen Yrittäjäopiston kannatus Oy</t>
  </si>
  <si>
    <t>Careeria</t>
  </si>
  <si>
    <t>0142247-5X</t>
  </si>
  <si>
    <t>2390097-6X</t>
  </si>
  <si>
    <t>0208850-1X</t>
  </si>
  <si>
    <t>0872020-5X</t>
  </si>
  <si>
    <t>2918298-7X</t>
  </si>
  <si>
    <t>0130270-5X</t>
  </si>
  <si>
    <t>0210838-1X</t>
  </si>
  <si>
    <t>0195200-3X</t>
  </si>
  <si>
    <t>0214958-9X</t>
  </si>
  <si>
    <t>1 Yksityinen</t>
  </si>
  <si>
    <t>Kieli</t>
  </si>
  <si>
    <t>Kielen koodi</t>
  </si>
  <si>
    <t>suomenkielinen</t>
  </si>
  <si>
    <t>ruotsinkielinen</t>
  </si>
  <si>
    <t>kaksikielinen (s)</t>
  </si>
  <si>
    <t>Rahoitus pl. hark. kor. 2019 ilman alv, €</t>
  </si>
  <si>
    <t>Rahoitus pl. hark. kor. 2020 ilman alv, €</t>
  </si>
  <si>
    <t>Rahoitukseen hyväksytyt painotetut osaamispisteet</t>
  </si>
  <si>
    <t>Tutkintojen ja tutkinnon osien painotetut pisteet, järj. %-osuus</t>
  </si>
  <si>
    <t>Tämä sarake alv-kompensaatioon</t>
  </si>
  <si>
    <t>Alv-vahvistus tehty</t>
  </si>
  <si>
    <t xml:space="preserve"> OPH:lle Vahvistettu alv yhteensä</t>
  </si>
  <si>
    <t xml:space="preserve"> Ahlmanin koulun Säätiö</t>
  </si>
  <si>
    <t xml:space="preserve"> Air Navigation Services Fin</t>
  </si>
  <si>
    <t xml:space="preserve"> Aitoon Emäntäkoulu Oy</t>
  </si>
  <si>
    <t xml:space="preserve"> Ami-säätiö</t>
  </si>
  <si>
    <t xml:space="preserve"> Ammattienedistämislaitossää</t>
  </si>
  <si>
    <t xml:space="preserve"> Ammattiopisto Spesia Oy</t>
  </si>
  <si>
    <t xml:space="preserve"> AVA-instituutin Kannatusyhd</t>
  </si>
  <si>
    <t xml:space="preserve"> Axxell Utbildning Ab</t>
  </si>
  <si>
    <t xml:space="preserve"> Etelä-Savon Koulutus Oy</t>
  </si>
  <si>
    <t xml:space="preserve"> Eurajoen kristillisen opist</t>
  </si>
  <si>
    <t xml:space="preserve"> Finnair Oyj</t>
  </si>
  <si>
    <t xml:space="preserve"> Folkhälsan Utbildning Ab</t>
  </si>
  <si>
    <t xml:space="preserve"> Haapaveden Opiston kannatus</t>
  </si>
  <si>
    <t xml:space="preserve"> Harjun oppimiskeskus oy</t>
  </si>
  <si>
    <t xml:space="preserve"> Haus Kehittämiskeskus Oy</t>
  </si>
  <si>
    <t xml:space="preserve"> Helsingin konservatorion sä</t>
  </si>
  <si>
    <t xml:space="preserve"> Helsinki Business College O</t>
  </si>
  <si>
    <t xml:space="preserve"> Hengitysliitto ry</t>
  </si>
  <si>
    <t xml:space="preserve"> Hevosopisto Oy</t>
  </si>
  <si>
    <t xml:space="preserve"> Hyria koulutus Oy</t>
  </si>
  <si>
    <t xml:space="preserve"> Hämeen ammatti-instituutti</t>
  </si>
  <si>
    <t xml:space="preserve"> Invalidisäätiö</t>
  </si>
  <si>
    <t xml:space="preserve"> Itä-Karjalan kansanopistose</t>
  </si>
  <si>
    <t xml:space="preserve"> Itä-Suomen liikuntaopisto O</t>
  </si>
  <si>
    <t xml:space="preserve"> Itä-Uudenmaan koulutuskunta</t>
  </si>
  <si>
    <t xml:space="preserve"> Jollas-Opisto Oy</t>
  </si>
  <si>
    <t xml:space="preserve"> Jyväskylän kristillisen opi</t>
  </si>
  <si>
    <t xml:space="preserve"> Jyväskylän talouskouluyhdis</t>
  </si>
  <si>
    <t xml:space="preserve"> Kalajoen kristillisen opist</t>
  </si>
  <si>
    <t xml:space="preserve"> Kanneljärven kansanopiston</t>
  </si>
  <si>
    <t xml:space="preserve"> Kauppiaitten Kauppaoppilait</t>
  </si>
  <si>
    <t xml:space="preserve"> Kaustisen Evankelisen Opist</t>
  </si>
  <si>
    <t xml:space="preserve"> Kellosepäntaidon edistämiss</t>
  </si>
  <si>
    <t xml:space="preserve"> Keski-Pohjanmaan konservato</t>
  </si>
  <si>
    <t xml:space="preserve"> Kiinteistöalan koulutussäät</t>
  </si>
  <si>
    <t xml:space="preserve"> Kiipulasäätiö</t>
  </si>
  <si>
    <t xml:space="preserve"> Kirkkopalvelut ry</t>
  </si>
  <si>
    <t xml:space="preserve"> Kisakalliosäätiö</t>
  </si>
  <si>
    <t xml:space="preserve"> Kiteen evankelisen kansanop</t>
  </si>
  <si>
    <t xml:space="preserve"> KONE Hissit Oy</t>
  </si>
  <si>
    <t xml:space="preserve"> Konecranes Finland Oy</t>
  </si>
  <si>
    <t xml:space="preserve"> Korpisaaren säätiö</t>
  </si>
  <si>
    <t xml:space="preserve"> Kouvolan Ammatillinen Aikui</t>
  </si>
  <si>
    <t xml:space="preserve"> KSAK Oy</t>
  </si>
  <si>
    <t xml:space="preserve"> Kuopion konservatorion kann</t>
  </si>
  <si>
    <t xml:space="preserve"> Kuopion Talouskoulun kannat</t>
  </si>
  <si>
    <t xml:space="preserve"> Kuortaneen urheiluopistosää</t>
  </si>
  <si>
    <t xml:space="preserve"> Lahden kansanopiston säätiö</t>
  </si>
  <si>
    <t xml:space="preserve"> Lahden Konservatorio Oy</t>
  </si>
  <si>
    <t xml:space="preserve"> Länsirannikon Koulutus Oy</t>
  </si>
  <si>
    <t xml:space="preserve"> M.S.F-oppilaitos Oy</t>
  </si>
  <si>
    <t xml:space="preserve"> Maalariammattikoulun Kannat</t>
  </si>
  <si>
    <t xml:space="preserve"> Management Institute of Fin</t>
  </si>
  <si>
    <t xml:space="preserve"> Markkinointi-Instituutin ka</t>
  </si>
  <si>
    <t xml:space="preserve"> Marttayhdistysten liitto ry</t>
  </si>
  <si>
    <t xml:space="preserve"> Nokia-yhtymä</t>
  </si>
  <si>
    <t xml:space="preserve"> Opintotoiminnan keskusliitt</t>
  </si>
  <si>
    <t xml:space="preserve"> Oy Porvoo International Col</t>
  </si>
  <si>
    <t xml:space="preserve"> Paasikiviopistoyhdistys ry</t>
  </si>
  <si>
    <t xml:space="preserve"> Palkansaajien koulutussääti</t>
  </si>
  <si>
    <t xml:space="preserve"> Palloilu Säätiö</t>
  </si>
  <si>
    <t xml:space="preserve"> Perho Liiketalousopisto Oy</t>
  </si>
  <si>
    <t xml:space="preserve"> Peräpohjolan kansanopiston</t>
  </si>
  <si>
    <t xml:space="preserve"> Pohjois-Satakunnan kansanop</t>
  </si>
  <si>
    <t xml:space="preserve"> Pohjois-Savon kansanopistos</t>
  </si>
  <si>
    <t xml:space="preserve"> Pohjois-Suomen koulutuskesk</t>
  </si>
  <si>
    <t xml:space="preserve"> Pop &amp; Jazz Konservatorion S</t>
  </si>
  <si>
    <t xml:space="preserve"> Portaanpää ry.</t>
  </si>
  <si>
    <t xml:space="preserve"> Raahen Porvari- ja Kauppako</t>
  </si>
  <si>
    <t xml:space="preserve"> Rakennusteollisuus RT ry</t>
  </si>
  <si>
    <t xml:space="preserve"> Rastor Oy</t>
  </si>
  <si>
    <t xml:space="preserve"> Raudaskylän Kristillinen Op</t>
  </si>
  <si>
    <t xml:space="preserve"> Reisjärven kristillinen kan</t>
  </si>
  <si>
    <t xml:space="preserve"> Rovalan Setlementti ry</t>
  </si>
  <si>
    <t xml:space="preserve"> Suomen Diakoniaopisto-SDO O</t>
  </si>
  <si>
    <t xml:space="preserve"> Suomen Ilmailuopisto Oy</t>
  </si>
  <si>
    <t xml:space="preserve"> Suomen Kansallisooppera ja</t>
  </si>
  <si>
    <t xml:space="preserve"> Suomen Luterilainen Evankel</t>
  </si>
  <si>
    <t xml:space="preserve"> Suomen Nuoriso-opiston kann</t>
  </si>
  <si>
    <t xml:space="preserve"> Suomen Urheiluopiston kanna</t>
  </si>
  <si>
    <t xml:space="preserve"> Suomen Ympäristöopisto SYKL</t>
  </si>
  <si>
    <t xml:space="preserve"> Suomen yrittäjäopiston kann</t>
  </si>
  <si>
    <t xml:space="preserve"> Svenska framtidsskolan i he</t>
  </si>
  <si>
    <t xml:space="preserve"> Tampereen Aikuiskoulutussää</t>
  </si>
  <si>
    <t xml:space="preserve"> Tampereen musiikkiopiston s</t>
  </si>
  <si>
    <t xml:space="preserve"> Tampereen Urheiluhierojakou</t>
  </si>
  <si>
    <t xml:space="preserve"> Tanhuvaaran säätiö</t>
  </si>
  <si>
    <t xml:space="preserve"> Teak Oy</t>
  </si>
  <si>
    <t xml:space="preserve"> Toyota Auto Finland Oy</t>
  </si>
  <si>
    <t xml:space="preserve"> Traffica Oy</t>
  </si>
  <si>
    <t xml:space="preserve"> Tri Matthias Ingmanin sääti</t>
  </si>
  <si>
    <t xml:space="preserve"> TUL:n Kisakeskussäätiö</t>
  </si>
  <si>
    <t xml:space="preserve"> Turun aikuiskoulutussäätiö</t>
  </si>
  <si>
    <t xml:space="preserve"> Turun ammattiopistosäätiö</t>
  </si>
  <si>
    <t xml:space="preserve"> Turun konservatorion kannat</t>
  </si>
  <si>
    <t xml:space="preserve"> Turun kristillisen opiston</t>
  </si>
  <si>
    <t xml:space="preserve"> Työtehoseura ry</t>
  </si>
  <si>
    <t xml:space="preserve"> UPM-Kymmene Oyj</t>
  </si>
  <si>
    <t xml:space="preserve"> Valtakunnallinen valmennus-</t>
  </si>
  <si>
    <t xml:space="preserve"> Varalan Säätiö</t>
  </si>
  <si>
    <t xml:space="preserve"> Wärtsilä Finland Oy</t>
  </si>
  <si>
    <t>3008326-5</t>
  </si>
  <si>
    <t>AEL-Amiedu Oy</t>
  </si>
  <si>
    <t>2962876-6</t>
  </si>
  <si>
    <t>Turun musiikinopetus Oy</t>
  </si>
  <si>
    <t>0116354-9X</t>
  </si>
  <si>
    <t>0213612-0X</t>
  </si>
  <si>
    <t>0201689-0X</t>
  </si>
  <si>
    <t>0114371-6X</t>
  </si>
  <si>
    <t>0214081-6X</t>
  </si>
  <si>
    <t>1648362-5X</t>
  </si>
  <si>
    <t>0204843-8X</t>
  </si>
  <si>
    <t>Toteuma 1-6/2019</t>
  </si>
  <si>
    <t>Oy Porvoo International College Ab</t>
  </si>
  <si>
    <t>Teak Oy</t>
  </si>
  <si>
    <t>Vuoden 2019 ensikertaisen suoritepäätöksen tavoitteelliset opiskelijavuodet ja harkinnanvaraiset korotukset</t>
  </si>
  <si>
    <t>Kotimaakunta</t>
  </si>
  <si>
    <t>Perusrahoitus ilman harkinnan-varaista korotusta €</t>
  </si>
  <si>
    <t>9 
Tutkinnoista kertyvät suorituspisteet</t>
  </si>
  <si>
    <t>Fria Kristliga Folkhögskolföreningen FKF rf</t>
  </si>
  <si>
    <t>poikkeava kaava</t>
  </si>
  <si>
    <t xml:space="preserve">Järjestäjä ei ole vahvistanut </t>
  </si>
  <si>
    <t xml:space="preserve"> Rautaruukki Oyj</t>
  </si>
  <si>
    <t xml:space="preserve"> Valmet Automotive Oy</t>
  </si>
  <si>
    <t xml:space="preserve"> Valkealan kristillisen kans</t>
  </si>
  <si>
    <t xml:space="preserve"> Lieksan kristillisen opisto</t>
  </si>
  <si>
    <t xml:space="preserve"> Vuolle Setlementti ry</t>
  </si>
  <si>
    <t xml:space="preserve"> Laajasalon opiston säätiö s</t>
  </si>
  <si>
    <t xml:space="preserve"> Karstulan evankelisen kansa</t>
  </si>
  <si>
    <t xml:space="preserve"> Fria kristliga folkhögskola</t>
  </si>
  <si>
    <t xml:space="preserve"> Kansan sivistystyön liiton</t>
  </si>
  <si>
    <t xml:space="preserve"> Työväen Sivistysliitto TSL</t>
  </si>
  <si>
    <t xml:space="preserve"> Fysikaalinen hoitolaitos Ar</t>
  </si>
  <si>
    <t xml:space="preserve"> ABB Oy</t>
  </si>
  <si>
    <t xml:space="preserve"> Meyer Turku Oy</t>
  </si>
  <si>
    <t xml:space="preserve"> Cimson Koulutuspalvelut Oy</t>
  </si>
  <si>
    <t xml:space="preserve"> Suomen Nosturikoulutus Oy</t>
  </si>
  <si>
    <t>Kyselyn kohteet (Rahoitus)</t>
  </si>
  <si>
    <t>Vastanneet (Rahoitus)</t>
  </si>
  <si>
    <t>Vastausosuus (Rahoitus)</t>
  </si>
  <si>
    <t>Korjauskerroin (Rahoitus)</t>
  </si>
  <si>
    <t>Keskiarvo (Rahoitus)</t>
  </si>
  <si>
    <t>Keskihajonta (Rahoitus)</t>
  </si>
  <si>
    <t>Pisteet (Rahoitus)</t>
  </si>
  <si>
    <t>Painotetut pisteet (Rahoitus)</t>
  </si>
  <si>
    <t>Painotetut pisteet % (Rahoitus)</t>
  </si>
  <si>
    <t>Yhteensä Kyselyn kohteet (Rahoitus)</t>
  </si>
  <si>
    <t>Yhteensä Vastanneet (Rahoitus)</t>
  </si>
  <si>
    <t>Yhteensä Vastausosuus (Rahoitus)</t>
  </si>
  <si>
    <t>Yhteensä Korjauskerroin (Rahoitus)</t>
  </si>
  <si>
    <t>Yhteensä Keskiarvo (Rahoitus)</t>
  </si>
  <si>
    <t>Yhteensä Keskihajonta (Rahoitus)</t>
  </si>
  <si>
    <t>Yhteensä Pisteet (Rahoitus)</t>
  </si>
  <si>
    <t>Yhteensä Painotetut pisteet (Rahoitus)</t>
  </si>
  <si>
    <t>Yhteensä Painotetut pisteet % (Rahoitus)</t>
  </si>
  <si>
    <t>Vuokatin urheiluopisto</t>
  </si>
  <si>
    <t>Itä-Uudenmaan koulutuskunta-yhtymä</t>
  </si>
  <si>
    <t>Saamelaisalueen koulutuskeskus</t>
  </si>
  <si>
    <t>HRM Consulting Oy</t>
  </si>
  <si>
    <t>-josta opettajien ja ohjaajien palkkaamiseen sekä tukitoimiin myönnettävä lisärahoitus</t>
  </si>
  <si>
    <t>-josta muu varainhoitovuodelle jätettävä rahoitus</t>
  </si>
  <si>
    <r>
      <t xml:space="preserve">SUORITEPERUSTEINEN LASKENNALLINEN RAHOITUS
</t>
    </r>
    <r>
      <rPr>
        <sz val="10"/>
        <color theme="1"/>
        <rFont val="Calibri"/>
        <family val="2"/>
        <scheme val="minor"/>
      </rPr>
      <t>(pl. perusrahoituksen myöhemmin varainhoitovuoden aikana jaettava osa)</t>
    </r>
  </si>
  <si>
    <t>Perusrahoitus (70 % laskennallisesta jos ml. hark korotus ja myöh. varainhoitov. aikana jaettava osa)</t>
  </si>
  <si>
    <r>
      <t xml:space="preserve">LASKENNALLINEN RAHOITUS YHTEENSÄ
</t>
    </r>
    <r>
      <rPr>
        <sz val="10"/>
        <rFont val="Calibri"/>
        <family val="2"/>
        <scheme val="minor"/>
      </rPr>
      <t>(pl. perusrahoituksen myöhemmin varainhoitovuoden aikana jaettava osa)</t>
    </r>
  </si>
  <si>
    <t>Korvataan euromääräisesti kustannusten suuruisena vuodesta 2020 alkaen</t>
  </si>
  <si>
    <t>LASKENNALLINEN RAHOITUS YHTEENSÄ + ALV</t>
  </si>
  <si>
    <t>ARVONLISÄVEROKORVAUS</t>
  </si>
  <si>
    <t>(pl. myöhemmin varain-hoitovuoden aikana jaettava lask. rah.)</t>
  </si>
  <si>
    <t>Kaikki summat pl. myöhemmin varainhoitovuonna jaettava osa</t>
  </si>
  <si>
    <t>Varsinaisella suoritepäätöksellä jaettava lask. rahoitus yhteensä</t>
  </si>
  <si>
    <t>Perusrahoitus</t>
  </si>
  <si>
    <t>Suorite-perusteinen perusrahoitus (pl. hark. kor.)</t>
  </si>
  <si>
    <t>Perusrahoitus yhteensä (ml. hark. kor.)</t>
  </si>
  <si>
    <t>Rahoituksen muutos vuodesta 2019 vuoteen 2020 (ml. hark. kor.)</t>
  </si>
  <si>
    <t>Rahoitus ml. hark. kor. 
2019 ilman alv, €</t>
  </si>
  <si>
    <t>Rahoitus ml. hark. kor. 
2020 ilman alv, €</t>
  </si>
  <si>
    <t>Rahoitus ml. hark. kor. + alv 2019, €</t>
  </si>
  <si>
    <t>Rahoitus ml. hark. kor. + alv 2020, €</t>
  </si>
  <si>
    <t>Rahoituksen muutos vuodesta 2019 vuoteen 2020 (ml. hark. kor.) + alv-korvaus</t>
  </si>
  <si>
    <t>Varsinaisella suoritepäätöksellä jaettava rahoitus (pl. alv)</t>
  </si>
  <si>
    <t>Varsinaisella suoritepäätöksellä jaettava suoriteperusteinen rahoitus (pl. alv.)</t>
  </si>
  <si>
    <t>linkki Vipunen-portaaliin:</t>
  </si>
  <si>
    <t>https://vipunen.fi/fi-fi/_layouts/15/xlviewer.aspx?id=/fi-fi/Raportit/Koski%20opiskelijavuodet.xlsb</t>
  </si>
  <si>
    <t>Rahoitusperusteraportti: Painotetut opiskelijavuodet</t>
  </si>
  <si>
    <t>tiedot haettu 7.11.2019 (jäädytetty 31.10.2019 tasolle)</t>
  </si>
  <si>
    <t>https://vipunen.fi/fi-fi/_layouts/15/xlviewer.aspx?id=/fi-fi/Raportit/Koski%20tutkinnot%20ja%20tutkinnon%20osat%20painotetut.xlsb</t>
  </si>
  <si>
    <t>https://vipunen.fi/fi-fi/_layouts/15/xlviewer.aspx?id=/fi-fi/Raportit/Rahoitusperusteraportti%20(ty%C3%B6llistyneet%20ja%20jatko-opiskelijat).xlsb</t>
  </si>
  <si>
    <t>https://vipunen.fi/fi-fi/_layouts/15/xlviewer.aspx?id=/fi-fi/Raportit/Ammatillinen%20koulutus%20-%20opiskelijapalaute%20-%20rahoitusmalli%20-%20aloituskysely.xlsb</t>
  </si>
  <si>
    <t>https://vipunen.fi/fi-fi/_layouts/15/xlviewer.aspx?id=/fi-fi/Raportit/Ammatillinenkoulutus%20-%20opiskelijapalaute%20-%20rahoitusmalli-%20p%C3%A4ttt%C3%B6kysely.xlsb</t>
  </si>
  <si>
    <t>poistuneita järjestäjiä:</t>
  </si>
  <si>
    <t>kokonaan poistuneissa ei y-tunnuksen perässä x:ää</t>
  </si>
  <si>
    <t>Ammatillisten tutkintojen ja koulutuksen järjestäjät 1.1.2020 lukien</t>
  </si>
  <si>
    <t>-</t>
  </si>
  <si>
    <t>(alimmaisena lisäksi poistuneita järjestäjiä sekä Saamelaisalueen koulutuskeskus)</t>
  </si>
  <si>
    <t>yllä huomioimattomat järjestäjärakenteen muutokset:</t>
  </si>
  <si>
    <t>fuusioituneissa y-tunnuksen perässä x, jotta voi käyttää p-hakua vanhan järjestäjärakenteen mukaisissa taulukoissa ilman sekaannusta fuusioiden suhteen (tämän vuoksi mukana myös nykyisiä järjestäjiä, joihin on fuusioitunut toinen järjestäjä)</t>
  </si>
  <si>
    <t>1 Erityisen kalliin koulutuksen järjestämiseen</t>
  </si>
  <si>
    <t>2 Kokonais-taloudellisen tilanteen perusteella</t>
  </si>
  <si>
    <t>3 Rahoituksen määräytymisper. muutoksen perusteella</t>
  </si>
  <si>
    <t>4 Yksittäisen koulutuksen turvaamiseksi</t>
  </si>
  <si>
    <t>5 Työpaikkaohjaajien koulutuksen lisäämiseen ja kehittämiseen</t>
  </si>
  <si>
    <t>6 Urheilijoiden ammatillisen koulutuksen tukemiseen</t>
  </si>
  <si>
    <t>7 Harkinnanvarainen korotus yhteensä</t>
  </si>
  <si>
    <t>tiedot haettu 15.11.2019 (suoritetiedot jäädytetty 31.10.2019 tasolle, painotettujen pisteiden laskennassa käytetyt pohjakoulutustiedot päivitetty 15.11.2019)</t>
  </si>
  <si>
    <t>Tilanne 28.11.2019 /sh</t>
  </si>
  <si>
    <t>Alv-korvauksen luvut ovat koulutuksen järjestäjien OPH:lle ilmoittamia 28.11.2019 mukaisina.</t>
  </si>
  <si>
    <t>Suomen Yrittäjäopisto Oy</t>
  </si>
  <si>
    <t>Keski-Pohjanmaan Konservatorion Kannatusyhdistys ry</t>
  </si>
  <si>
    <t>Jakotaulu, varsinainen suoritepäätös</t>
  </si>
  <si>
    <t>Suoritusrahoitus (20 % em. ehdoin)</t>
  </si>
  <si>
    <t>Vaikuttavuusrahoitus (10 % em. ehdoin)</t>
  </si>
  <si>
    <t>Yht. (100 % em. ehdoin)</t>
  </si>
  <si>
    <t>6 Laskennallinen rah. yht. pl. hark. ja myöh. jaettava osa</t>
  </si>
  <si>
    <t>Suoritepäätöksellä jaettavat opv:t (luvan ylittävä osuus)</t>
  </si>
  <si>
    <r>
      <t>Jaettava €</t>
    </r>
    <r>
      <rPr>
        <sz val="10"/>
        <color theme="4" tint="0.59999389629810485"/>
        <rFont val="Calibri"/>
        <family val="2"/>
        <scheme val="minor"/>
      </rPr>
      <t xml:space="preserve"> 1</t>
    </r>
  </si>
  <si>
    <r>
      <t>Jaettava €</t>
    </r>
    <r>
      <rPr>
        <sz val="10"/>
        <color theme="4" tint="0.59999389629810485"/>
        <rFont val="Calibri"/>
        <family val="2"/>
        <scheme val="minor"/>
      </rPr>
      <t xml:space="preserve"> 2</t>
    </r>
  </si>
  <si>
    <r>
      <t>Jaettava €</t>
    </r>
    <r>
      <rPr>
        <sz val="10"/>
        <color theme="4" tint="0.59999389629810485"/>
        <rFont val="Calibri"/>
        <family val="2"/>
        <scheme val="minor"/>
      </rPr>
      <t xml:space="preserve"> 3</t>
    </r>
  </si>
  <si>
    <r>
      <t>Jaettava €</t>
    </r>
    <r>
      <rPr>
        <sz val="10"/>
        <color theme="4" tint="0.59999389629810485"/>
        <rFont val="Calibri"/>
        <family val="2"/>
        <scheme val="minor"/>
      </rPr>
      <t xml:space="preserve"> 4</t>
    </r>
  </si>
  <si>
    <r>
      <t>Jaettava €</t>
    </r>
    <r>
      <rPr>
        <sz val="10"/>
        <color theme="4" tint="0.59999389629810485"/>
        <rFont val="Calibri"/>
        <family val="2"/>
        <scheme val="minor"/>
      </rPr>
      <t xml:space="preserve"> 5</t>
    </r>
  </si>
  <si>
    <r>
      <t>Jaettava €</t>
    </r>
    <r>
      <rPr>
        <sz val="10"/>
        <color theme="4" tint="0.59999389629810485"/>
        <rFont val="Calibri"/>
        <family val="2"/>
        <scheme val="minor"/>
      </rPr>
      <t xml:space="preserve"> 6</t>
    </r>
  </si>
  <si>
    <r>
      <t xml:space="preserve">PERUSRAHOITUKSEN HARKINNANVARAINEN KOROTUS
</t>
    </r>
    <r>
      <rPr>
        <sz val="10"/>
        <rFont val="Calibri"/>
        <family val="2"/>
        <scheme val="minor"/>
      </rPr>
      <t>(pl. myöhemmin varainhoitovuoden aikana jaettava osa)</t>
    </r>
  </si>
  <si>
    <t>Opiskelijavuosiin perustuva (suoriteperusteinen) sekä harkinnanvarainen korotus, €</t>
  </si>
  <si>
    <t>(Keskiarvo, pl. järjestäjät joille ei myönnetty lainkaan rahoitusta)</t>
  </si>
  <si>
    <t>Suoriteperusteisen rahoituksen muutos vuodesta 2019 vuoteen 2020 (pl. hark. kor.)</t>
  </si>
  <si>
    <t>VERTAILU VUODEN 2019 VARSINAISEN SUORITEPÄÄTÖKSEN RAHOITUKSEEN</t>
  </si>
  <si>
    <t>VARSINAISELLA SUORITEPÄÄTÖKSELLÄ JAETTAVAN LASKENNALLISEN RAHOITUKSEN OSIEN SUHDE JÄRJESTÄJITTÄIN</t>
  </si>
  <si>
    <r>
      <t>Muutos, €</t>
    </r>
    <r>
      <rPr>
        <sz val="10"/>
        <color theme="2"/>
        <rFont val="Calibri"/>
        <family val="2"/>
        <scheme val="minor"/>
      </rPr>
      <t xml:space="preserve"> 3</t>
    </r>
  </si>
  <si>
    <r>
      <t>Muutos, %</t>
    </r>
    <r>
      <rPr>
        <sz val="10"/>
        <color theme="2"/>
        <rFont val="Calibri"/>
        <family val="2"/>
        <scheme val="minor"/>
      </rPr>
      <t xml:space="preserve"> 3</t>
    </r>
  </si>
  <si>
    <r>
      <t>Muutos, €</t>
    </r>
    <r>
      <rPr>
        <sz val="10"/>
        <color theme="2"/>
        <rFont val="Calibri"/>
        <family val="2"/>
        <scheme val="minor"/>
      </rPr>
      <t xml:space="preserve"> 2</t>
    </r>
  </si>
  <si>
    <r>
      <t>Muutos, %</t>
    </r>
    <r>
      <rPr>
        <sz val="10"/>
        <color theme="2"/>
        <rFont val="Calibri"/>
        <family val="2"/>
        <scheme val="minor"/>
      </rPr>
      <t xml:space="preserve"> 2</t>
    </r>
  </si>
  <si>
    <r>
      <t>Muutos, €</t>
    </r>
    <r>
      <rPr>
        <sz val="10"/>
        <color theme="2"/>
        <rFont val="Calibri"/>
        <family val="2"/>
        <scheme val="minor"/>
      </rPr>
      <t xml:space="preserve"> 1</t>
    </r>
  </si>
  <si>
    <r>
      <t>Muutos, %</t>
    </r>
    <r>
      <rPr>
        <sz val="10"/>
        <color theme="2"/>
        <rFont val="Calibri"/>
        <family val="2"/>
        <scheme val="minor"/>
      </rPr>
      <t xml:space="preserve"> 1</t>
    </r>
  </si>
  <si>
    <r>
      <t xml:space="preserve">KOULUTUKSEN JÄRJESTÄJÄ
</t>
    </r>
    <r>
      <rPr>
        <sz val="10"/>
        <color theme="1"/>
        <rFont val="Calibri"/>
        <family val="2"/>
        <scheme val="minor"/>
      </rPr>
      <t>(mukana koulutuksen järjestäjät joilla järjestämislupa 1.1.2020 lukien)</t>
    </r>
  </si>
  <si>
    <r>
      <t xml:space="preserve">SUMMALUKUJA MAAKUNNITTAIN KOULUTUKSEN JÄRJESTÄJIEN KOTIPAIKKAKUNNAN MUKAISESTI
</t>
    </r>
    <r>
      <rPr>
        <sz val="10"/>
        <color theme="1"/>
        <rFont val="Calibri"/>
        <family val="2"/>
        <scheme val="minor"/>
      </rPr>
      <t>(mukana koulutuksen järjestäjät joilla järjestämislupa 1.1.2020 lukien)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</si>
</sst>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0\ &quot;€&quot;;[Red]\-#,##0\ &quot;€&quot;"/>
    <numFmt numFmtId="44" formatCode="_-* #,##0.00\ &quot;€&quot;_-;\-* #,##0.00\ &quot;€&quot;_-;_-* &quot;-&quot;??\ &quot;€&quot;_-;_-@_-"/>
    <numFmt numFmtId="164" formatCode="_-* #,##0.00\ _€_-;\-* #,##0.00\ _€_-;_-* &quot;-&quot;??\ _€_-;_-@_-"/>
    <numFmt numFmtId="165" formatCode="0.00\ %;\-0.00\ %;0.00\ %"/>
    <numFmt numFmtId="166" formatCode="0.0000"/>
    <numFmt numFmtId="167" formatCode="#,##0.0"/>
    <numFmt numFmtId="168" formatCode="0.00000"/>
    <numFmt numFmtId="169" formatCode="0.000\ %"/>
    <numFmt numFmtId="170" formatCode="#,##0.00000"/>
    <numFmt numFmtId="171" formatCode="#,##0\ &quot;€&quot;"/>
    <numFmt numFmtId="172" formatCode="_-* #,##0\ _€_-;\-* #,##0\ _€_-;_-* &quot;-&quot;??\ _€_-;_-@_-"/>
    <numFmt numFmtId="173" formatCode="0\ %;\-0\ %;0\ %"/>
  </numFmts>
  <fonts count="40" x14ac:knownFonts="1">
    <font>
      <sz val="11"/>
      <color theme="1"/>
      <name val="Calibri"/>
      <family val="2"/>
      <scheme val="minor"/>
    </font>
    <font>
      <b/>
      <sz val="11"/>
      <color rgb="FF000000"/>
      <name val="Calibri"/>
      <family val="2"/>
    </font>
    <font>
      <sz val="11"/>
      <color theme="1"/>
      <name val="Calibri"/>
      <family val="2"/>
    </font>
    <font>
      <b/>
      <sz val="9"/>
      <color rgb="FF000000"/>
      <name val="Arial"/>
      <family val="2"/>
    </font>
    <font>
      <b/>
      <sz val="12"/>
      <color theme="1"/>
      <name val="Calibri"/>
      <family val="2"/>
      <scheme val="minor"/>
    </font>
    <font>
      <b/>
      <sz val="15"/>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Calibri"/>
      <family val="2"/>
      <scheme val="minor"/>
    </font>
    <font>
      <i/>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0"/>
      <color theme="1"/>
      <name val="Calibri"/>
      <family val="2"/>
    </font>
    <font>
      <sz val="11"/>
      <color theme="1"/>
      <name val="Arial"/>
      <family val="2"/>
    </font>
    <font>
      <sz val="9"/>
      <color theme="1"/>
      <name val="Arial"/>
      <family val="2"/>
    </font>
    <font>
      <b/>
      <sz val="9"/>
      <color theme="1"/>
      <name val="Arial"/>
      <family val="2"/>
    </font>
    <font>
      <i/>
      <sz val="11"/>
      <color theme="1"/>
      <name val="Calibri"/>
      <family val="2"/>
      <scheme val="minor"/>
    </font>
    <font>
      <b/>
      <sz val="9"/>
      <color theme="1"/>
      <name val="Calibri"/>
      <family val="2"/>
      <scheme val="minor"/>
    </font>
    <font>
      <b/>
      <sz val="11"/>
      <color theme="1"/>
      <name val="Calibri"/>
      <family val="2"/>
      <scheme val="minor"/>
    </font>
    <font>
      <b/>
      <u/>
      <sz val="11"/>
      <color theme="1"/>
      <name val="Calibri"/>
      <family val="2"/>
      <scheme val="minor"/>
    </font>
    <font>
      <sz val="11"/>
      <name val="Calibri"/>
      <family val="2"/>
      <scheme val="minor"/>
    </font>
    <font>
      <sz val="8"/>
      <color theme="1"/>
      <name val="Calibri"/>
      <family val="2"/>
      <scheme val="minor"/>
    </font>
    <font>
      <b/>
      <sz val="9"/>
      <color theme="1"/>
      <name val="Arial"/>
      <family val="2"/>
    </font>
    <font>
      <sz val="9"/>
      <color theme="1"/>
      <name val="Arial"/>
      <family val="2"/>
    </font>
    <font>
      <b/>
      <u/>
      <sz val="12"/>
      <color theme="1"/>
      <name val="Calibri"/>
      <family val="2"/>
      <scheme val="minor"/>
    </font>
    <font>
      <b/>
      <sz val="11"/>
      <name val="Calibri"/>
      <family val="2"/>
    </font>
    <font>
      <sz val="12"/>
      <name val="Calibri"/>
      <family val="2"/>
    </font>
    <font>
      <sz val="11"/>
      <name val="Calibri"/>
      <family val="2"/>
    </font>
    <font>
      <b/>
      <sz val="12"/>
      <color rgb="FF000000"/>
      <name val="Calibri"/>
      <family val="2"/>
    </font>
    <font>
      <sz val="10"/>
      <color rgb="FF000000"/>
      <name val="Calibri"/>
      <family val="2"/>
    </font>
    <font>
      <b/>
      <sz val="12"/>
      <name val="Calibri"/>
      <family val="2"/>
    </font>
    <font>
      <b/>
      <sz val="9"/>
      <color theme="1"/>
      <name val="Arial"/>
      <family val="2"/>
    </font>
    <font>
      <b/>
      <sz val="11"/>
      <name val="Calibri"/>
      <family val="2"/>
      <scheme val="minor"/>
    </font>
    <font>
      <u/>
      <sz val="11"/>
      <color theme="10"/>
      <name val="Calibri"/>
      <family val="2"/>
      <scheme val="minor"/>
    </font>
    <font>
      <b/>
      <sz val="10"/>
      <color theme="1"/>
      <name val="Calibri"/>
      <family val="2"/>
      <scheme val="minor"/>
    </font>
    <font>
      <b/>
      <sz val="10"/>
      <color theme="1"/>
      <name val="Calibri"/>
      <family val="2"/>
    </font>
    <font>
      <sz val="10"/>
      <color theme="4" tint="0.59999389629810485"/>
      <name val="Calibri"/>
      <family val="2"/>
      <scheme val="minor"/>
    </font>
    <font>
      <sz val="10"/>
      <color theme="2"/>
      <name val="Calibri"/>
      <family val="2"/>
      <scheme val="minor"/>
    </font>
  </fonts>
  <fills count="32">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9" tint="0.599963377788628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FF00"/>
        <bgColor rgb="FF000000"/>
      </patternFill>
    </fill>
    <fill>
      <patternFill patternType="solid">
        <fgColor rgb="FFBDD7EE"/>
        <bgColor rgb="FF000000"/>
      </patternFill>
    </fill>
    <fill>
      <patternFill patternType="solid">
        <fgColor rgb="FF9BC2E6"/>
        <bgColor rgb="FF000000"/>
      </patternFill>
    </fill>
    <fill>
      <patternFill patternType="solid">
        <fgColor rgb="FFDDEBF7"/>
        <bgColor rgb="FF000000"/>
      </patternFill>
    </fill>
    <fill>
      <patternFill patternType="solid">
        <fgColor rgb="FFC6E0B4"/>
        <bgColor rgb="FF000000"/>
      </patternFill>
    </fill>
    <fill>
      <patternFill patternType="solid">
        <fgColor rgb="FFA9D08E"/>
        <bgColor rgb="FF000000"/>
      </patternFill>
    </fill>
    <fill>
      <patternFill patternType="solid">
        <fgColor rgb="FFFCE4D6"/>
        <bgColor rgb="FF000000"/>
      </patternFill>
    </fill>
    <fill>
      <patternFill patternType="solid">
        <fgColor rgb="FFF8CBAD"/>
        <bgColor rgb="FF000000"/>
      </patternFill>
    </fill>
    <fill>
      <patternFill patternType="solid">
        <fgColor rgb="FFF4B084"/>
        <bgColor rgb="FF000000"/>
      </patternFill>
    </fill>
    <fill>
      <patternFill patternType="solid">
        <fgColor rgb="FFFFE699"/>
        <bgColor rgb="FF000000"/>
      </patternFill>
    </fill>
    <fill>
      <patternFill patternType="solid">
        <fgColor rgb="FFFFD966"/>
        <bgColor rgb="FF000000"/>
      </patternFill>
    </fill>
    <fill>
      <patternFill patternType="solid">
        <fgColor theme="5" tint="0.39997558519241921"/>
        <bgColor rgb="FF000000"/>
      </patternFill>
    </fill>
    <fill>
      <patternFill patternType="solid">
        <fgColor theme="4" tint="0.39997558519241921"/>
        <bgColor rgb="FF000000"/>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4" tint="0.79998168889431442"/>
        <bgColor theme="4" tint="0.79998168889431442"/>
      </patternFill>
    </fill>
  </fills>
  <borders count="23">
    <border>
      <left/>
      <right/>
      <top/>
      <bottom/>
      <diagonal/>
    </border>
    <border>
      <left/>
      <right/>
      <top style="thin">
        <color rgb="FFBFBFBF"/>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5">
    <xf numFmtId="0" fontId="0" fillId="0" borderId="0"/>
    <xf numFmtId="164"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35" fillId="0" borderId="0" applyNumberFormat="0" applyFill="0" applyBorder="0" applyAlignment="0" applyProtection="0"/>
  </cellStyleXfs>
  <cellXfs count="482">
    <xf numFmtId="0" fontId="0" fillId="0" borderId="0" xfId="0"/>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0" xfId="0" applyBorder="1" applyAlignment="1"/>
    <xf numFmtId="0" fontId="2" fillId="0" borderId="0" xfId="0" applyFont="1" applyFill="1" applyBorder="1"/>
    <xf numFmtId="0" fontId="4" fillId="0" borderId="0" xfId="0" applyFont="1" applyBorder="1" applyAlignment="1"/>
    <xf numFmtId="0" fontId="5" fillId="0" borderId="0" xfId="0" applyFont="1"/>
    <xf numFmtId="0" fontId="4" fillId="0" borderId="0" xfId="0" applyFont="1"/>
    <xf numFmtId="0" fontId="5" fillId="0" borderId="0" xfId="0" applyFont="1" applyBorder="1" applyAlignment="1"/>
    <xf numFmtId="3" fontId="2" fillId="0" borderId="0" xfId="0" applyNumberFormat="1" applyFont="1" applyFill="1" applyBorder="1"/>
    <xf numFmtId="167" fontId="2" fillId="0" borderId="0" xfId="0" applyNumberFormat="1" applyFont="1" applyFill="1" applyBorder="1"/>
    <xf numFmtId="0" fontId="0" fillId="0" borderId="0" xfId="0" applyFill="1"/>
    <xf numFmtId="0" fontId="9" fillId="0" borderId="0" xfId="0" applyFont="1" applyBorder="1"/>
    <xf numFmtId="0" fontId="9" fillId="0" borderId="0" xfId="0" applyFont="1" applyFill="1" applyBorder="1"/>
    <xf numFmtId="0" fontId="10" fillId="0" borderId="0" xfId="0" applyFont="1" applyBorder="1"/>
    <xf numFmtId="0" fontId="9" fillId="0" borderId="0" xfId="0" applyFont="1" applyBorder="1" applyAlignment="1"/>
    <xf numFmtId="0" fontId="9" fillId="0" borderId="0" xfId="0" applyFont="1" applyBorder="1" applyAlignment="1">
      <alignment vertical="top"/>
    </xf>
    <xf numFmtId="0" fontId="14" fillId="0" borderId="0" xfId="0" applyFont="1" applyFill="1" applyBorder="1"/>
    <xf numFmtId="168" fontId="9" fillId="0" borderId="0" xfId="0" applyNumberFormat="1" applyFont="1" applyBorder="1"/>
    <xf numFmtId="10" fontId="9" fillId="0" borderId="0" xfId="2" applyNumberFormat="1" applyFont="1" applyBorder="1"/>
    <xf numFmtId="3" fontId="9" fillId="0" borderId="0" xfId="0" applyNumberFormat="1" applyFont="1" applyBorder="1"/>
    <xf numFmtId="3" fontId="9" fillId="0" borderId="5" xfId="0" applyNumberFormat="1" applyFont="1" applyBorder="1"/>
    <xf numFmtId="10" fontId="9" fillId="0" borderId="5" xfId="2" applyNumberFormat="1" applyFont="1" applyBorder="1"/>
    <xf numFmtId="10" fontId="9" fillId="0" borderId="0" xfId="0" applyNumberFormat="1" applyFont="1" applyBorder="1"/>
    <xf numFmtId="0" fontId="9" fillId="3" borderId="0" xfId="0" applyFont="1" applyFill="1" applyBorder="1"/>
    <xf numFmtId="0" fontId="9" fillId="0" borderId="0" xfId="0" applyFont="1"/>
    <xf numFmtId="3" fontId="9" fillId="0" borderId="2" xfId="0" applyNumberFormat="1" applyFont="1" applyBorder="1"/>
    <xf numFmtId="0" fontId="13" fillId="8" borderId="5" xfId="0" applyFont="1" applyFill="1" applyBorder="1" applyAlignment="1"/>
    <xf numFmtId="0" fontId="13" fillId="8" borderId="0" xfId="0" applyFont="1" applyFill="1" applyBorder="1" applyAlignment="1"/>
    <xf numFmtId="0" fontId="13" fillId="8" borderId="2" xfId="0" applyFont="1" applyFill="1" applyBorder="1" applyAlignment="1"/>
    <xf numFmtId="0" fontId="9" fillId="11" borderId="5" xfId="0" applyFont="1" applyFill="1" applyBorder="1" applyAlignment="1">
      <alignment horizontal="center" wrapText="1"/>
    </xf>
    <xf numFmtId="0" fontId="9" fillId="11" borderId="0" xfId="0" applyFont="1" applyFill="1" applyBorder="1" applyAlignment="1">
      <alignment horizontal="center" wrapText="1"/>
    </xf>
    <xf numFmtId="0" fontId="9" fillId="11" borderId="2" xfId="0" applyFont="1" applyFill="1" applyBorder="1" applyAlignment="1">
      <alignment horizontal="center" wrapText="1"/>
    </xf>
    <xf numFmtId="0" fontId="9" fillId="3" borderId="0" xfId="0" applyFont="1" applyFill="1" applyBorder="1" applyAlignment="1"/>
    <xf numFmtId="0" fontId="9" fillId="3" borderId="0" xfId="0" applyFont="1" applyFill="1" applyBorder="1" applyAlignment="1">
      <alignment vertical="top"/>
    </xf>
    <xf numFmtId="0" fontId="9" fillId="3" borderId="0" xfId="0" applyFont="1" applyFill="1" applyBorder="1" applyAlignment="1">
      <alignment wrapText="1"/>
    </xf>
    <xf numFmtId="0" fontId="9" fillId="2" borderId="5" xfId="0" applyFont="1" applyFill="1" applyBorder="1"/>
    <xf numFmtId="0" fontId="9" fillId="2" borderId="0" xfId="0" applyFont="1" applyFill="1" applyBorder="1"/>
    <xf numFmtId="0" fontId="9" fillId="2" borderId="5" xfId="0" applyFont="1" applyFill="1" applyBorder="1" applyAlignment="1">
      <alignment wrapText="1"/>
    </xf>
    <xf numFmtId="0" fontId="9" fillId="2" borderId="0" xfId="0" applyFont="1" applyFill="1" applyBorder="1" applyAlignment="1">
      <alignment wrapText="1"/>
    </xf>
    <xf numFmtId="0" fontId="9" fillId="2" borderId="2" xfId="0" applyFont="1" applyFill="1" applyBorder="1"/>
    <xf numFmtId="0" fontId="13" fillId="5" borderId="5" xfId="0" applyFont="1" applyFill="1" applyBorder="1" applyAlignment="1">
      <alignment wrapText="1"/>
    </xf>
    <xf numFmtId="0" fontId="13" fillId="5" borderId="2" xfId="0" applyFont="1" applyFill="1" applyBorder="1" applyAlignment="1">
      <alignment wrapText="1"/>
    </xf>
    <xf numFmtId="0" fontId="15" fillId="0" borderId="0" xfId="0" applyFont="1"/>
    <xf numFmtId="3" fontId="9" fillId="0" borderId="0" xfId="0" applyNumberFormat="1" applyFont="1" applyFill="1" applyBorder="1"/>
    <xf numFmtId="3" fontId="9" fillId="0" borderId="6" xfId="0" applyNumberFormat="1" applyFont="1" applyBorder="1"/>
    <xf numFmtId="10" fontId="9" fillId="0" borderId="2" xfId="2" applyNumberFormat="1" applyFont="1" applyBorder="1"/>
    <xf numFmtId="0" fontId="17" fillId="13" borderId="17" xfId="0" applyFont="1" applyFill="1" applyBorder="1" applyAlignment="1">
      <alignment horizontal="center" vertical="center" wrapText="1"/>
    </xf>
    <xf numFmtId="0" fontId="17" fillId="13" borderId="17" xfId="0" applyFont="1" applyFill="1" applyBorder="1" applyAlignment="1">
      <alignment horizontal="left" vertical="center" wrapText="1"/>
    </xf>
    <xf numFmtId="0" fontId="9" fillId="3" borderId="2" xfId="0" applyFont="1" applyFill="1" applyBorder="1"/>
    <xf numFmtId="0" fontId="9" fillId="2" borderId="0" xfId="0" quotePrefix="1" applyFont="1" applyFill="1" applyBorder="1" applyAlignment="1">
      <alignment wrapText="1"/>
    </xf>
    <xf numFmtId="0" fontId="9" fillId="2" borderId="2" xfId="0" quotePrefix="1" applyFont="1" applyFill="1" applyBorder="1" applyAlignment="1">
      <alignment wrapText="1"/>
    </xf>
    <xf numFmtId="0" fontId="9" fillId="2" borderId="6" xfId="0" applyFont="1" applyFill="1" applyBorder="1"/>
    <xf numFmtId="0" fontId="9" fillId="2" borderId="6" xfId="0" applyFont="1" applyFill="1" applyBorder="1" applyAlignment="1">
      <alignment wrapText="1"/>
    </xf>
    <xf numFmtId="10" fontId="9" fillId="0" borderId="6" xfId="2" applyNumberFormat="1" applyFont="1" applyBorder="1"/>
    <xf numFmtId="0" fontId="18" fillId="0" borderId="0" xfId="0" applyFont="1"/>
    <xf numFmtId="0" fontId="0" fillId="0" borderId="0" xfId="0" applyBorder="1"/>
    <xf numFmtId="0" fontId="0" fillId="0" borderId="7" xfId="0" applyBorder="1"/>
    <xf numFmtId="0" fontId="0" fillId="0" borderId="0" xfId="0" applyFill="1" applyBorder="1" applyAlignment="1">
      <alignment horizontal="left"/>
    </xf>
    <xf numFmtId="0" fontId="18" fillId="0" borderId="0" xfId="0" applyFont="1" applyBorder="1" applyAlignment="1">
      <alignment horizontal="left"/>
    </xf>
    <xf numFmtId="0" fontId="0" fillId="0" borderId="10" xfId="0" applyBorder="1"/>
    <xf numFmtId="169" fontId="18" fillId="0" borderId="0" xfId="2" applyNumberFormat="1" applyFont="1" applyBorder="1" applyAlignment="1"/>
    <xf numFmtId="169" fontId="0" fillId="0" borderId="5" xfId="2" applyNumberFormat="1" applyFont="1" applyFill="1" applyBorder="1"/>
    <xf numFmtId="169" fontId="0" fillId="0" borderId="0" xfId="2" applyNumberFormat="1" applyFont="1" applyBorder="1"/>
    <xf numFmtId="169" fontId="0" fillId="0" borderId="0" xfId="2" applyNumberFormat="1" applyFont="1" applyFill="1" applyBorder="1"/>
    <xf numFmtId="0" fontId="0" fillId="0" borderId="13" xfId="0" applyBorder="1"/>
    <xf numFmtId="0" fontId="0" fillId="0" borderId="5" xfId="0" applyBorder="1"/>
    <xf numFmtId="0" fontId="0" fillId="0" borderId="9" xfId="0" applyBorder="1"/>
    <xf numFmtId="0" fontId="0" fillId="0" borderId="3" xfId="0" applyBorder="1"/>
    <xf numFmtId="0" fontId="0" fillId="0" borderId="4" xfId="0" applyFont="1" applyFill="1" applyBorder="1"/>
    <xf numFmtId="0" fontId="0" fillId="0" borderId="9" xfId="0" applyBorder="1" applyAlignment="1">
      <alignment wrapText="1"/>
    </xf>
    <xf numFmtId="0" fontId="0" fillId="0" borderId="3" xfId="0" applyBorder="1" applyAlignment="1">
      <alignment wrapText="1"/>
    </xf>
    <xf numFmtId="0" fontId="0" fillId="0" borderId="4" xfId="0" applyBorder="1" applyAlignment="1">
      <alignment wrapText="1"/>
    </xf>
    <xf numFmtId="169" fontId="0" fillId="0" borderId="2" xfId="2" applyNumberFormat="1" applyFont="1" applyBorder="1"/>
    <xf numFmtId="0" fontId="18" fillId="0" borderId="5" xfId="0" applyFont="1" applyBorder="1" applyAlignment="1">
      <alignment horizontal="left"/>
    </xf>
    <xf numFmtId="169" fontId="0" fillId="0" borderId="13" xfId="2" applyNumberFormat="1" applyFont="1" applyBorder="1"/>
    <xf numFmtId="169" fontId="0" fillId="0" borderId="10" xfId="2" applyNumberFormat="1" applyFont="1" applyBorder="1"/>
    <xf numFmtId="169" fontId="0" fillId="0" borderId="12" xfId="2" applyNumberFormat="1" applyFont="1" applyBorder="1"/>
    <xf numFmtId="169" fontId="0" fillId="0" borderId="7" xfId="2" applyNumberFormat="1" applyFont="1" applyBorder="1"/>
    <xf numFmtId="169" fontId="0" fillId="0" borderId="5" xfId="2" applyNumberFormat="1" applyFont="1" applyBorder="1"/>
    <xf numFmtId="169" fontId="0" fillId="0" borderId="8" xfId="2" applyNumberFormat="1" applyFont="1" applyBorder="1"/>
    <xf numFmtId="0" fontId="11" fillId="3" borderId="0" xfId="0" applyFont="1" applyFill="1" applyBorder="1" applyAlignment="1">
      <alignment vertical="top" wrapText="1"/>
    </xf>
    <xf numFmtId="3" fontId="0" fillId="0" borderId="0" xfId="0" applyNumberFormat="1" applyBorder="1"/>
    <xf numFmtId="0" fontId="0" fillId="0" borderId="5" xfId="0" applyBorder="1" applyAlignment="1">
      <alignment horizontal="left"/>
    </xf>
    <xf numFmtId="170" fontId="9" fillId="0" borderId="0" xfId="0" applyNumberFormat="1" applyFont="1" applyBorder="1"/>
    <xf numFmtId="167" fontId="9" fillId="0" borderId="0" xfId="0" applyNumberFormat="1" applyFont="1" applyBorder="1"/>
    <xf numFmtId="3" fontId="0" fillId="0" borderId="3" xfId="0" applyNumberFormat="1" applyBorder="1" applyAlignment="1">
      <alignment horizontal="center"/>
    </xf>
    <xf numFmtId="3" fontId="18" fillId="0" borderId="0" xfId="0" applyNumberFormat="1" applyFont="1" applyFill="1" applyBorder="1"/>
    <xf numFmtId="3" fontId="0" fillId="0" borderId="0" xfId="0" applyNumberFormat="1" applyFill="1" applyBorder="1"/>
    <xf numFmtId="3" fontId="0" fillId="0" borderId="0" xfId="0" applyNumberFormat="1" applyFont="1" applyBorder="1"/>
    <xf numFmtId="3" fontId="0" fillId="0" borderId="0" xfId="0" applyNumberFormat="1" applyFont="1" applyFill="1" applyBorder="1"/>
    <xf numFmtId="169" fontId="0" fillId="0" borderId="2" xfId="0" applyNumberFormat="1" applyBorder="1"/>
    <xf numFmtId="169" fontId="0" fillId="0" borderId="0" xfId="0" applyNumberFormat="1" applyBorder="1"/>
    <xf numFmtId="9" fontId="6" fillId="3" borderId="0" xfId="2" applyNumberFormat="1" applyFont="1" applyFill="1" applyBorder="1"/>
    <xf numFmtId="9" fontId="0" fillId="3" borderId="0" xfId="2" applyNumberFormat="1" applyFont="1" applyFill="1" applyBorder="1"/>
    <xf numFmtId="12" fontId="0" fillId="3" borderId="2" xfId="2" applyNumberFormat="1" applyFont="1" applyFill="1" applyBorder="1"/>
    <xf numFmtId="169" fontId="6" fillId="0" borderId="0" xfId="2" applyNumberFormat="1" applyFont="1" applyFill="1" applyBorder="1"/>
    <xf numFmtId="169" fontId="6" fillId="0" borderId="0" xfId="2" applyNumberFormat="1" applyFont="1" applyBorder="1"/>
    <xf numFmtId="3" fontId="0" fillId="3" borderId="0" xfId="0" applyNumberFormat="1" applyFont="1" applyFill="1" applyBorder="1"/>
    <xf numFmtId="3" fontId="0" fillId="3" borderId="10" xfId="0" applyNumberFormat="1" applyFont="1" applyFill="1" applyBorder="1"/>
    <xf numFmtId="12" fontId="0" fillId="3" borderId="0" xfId="2" applyNumberFormat="1" applyFont="1" applyFill="1" applyBorder="1" applyAlignment="1">
      <alignment horizontal="right"/>
    </xf>
    <xf numFmtId="0" fontId="10" fillId="0" borderId="0" xfId="0" applyFont="1" applyFill="1" applyBorder="1" applyAlignment="1">
      <alignment vertical="top"/>
    </xf>
    <xf numFmtId="0" fontId="9" fillId="0" borderId="0" xfId="0" applyFont="1" applyFill="1"/>
    <xf numFmtId="0" fontId="11" fillId="0" borderId="0" xfId="0" applyFont="1"/>
    <xf numFmtId="0" fontId="16" fillId="0" borderId="0" xfId="0" applyFont="1" applyAlignment="1">
      <alignment horizontal="left" vertical="center" wrapText="1"/>
    </xf>
    <xf numFmtId="0" fontId="19" fillId="0" borderId="0" xfId="0" applyFont="1" applyBorder="1" applyAlignment="1"/>
    <xf numFmtId="0" fontId="11" fillId="0" borderId="0" xfId="0" applyFont="1" applyFill="1" applyBorder="1"/>
    <xf numFmtId="6" fontId="13" fillId="5" borderId="5" xfId="0" applyNumberFormat="1" applyFont="1" applyFill="1" applyBorder="1" applyAlignment="1">
      <alignment wrapText="1"/>
    </xf>
    <xf numFmtId="169" fontId="0" fillId="0" borderId="5" xfId="0" applyNumberFormat="1" applyBorder="1" applyAlignment="1"/>
    <xf numFmtId="169" fontId="0" fillId="0" borderId="0" xfId="0" applyNumberFormat="1" applyBorder="1" applyAlignment="1"/>
    <xf numFmtId="169" fontId="0" fillId="0" borderId="2" xfId="0" applyNumberFormat="1" applyBorder="1" applyAlignment="1"/>
    <xf numFmtId="3" fontId="0" fillId="0" borderId="10" xfId="0" applyNumberFormat="1" applyFont="1" applyFill="1" applyBorder="1"/>
    <xf numFmtId="0" fontId="21" fillId="0" borderId="0" xfId="0" applyFont="1"/>
    <xf numFmtId="0" fontId="14" fillId="0" borderId="0" xfId="0" applyNumberFormat="1" applyFont="1" applyFill="1" applyBorder="1"/>
    <xf numFmtId="0" fontId="13" fillId="5" borderId="6" xfId="0" applyFont="1" applyFill="1" applyBorder="1" applyAlignment="1">
      <alignment wrapText="1"/>
    </xf>
    <xf numFmtId="3" fontId="11" fillId="0" borderId="3" xfId="0" applyNumberFormat="1" applyFont="1" applyBorder="1"/>
    <xf numFmtId="3" fontId="11" fillId="0" borderId="4" xfId="0" applyNumberFormat="1" applyFont="1" applyBorder="1"/>
    <xf numFmtId="0" fontId="10" fillId="0" borderId="0" xfId="0" applyFont="1" applyFill="1" applyBorder="1"/>
    <xf numFmtId="0" fontId="13" fillId="7" borderId="6" xfId="0" applyFont="1" applyFill="1" applyBorder="1" applyAlignment="1">
      <alignment wrapText="1"/>
    </xf>
    <xf numFmtId="3" fontId="9" fillId="0" borderId="6" xfId="0" applyNumberFormat="1" applyFont="1" applyFill="1" applyBorder="1"/>
    <xf numFmtId="3" fontId="9" fillId="0" borderId="0" xfId="0" applyNumberFormat="1" applyFont="1" applyAlignment="1">
      <alignment horizontal="center" vertical="center"/>
    </xf>
    <xf numFmtId="0" fontId="0" fillId="0" borderId="0" xfId="0" applyFont="1" applyAlignment="1"/>
    <xf numFmtId="3" fontId="22" fillId="0" borderId="0" xfId="0" applyNumberFormat="1" applyFont="1"/>
    <xf numFmtId="0" fontId="22" fillId="0" borderId="0" xfId="0" applyFont="1"/>
    <xf numFmtId="0" fontId="20" fillId="0" borderId="0" xfId="0" applyFont="1" applyAlignment="1">
      <alignment wrapText="1"/>
    </xf>
    <xf numFmtId="0" fontId="0" fillId="0" borderId="0" xfId="0" applyAlignment="1">
      <alignment wrapText="1"/>
    </xf>
    <xf numFmtId="0" fontId="23" fillId="0" borderId="0" xfId="0" applyFont="1" applyAlignment="1">
      <alignment horizontal="left"/>
    </xf>
    <xf numFmtId="3" fontId="9" fillId="0" borderId="5" xfId="0" applyNumberFormat="1" applyFont="1" applyBorder="1" applyAlignment="1">
      <alignment horizontal="right"/>
    </xf>
    <xf numFmtId="3" fontId="9" fillId="0" borderId="5" xfId="0" applyNumberFormat="1" applyFont="1" applyFill="1" applyBorder="1" applyAlignment="1">
      <alignment horizontal="right"/>
    </xf>
    <xf numFmtId="0" fontId="24" fillId="13" borderId="17" xfId="0" applyFont="1" applyFill="1" applyBorder="1" applyAlignment="1">
      <alignment horizontal="center" vertical="center" wrapText="1"/>
    </xf>
    <xf numFmtId="0" fontId="25" fillId="0" borderId="0" xfId="0" applyFont="1" applyAlignment="1">
      <alignment horizontal="left" vertical="center" wrapText="1"/>
    </xf>
    <xf numFmtId="0" fontId="16" fillId="0" borderId="0" xfId="0" applyFont="1" applyAlignment="1">
      <alignment horizontal="left" vertical="center"/>
    </xf>
    <xf numFmtId="0" fontId="24" fillId="13" borderId="18" xfId="0" applyFont="1" applyFill="1" applyBorder="1" applyAlignment="1">
      <alignment horizontal="left" vertical="center" wrapText="1"/>
    </xf>
    <xf numFmtId="0" fontId="24" fillId="13" borderId="0" xfId="0" applyFont="1" applyFill="1" applyBorder="1" applyAlignment="1">
      <alignment horizontal="left" vertical="center" wrapText="1"/>
    </xf>
    <xf numFmtId="0" fontId="24" fillId="13" borderId="19" xfId="0" applyFont="1" applyFill="1" applyBorder="1" applyAlignment="1">
      <alignment horizontal="center" vertical="center" wrapText="1"/>
    </xf>
    <xf numFmtId="3" fontId="9" fillId="0" borderId="0" xfId="0" applyNumberFormat="1" applyFont="1" applyFill="1" applyBorder="1" applyAlignment="1">
      <alignment horizontal="right"/>
    </xf>
    <xf numFmtId="3" fontId="9" fillId="0" borderId="2" xfId="0" applyNumberFormat="1" applyFont="1" applyFill="1" applyBorder="1"/>
    <xf numFmtId="0" fontId="11" fillId="0" borderId="0" xfId="0" applyFont="1" applyBorder="1"/>
    <xf numFmtId="0" fontId="11" fillId="3" borderId="0" xfId="0" applyFont="1" applyFill="1" applyBorder="1" applyAlignment="1">
      <alignment vertical="center"/>
    </xf>
    <xf numFmtId="0" fontId="9" fillId="14" borderId="2" xfId="0" applyFont="1" applyFill="1" applyBorder="1" applyAlignment="1">
      <alignment wrapText="1"/>
    </xf>
    <xf numFmtId="0" fontId="9" fillId="14" borderId="6" xfId="0" applyFont="1" applyFill="1" applyBorder="1" applyAlignment="1">
      <alignment wrapText="1"/>
    </xf>
    <xf numFmtId="0" fontId="20" fillId="0" borderId="0" xfId="0" applyFont="1" applyBorder="1"/>
    <xf numFmtId="0" fontId="20" fillId="0" borderId="0" xfId="0" applyFont="1"/>
    <xf numFmtId="0" fontId="26" fillId="0" borderId="0" xfId="0" applyFont="1"/>
    <xf numFmtId="0" fontId="0" fillId="0" borderId="0" xfId="0" applyAlignment="1">
      <alignment horizontal="right"/>
    </xf>
    <xf numFmtId="169" fontId="0" fillId="0" borderId="7" xfId="2" applyNumberFormat="1" applyFont="1" applyFill="1" applyBorder="1"/>
    <xf numFmtId="0" fontId="9" fillId="3" borderId="0" xfId="0" applyFont="1" applyFill="1" applyBorder="1" applyAlignment="1">
      <alignment horizontal="left" wrapText="1"/>
    </xf>
    <xf numFmtId="0" fontId="14" fillId="0" borderId="0" xfId="0" applyNumberFormat="1" applyFont="1" applyFill="1"/>
    <xf numFmtId="0" fontId="28" fillId="0" borderId="10" xfId="0" applyFont="1" applyFill="1" applyBorder="1" applyAlignment="1">
      <alignment horizontal="left" vertical="center"/>
    </xf>
    <xf numFmtId="0" fontId="29" fillId="0" borderId="0" xfId="0" applyFont="1" applyFill="1" applyBorder="1" applyAlignment="1"/>
    <xf numFmtId="0" fontId="29" fillId="0" borderId="10" xfId="0" applyFont="1" applyFill="1" applyBorder="1" applyAlignment="1">
      <alignment horizontal="center" vertical="center"/>
    </xf>
    <xf numFmtId="0" fontId="29" fillId="0" borderId="10" xfId="0" applyFont="1" applyFill="1" applyBorder="1" applyAlignment="1">
      <alignment vertical="center"/>
    </xf>
    <xf numFmtId="0" fontId="29" fillId="0" borderId="0" xfId="0" applyFont="1" applyFill="1" applyBorder="1" applyAlignment="1">
      <alignment horizontal="left" vertical="center"/>
    </xf>
    <xf numFmtId="0" fontId="29" fillId="0" borderId="10" xfId="0" applyFont="1" applyFill="1" applyBorder="1" applyAlignment="1">
      <alignment horizontal="left" vertical="center"/>
    </xf>
    <xf numFmtId="0" fontId="29" fillId="0" borderId="0" xfId="0" applyFont="1" applyFill="1" applyBorder="1"/>
    <xf numFmtId="0" fontId="29" fillId="16" borderId="10" xfId="0" applyFont="1" applyFill="1" applyBorder="1" applyAlignment="1">
      <alignment horizontal="left" vertical="center"/>
    </xf>
    <xf numFmtId="0" fontId="29" fillId="0" borderId="12" xfId="0" applyFont="1" applyFill="1" applyBorder="1" applyAlignment="1">
      <alignment horizontal="left" vertical="center"/>
    </xf>
    <xf numFmtId="0" fontId="2" fillId="16" borderId="0" xfId="0" applyFont="1" applyFill="1" applyBorder="1"/>
    <xf numFmtId="0" fontId="1" fillId="16" borderId="5" xfId="0" applyFont="1" applyFill="1" applyBorder="1" applyAlignment="1"/>
    <xf numFmtId="0" fontId="1" fillId="16" borderId="0" xfId="0" applyFont="1" applyFill="1" applyBorder="1" applyAlignment="1">
      <alignment vertical="top" wrapText="1"/>
    </xf>
    <xf numFmtId="0" fontId="1" fillId="19" borderId="13" xfId="0" applyFont="1" applyFill="1" applyBorder="1" applyAlignment="1">
      <alignment vertical="center" wrapText="1"/>
    </xf>
    <xf numFmtId="0" fontId="1" fillId="19" borderId="12" xfId="0" applyFont="1" applyFill="1" applyBorder="1" applyAlignment="1">
      <alignment vertical="top" wrapText="1"/>
    </xf>
    <xf numFmtId="0" fontId="1" fillId="20" borderId="5" xfId="0" applyFont="1" applyFill="1" applyBorder="1" applyAlignment="1">
      <alignment vertical="top" wrapText="1"/>
    </xf>
    <xf numFmtId="0" fontId="1" fillId="20" borderId="0" xfId="0" applyFont="1" applyFill="1" applyBorder="1" applyAlignment="1">
      <alignment vertical="top" wrapText="1"/>
    </xf>
    <xf numFmtId="0" fontId="1" fillId="21" borderId="5" xfId="0" applyFont="1" applyFill="1" applyBorder="1" applyAlignment="1">
      <alignment vertical="top" wrapText="1"/>
    </xf>
    <xf numFmtId="0" fontId="1" fillId="21" borderId="2" xfId="0" applyFont="1" applyFill="1" applyBorder="1" applyAlignment="1">
      <alignment vertical="top" wrapText="1"/>
    </xf>
    <xf numFmtId="0" fontId="1" fillId="22" borderId="5" xfId="0" applyFont="1" applyFill="1" applyBorder="1" applyAlignment="1">
      <alignment vertical="top" wrapText="1"/>
    </xf>
    <xf numFmtId="0" fontId="1" fillId="22" borderId="0" xfId="0" applyFont="1" applyFill="1" applyBorder="1" applyAlignment="1">
      <alignment vertical="top" wrapText="1"/>
    </xf>
    <xf numFmtId="0" fontId="1" fillId="23" borderId="5" xfId="0" applyFont="1" applyFill="1" applyBorder="1" applyAlignment="1">
      <alignment vertical="top" wrapText="1"/>
    </xf>
    <xf numFmtId="0" fontId="1" fillId="23" borderId="0" xfId="0" applyFont="1" applyFill="1" applyBorder="1" applyAlignment="1">
      <alignment vertical="top" wrapText="1"/>
    </xf>
    <xf numFmtId="0" fontId="1" fillId="19" borderId="5" xfId="0" applyFont="1" applyFill="1" applyBorder="1" applyAlignment="1">
      <alignment vertical="top" wrapText="1"/>
    </xf>
    <xf numFmtId="0" fontId="1" fillId="19" borderId="0" xfId="0" applyFont="1" applyFill="1" applyBorder="1" applyAlignment="1">
      <alignment vertical="top" wrapText="1"/>
    </xf>
    <xf numFmtId="0" fontId="1" fillId="25" borderId="5" xfId="0" applyFont="1" applyFill="1" applyBorder="1" applyAlignment="1">
      <alignment vertical="top" wrapText="1"/>
    </xf>
    <xf numFmtId="0" fontId="1" fillId="25" borderId="0" xfId="0" applyFont="1" applyFill="1" applyBorder="1" applyAlignment="1">
      <alignment vertical="top" wrapText="1"/>
    </xf>
    <xf numFmtId="0" fontId="1" fillId="26" borderId="5" xfId="0" applyFont="1" applyFill="1" applyBorder="1" applyAlignment="1">
      <alignment vertical="top" wrapText="1"/>
    </xf>
    <xf numFmtId="0" fontId="1" fillId="26" borderId="2" xfId="0" applyFont="1" applyFill="1" applyBorder="1" applyAlignment="1">
      <alignment vertical="top" wrapText="1"/>
    </xf>
    <xf numFmtId="0" fontId="2" fillId="16" borderId="5" xfId="0" applyFont="1" applyFill="1" applyBorder="1" applyAlignment="1">
      <alignment wrapText="1"/>
    </xf>
    <xf numFmtId="0" fontId="2" fillId="16" borderId="0" xfId="0" applyFont="1" applyFill="1" applyBorder="1" applyAlignment="1">
      <alignment wrapText="1"/>
    </xf>
    <xf numFmtId="0" fontId="1" fillId="19" borderId="8" xfId="0" applyFont="1" applyFill="1" applyBorder="1" applyAlignment="1">
      <alignment vertical="center" wrapText="1"/>
    </xf>
    <xf numFmtId="0" fontId="2" fillId="19" borderId="7" xfId="0" applyFont="1" applyFill="1" applyBorder="1" applyAlignment="1">
      <alignment wrapText="1"/>
    </xf>
    <xf numFmtId="0" fontId="1" fillId="19" borderId="7" xfId="0" applyFont="1" applyFill="1" applyBorder="1" applyAlignment="1">
      <alignment wrapText="1"/>
    </xf>
    <xf numFmtId="0" fontId="1" fillId="20" borderId="5" xfId="0" applyFont="1" applyFill="1" applyBorder="1" applyAlignment="1">
      <alignment vertical="center" wrapText="1"/>
    </xf>
    <xf numFmtId="0" fontId="2" fillId="20" borderId="0" xfId="0" applyFont="1" applyFill="1" applyBorder="1" applyAlignment="1">
      <alignment wrapText="1"/>
    </xf>
    <xf numFmtId="0" fontId="1" fillId="20" borderId="0" xfId="0" applyFont="1" applyFill="1" applyBorder="1" applyAlignment="1">
      <alignment vertical="center" wrapText="1"/>
    </xf>
    <xf numFmtId="0" fontId="1" fillId="21" borderId="5" xfId="0" applyFont="1" applyFill="1" applyBorder="1" applyAlignment="1">
      <alignment vertical="center" wrapText="1"/>
    </xf>
    <xf numFmtId="0" fontId="2" fillId="21" borderId="0" xfId="0" applyFont="1" applyFill="1" applyBorder="1" applyAlignment="1">
      <alignment wrapText="1"/>
    </xf>
    <xf numFmtId="0" fontId="2" fillId="17" borderId="8" xfId="0" applyFont="1" applyFill="1" applyBorder="1" applyAlignment="1">
      <alignment horizontal="left" wrapText="1"/>
    </xf>
    <xf numFmtId="0" fontId="2" fillId="17" borderId="7" xfId="0" applyFont="1" applyFill="1" applyBorder="1" applyAlignment="1">
      <alignment horizontal="left" wrapText="1"/>
    </xf>
    <xf numFmtId="0" fontId="1" fillId="22" borderId="5" xfId="0" applyFont="1" applyFill="1" applyBorder="1" applyAlignment="1">
      <alignment vertical="center" wrapText="1"/>
    </xf>
    <xf numFmtId="0" fontId="2" fillId="22" borderId="0" xfId="0" applyFont="1" applyFill="1" applyBorder="1" applyAlignment="1">
      <alignment wrapText="1"/>
    </xf>
    <xf numFmtId="0" fontId="1" fillId="22" borderId="0" xfId="0" applyFont="1" applyFill="1" applyBorder="1" applyAlignment="1">
      <alignment vertical="center" wrapText="1"/>
    </xf>
    <xf numFmtId="0" fontId="1" fillId="23" borderId="5" xfId="0" applyFont="1" applyFill="1" applyBorder="1" applyAlignment="1">
      <alignment vertical="center" wrapText="1"/>
    </xf>
    <xf numFmtId="0" fontId="2" fillId="23" borderId="0" xfId="0" applyFont="1" applyFill="1" applyBorder="1" applyAlignment="1">
      <alignment wrapText="1"/>
    </xf>
    <xf numFmtId="0" fontId="1" fillId="23" borderId="0" xfId="0" applyFont="1" applyFill="1" applyBorder="1" applyAlignment="1">
      <alignment vertical="center" wrapText="1"/>
    </xf>
    <xf numFmtId="0" fontId="1" fillId="19" borderId="5" xfId="0" applyFont="1" applyFill="1" applyBorder="1" applyAlignment="1">
      <alignment vertical="center" wrapText="1"/>
    </xf>
    <xf numFmtId="0" fontId="2" fillId="19" borderId="0" xfId="0" applyFont="1" applyFill="1" applyBorder="1" applyAlignment="1">
      <alignment wrapText="1"/>
    </xf>
    <xf numFmtId="0" fontId="1" fillId="19" borderId="0" xfId="0" applyFont="1" applyFill="1" applyBorder="1" applyAlignment="1">
      <alignment vertical="center" wrapText="1"/>
    </xf>
    <xf numFmtId="0" fontId="1" fillId="21" borderId="2" xfId="0" applyFont="1" applyFill="1" applyBorder="1" applyAlignment="1">
      <alignment vertical="center" wrapText="1"/>
    </xf>
    <xf numFmtId="0" fontId="1" fillId="25" borderId="5" xfId="0" applyFont="1" applyFill="1" applyBorder="1" applyAlignment="1">
      <alignment vertical="center" wrapText="1"/>
    </xf>
    <xf numFmtId="0" fontId="2" fillId="25" borderId="0" xfId="0" applyFont="1" applyFill="1" applyBorder="1" applyAlignment="1">
      <alignment wrapText="1"/>
    </xf>
    <xf numFmtId="0" fontId="1" fillId="25" borderId="0" xfId="0" applyFont="1" applyFill="1" applyBorder="1" applyAlignment="1">
      <alignment vertical="center" wrapText="1"/>
    </xf>
    <xf numFmtId="0" fontId="1" fillId="26" borderId="5" xfId="0" applyFont="1" applyFill="1" applyBorder="1" applyAlignment="1">
      <alignment vertical="center" wrapText="1"/>
    </xf>
    <xf numFmtId="0" fontId="2" fillId="26" borderId="0" xfId="0" applyFont="1" applyFill="1" applyBorder="1" applyAlignment="1">
      <alignment wrapText="1"/>
    </xf>
    <xf numFmtId="0" fontId="1" fillId="26" borderId="2" xfId="0" applyFont="1" applyFill="1" applyBorder="1" applyAlignment="1">
      <alignment vertical="center" wrapText="1"/>
    </xf>
    <xf numFmtId="0" fontId="31" fillId="0" borderId="0" xfId="0" applyFont="1" applyFill="1" applyBorder="1"/>
    <xf numFmtId="0" fontId="31" fillId="0" borderId="0" xfId="0" applyFont="1" applyFill="1" applyBorder="1" applyAlignment="1">
      <alignment horizontal="left" indent="1"/>
    </xf>
    <xf numFmtId="3" fontId="31" fillId="0" borderId="10" xfId="0" applyNumberFormat="1" applyFont="1" applyFill="1" applyBorder="1" applyAlignment="1">
      <alignment horizontal="center" vertical="center"/>
    </xf>
    <xf numFmtId="3" fontId="31" fillId="0" borderId="0" xfId="0" applyNumberFormat="1" applyFont="1" applyFill="1" applyBorder="1" applyAlignment="1">
      <alignment horizontal="center" vertical="center"/>
    </xf>
    <xf numFmtId="9" fontId="31" fillId="0" borderId="0" xfId="2" applyFont="1" applyFill="1" applyBorder="1"/>
    <xf numFmtId="9" fontId="31" fillId="0" borderId="0" xfId="2" applyFont="1" applyFill="1" applyBorder="1" applyAlignment="1">
      <alignment horizontal="center" vertical="center"/>
    </xf>
    <xf numFmtId="1" fontId="31" fillId="0" borderId="0" xfId="0" applyNumberFormat="1" applyFont="1" applyFill="1" applyBorder="1"/>
    <xf numFmtId="9" fontId="31" fillId="0" borderId="0" xfId="2" applyNumberFormat="1" applyFont="1" applyFill="1" applyBorder="1" applyAlignment="1">
      <alignment horizontal="center" vertical="center"/>
    </xf>
    <xf numFmtId="3" fontId="31" fillId="0" borderId="7" xfId="0" applyNumberFormat="1" applyFont="1" applyFill="1" applyBorder="1" applyAlignment="1">
      <alignment horizontal="center" vertical="center"/>
    </xf>
    <xf numFmtId="0" fontId="1" fillId="0" borderId="3" xfId="0" applyFont="1" applyFill="1" applyBorder="1" applyAlignment="1">
      <alignment horizontal="left"/>
    </xf>
    <xf numFmtId="0" fontId="1" fillId="0" borderId="3" xfId="0" applyFont="1" applyFill="1" applyBorder="1" applyAlignment="1">
      <alignment horizontal="right" indent="1"/>
    </xf>
    <xf numFmtId="3" fontId="1" fillId="0" borderId="3" xfId="0" applyNumberFormat="1" applyFont="1" applyFill="1" applyBorder="1" applyAlignment="1">
      <alignment horizontal="right" vertical="center"/>
    </xf>
    <xf numFmtId="9" fontId="1" fillId="0" borderId="3" xfId="0" applyNumberFormat="1" applyFont="1" applyFill="1" applyBorder="1" applyAlignment="1">
      <alignment horizontal="right" vertical="center"/>
    </xf>
    <xf numFmtId="3" fontId="9" fillId="0" borderId="0" xfId="2" applyNumberFormat="1" applyFont="1" applyBorder="1"/>
    <xf numFmtId="0" fontId="2" fillId="27" borderId="5" xfId="0" applyFont="1" applyFill="1" applyBorder="1" applyAlignment="1">
      <alignment wrapText="1"/>
    </xf>
    <xf numFmtId="0" fontId="2" fillId="27" borderId="0" xfId="0" applyFont="1" applyFill="1" applyBorder="1" applyAlignment="1">
      <alignment wrapText="1"/>
    </xf>
    <xf numFmtId="0" fontId="1" fillId="27" borderId="0" xfId="0" applyFont="1" applyFill="1" applyBorder="1" applyAlignment="1">
      <alignment wrapText="1"/>
    </xf>
    <xf numFmtId="0" fontId="2" fillId="28" borderId="5" xfId="0" applyFont="1" applyFill="1" applyBorder="1" applyAlignment="1">
      <alignment wrapText="1"/>
    </xf>
    <xf numFmtId="0" fontId="2" fillId="28" borderId="0" xfId="0" applyFont="1" applyFill="1" applyBorder="1" applyAlignment="1">
      <alignment wrapText="1"/>
    </xf>
    <xf numFmtId="0" fontId="1" fillId="28" borderId="0" xfId="0" applyFont="1" applyFill="1" applyBorder="1" applyAlignment="1">
      <alignment wrapText="1"/>
    </xf>
    <xf numFmtId="0" fontId="2" fillId="29" borderId="8" xfId="0" applyFont="1" applyFill="1" applyBorder="1" applyAlignment="1">
      <alignment horizontal="left" wrapText="1"/>
    </xf>
    <xf numFmtId="0" fontId="2" fillId="29" borderId="7" xfId="0" applyFont="1" applyFill="1" applyBorder="1" applyAlignment="1">
      <alignment horizontal="left" wrapText="1"/>
    </xf>
    <xf numFmtId="0" fontId="1" fillId="28" borderId="5" xfId="0" applyFont="1" applyFill="1" applyBorder="1" applyAlignment="1">
      <alignment vertical="top" wrapText="1"/>
    </xf>
    <xf numFmtId="0" fontId="1" fillId="28" borderId="0" xfId="0" applyFont="1" applyFill="1" applyBorder="1" applyAlignment="1">
      <alignment vertical="top" wrapText="1"/>
    </xf>
    <xf numFmtId="0" fontId="27" fillId="29" borderId="13" xfId="0" applyFont="1" applyFill="1" applyBorder="1" applyAlignment="1">
      <alignment vertical="top" wrapText="1"/>
    </xf>
    <xf numFmtId="0" fontId="27" fillId="29" borderId="10" xfId="0" applyFont="1" applyFill="1" applyBorder="1" applyAlignment="1">
      <alignment vertical="top" wrapText="1"/>
    </xf>
    <xf numFmtId="0" fontId="27" fillId="29" borderId="12" xfId="0" applyFont="1" applyFill="1" applyBorder="1" applyAlignment="1">
      <alignment vertical="top" wrapText="1"/>
    </xf>
    <xf numFmtId="0" fontId="29" fillId="29" borderId="8" xfId="0" applyFont="1" applyFill="1" applyBorder="1" applyAlignment="1">
      <alignment wrapText="1"/>
    </xf>
    <xf numFmtId="0" fontId="29" fillId="29" borderId="7" xfId="0" applyFont="1" applyFill="1" applyBorder="1" applyAlignment="1">
      <alignment wrapText="1"/>
    </xf>
    <xf numFmtId="0" fontId="27" fillId="29" borderId="11" xfId="0" applyFont="1" applyFill="1" applyBorder="1" applyAlignment="1">
      <alignment wrapText="1"/>
    </xf>
    <xf numFmtId="0" fontId="1" fillId="30" borderId="13" xfId="0" applyFont="1" applyFill="1" applyBorder="1" applyAlignment="1">
      <alignment vertical="center" wrapText="1"/>
    </xf>
    <xf numFmtId="0" fontId="1" fillId="30" borderId="10" xfId="0" applyFont="1" applyFill="1" applyBorder="1" applyAlignment="1">
      <alignment horizontal="center" wrapText="1"/>
    </xf>
    <xf numFmtId="0" fontId="1" fillId="30" borderId="12" xfId="0" applyFont="1" applyFill="1" applyBorder="1" applyAlignment="1">
      <alignment vertical="top" wrapText="1"/>
    </xf>
    <xf numFmtId="0" fontId="1" fillId="30" borderId="8" xfId="0" applyFont="1" applyFill="1" applyBorder="1" applyAlignment="1">
      <alignment vertical="center" wrapText="1"/>
    </xf>
    <xf numFmtId="0" fontId="2" fillId="30" borderId="7" xfId="0" applyFont="1" applyFill="1" applyBorder="1" applyAlignment="1">
      <alignment wrapText="1"/>
    </xf>
    <xf numFmtId="0" fontId="1" fillId="30" borderId="7" xfId="0" applyFont="1" applyFill="1" applyBorder="1" applyAlignment="1">
      <alignment wrapText="1"/>
    </xf>
    <xf numFmtId="0" fontId="2" fillId="30" borderId="7" xfId="0" applyFont="1" applyFill="1" applyBorder="1" applyAlignment="1">
      <alignment vertical="center" wrapText="1"/>
    </xf>
    <xf numFmtId="0" fontId="1" fillId="30" borderId="11" xfId="0" applyFont="1" applyFill="1" applyBorder="1" applyAlignment="1">
      <alignment vertical="center" wrapText="1"/>
    </xf>
    <xf numFmtId="0" fontId="13" fillId="5" borderId="0" xfId="0" applyFont="1" applyFill="1" applyBorder="1" applyAlignment="1">
      <alignment wrapText="1"/>
    </xf>
    <xf numFmtId="3" fontId="9" fillId="0" borderId="6" xfId="2" applyNumberFormat="1" applyFont="1" applyBorder="1"/>
    <xf numFmtId="0" fontId="33" fillId="13" borderId="17" xfId="0" applyFont="1" applyFill="1" applyBorder="1" applyAlignment="1">
      <alignment horizontal="center" vertical="center" wrapText="1"/>
    </xf>
    <xf numFmtId="14" fontId="9" fillId="0" borderId="0" xfId="0" applyNumberFormat="1" applyFont="1" applyAlignment="1">
      <alignment horizontal="left"/>
    </xf>
    <xf numFmtId="4" fontId="0" fillId="0" borderId="0" xfId="0" applyNumberFormat="1"/>
    <xf numFmtId="0" fontId="17" fillId="13" borderId="19" xfId="0" applyFont="1" applyFill="1" applyBorder="1" applyAlignment="1">
      <alignment horizontal="center" vertical="center" wrapText="1"/>
    </xf>
    <xf numFmtId="0" fontId="2" fillId="0" borderId="0" xfId="0" applyNumberFormat="1" applyFont="1" applyFill="1" applyBorder="1"/>
    <xf numFmtId="3" fontId="9" fillId="0" borderId="5" xfId="2" applyNumberFormat="1" applyFont="1" applyBorder="1"/>
    <xf numFmtId="167" fontId="0" fillId="0" borderId="0" xfId="0" applyNumberFormat="1"/>
    <xf numFmtId="172" fontId="20" fillId="5" borderId="0" xfId="1" applyNumberFormat="1" applyFont="1" applyFill="1"/>
    <xf numFmtId="0" fontId="0" fillId="5" borderId="13" xfId="0" applyFill="1" applyBorder="1"/>
    <xf numFmtId="0" fontId="0" fillId="5" borderId="10" xfId="0" applyFill="1" applyBorder="1"/>
    <xf numFmtId="172" fontId="20" fillId="5" borderId="14" xfId="1" applyNumberFormat="1" applyFont="1" applyFill="1" applyBorder="1"/>
    <xf numFmtId="0" fontId="20" fillId="5" borderId="8" xfId="0" applyFont="1" applyFill="1" applyBorder="1" applyAlignment="1">
      <alignment horizontal="left"/>
    </xf>
    <xf numFmtId="0" fontId="0" fillId="5" borderId="7" xfId="0" applyFill="1" applyBorder="1" applyAlignment="1">
      <alignment horizontal="left"/>
    </xf>
    <xf numFmtId="172" fontId="20" fillId="5" borderId="15" xfId="1" applyNumberFormat="1" applyFont="1" applyFill="1" applyBorder="1"/>
    <xf numFmtId="0" fontId="0" fillId="0" borderId="13" xfId="0" applyBorder="1" applyAlignment="1">
      <alignment horizontal="left" indent="1"/>
    </xf>
    <xf numFmtId="0" fontId="0" fillId="0" borderId="5" xfId="0" applyBorder="1" applyAlignment="1">
      <alignment horizontal="left" indent="1"/>
    </xf>
    <xf numFmtId="0" fontId="0" fillId="0" borderId="8" xfId="0" applyBorder="1" applyAlignment="1">
      <alignment horizontal="left" indent="1"/>
    </xf>
    <xf numFmtId="0" fontId="0" fillId="0" borderId="0" xfId="0" applyFill="1" applyBorder="1"/>
    <xf numFmtId="0" fontId="0" fillId="3" borderId="0" xfId="0" applyFill="1"/>
    <xf numFmtId="3" fontId="9" fillId="3" borderId="0" xfId="0" applyNumberFormat="1" applyFont="1" applyFill="1" applyAlignment="1">
      <alignment horizontal="center" vertical="center"/>
    </xf>
    <xf numFmtId="3" fontId="9" fillId="3" borderId="0" xfId="0" applyNumberFormat="1" applyFont="1" applyFill="1" applyBorder="1" applyAlignment="1">
      <alignment horizontal="center" vertical="center"/>
    </xf>
    <xf numFmtId="3" fontId="0" fillId="0" borderId="0" xfId="0" applyNumberFormat="1"/>
    <xf numFmtId="10" fontId="0" fillId="0" borderId="0" xfId="0" applyNumberFormat="1"/>
    <xf numFmtId="0" fontId="20" fillId="0" borderId="9" xfId="0" applyFont="1" applyBorder="1" applyAlignment="1">
      <alignment horizontal="left" vertical="top" wrapText="1"/>
    </xf>
    <xf numFmtId="0" fontId="20" fillId="0" borderId="3" xfId="0" applyFont="1" applyBorder="1" applyAlignment="1">
      <alignment horizontal="left" vertical="top" wrapText="1"/>
    </xf>
    <xf numFmtId="0" fontId="20" fillId="0" borderId="3" xfId="0" applyFont="1" applyBorder="1" applyAlignment="1">
      <alignment horizontal="center" vertical="top" wrapText="1"/>
    </xf>
    <xf numFmtId="0" fontId="20" fillId="0" borderId="4" xfId="0" applyFont="1" applyBorder="1" applyAlignment="1">
      <alignment horizontal="center" vertical="top" wrapText="1"/>
    </xf>
    <xf numFmtId="170" fontId="0" fillId="0" borderId="0" xfId="0" applyNumberFormat="1"/>
    <xf numFmtId="0" fontId="20" fillId="0" borderId="9" xfId="0" applyFont="1" applyBorder="1"/>
    <xf numFmtId="0" fontId="20" fillId="0" borderId="3" xfId="0" applyFont="1" applyBorder="1"/>
    <xf numFmtId="3" fontId="20" fillId="0" borderId="3" xfId="0" applyNumberFormat="1" applyFont="1" applyBorder="1"/>
    <xf numFmtId="168" fontId="20" fillId="0" borderId="3" xfId="0" applyNumberFormat="1" applyFont="1" applyBorder="1"/>
    <xf numFmtId="167" fontId="20" fillId="0" borderId="3" xfId="0" applyNumberFormat="1" applyFont="1" applyBorder="1"/>
    <xf numFmtId="3" fontId="20" fillId="0" borderId="4" xfId="0" applyNumberFormat="1" applyFont="1" applyBorder="1"/>
    <xf numFmtId="0" fontId="0" fillId="0" borderId="0" xfId="0" applyAlignment="1">
      <alignment horizontal="left" indent="1"/>
    </xf>
    <xf numFmtId="0" fontId="0" fillId="5" borderId="13" xfId="0" applyFill="1" applyBorder="1" applyAlignment="1">
      <alignment horizontal="left" indent="1"/>
    </xf>
    <xf numFmtId="172" fontId="20" fillId="5" borderId="10" xfId="1" applyNumberFormat="1" applyFont="1" applyFill="1" applyBorder="1"/>
    <xf numFmtId="0" fontId="0" fillId="0" borderId="7" xfId="0" applyBorder="1" applyAlignment="1">
      <alignment horizontal="left" indent="1"/>
    </xf>
    <xf numFmtId="172" fontId="20" fillId="5" borderId="7" xfId="1" applyNumberFormat="1" applyFont="1" applyFill="1" applyBorder="1"/>
    <xf numFmtId="0" fontId="0" fillId="0" borderId="11" xfId="0" applyBorder="1"/>
    <xf numFmtId="0" fontId="0" fillId="0" borderId="0" xfId="0" applyBorder="1" applyAlignment="1">
      <alignment horizontal="left" indent="1"/>
    </xf>
    <xf numFmtId="172" fontId="20" fillId="5" borderId="0" xfId="1" applyNumberFormat="1" applyFont="1" applyFill="1" applyBorder="1"/>
    <xf numFmtId="0" fontId="0" fillId="0" borderId="0" xfId="0" applyFont="1" applyFill="1" applyAlignment="1">
      <alignment horizontal="left" vertical="center"/>
    </xf>
    <xf numFmtId="0" fontId="0" fillId="0" borderId="0" xfId="0" applyBorder="1" applyAlignment="1">
      <alignment horizontal="left"/>
    </xf>
    <xf numFmtId="0" fontId="0" fillId="0" borderId="0" xfId="0" applyBorder="1" applyAlignment="1">
      <alignment horizontal="left"/>
    </xf>
    <xf numFmtId="0" fontId="0" fillId="0" borderId="2" xfId="0" quotePrefix="1" applyBorder="1" applyAlignment="1">
      <alignment horizontal="left"/>
    </xf>
    <xf numFmtId="0" fontId="18" fillId="0" borderId="8" xfId="0" applyFont="1" applyBorder="1"/>
    <xf numFmtId="0" fontId="0" fillId="0" borderId="11" xfId="0" quotePrefix="1" applyBorder="1"/>
    <xf numFmtId="3" fontId="0" fillId="3" borderId="5" xfId="0" applyNumberFormat="1" applyFont="1" applyFill="1" applyBorder="1"/>
    <xf numFmtId="3" fontId="0" fillId="0" borderId="2" xfId="0" applyNumberFormat="1" applyFont="1" applyFill="1" applyBorder="1"/>
    <xf numFmtId="0" fontId="11" fillId="15" borderId="2" xfId="0" applyFont="1" applyFill="1" applyBorder="1" applyAlignment="1">
      <alignment horizontal="left" vertical="center" wrapText="1"/>
    </xf>
    <xf numFmtId="0" fontId="11" fillId="15" borderId="5" xfId="0" applyFont="1" applyFill="1" applyBorder="1" applyAlignment="1">
      <alignment horizontal="left" vertical="center" wrapText="1"/>
    </xf>
    <xf numFmtId="0" fontId="12" fillId="12" borderId="0" xfId="0" applyFont="1" applyFill="1" applyBorder="1" applyAlignment="1">
      <alignment vertical="center"/>
    </xf>
    <xf numFmtId="0" fontId="14" fillId="0" borderId="0" xfId="0" applyFont="1" applyBorder="1"/>
    <xf numFmtId="0" fontId="9" fillId="2" borderId="2" xfId="0" applyFont="1" applyFill="1" applyBorder="1" applyAlignment="1">
      <alignment wrapText="1"/>
    </xf>
    <xf numFmtId="10" fontId="9" fillId="0" borderId="2" xfId="0" applyNumberFormat="1" applyFont="1" applyBorder="1"/>
    <xf numFmtId="10" fontId="9" fillId="0" borderId="11" xfId="2" applyNumberFormat="1" applyFont="1" applyBorder="1"/>
    <xf numFmtId="3" fontId="0" fillId="0" borderId="7" xfId="0" applyNumberFormat="1" applyFont="1" applyFill="1" applyBorder="1"/>
    <xf numFmtId="0" fontId="23" fillId="0" borderId="0" xfId="0" applyFont="1" applyFill="1" applyAlignment="1">
      <alignment horizontal="left"/>
    </xf>
    <xf numFmtId="4" fontId="23" fillId="0" borderId="0" xfId="0" applyNumberFormat="1" applyFont="1" applyFill="1" applyAlignment="1">
      <alignment horizontal="right"/>
    </xf>
    <xf numFmtId="4" fontId="16" fillId="0" borderId="0" xfId="0" applyNumberFormat="1" applyFont="1" applyAlignment="1">
      <alignment horizontal="right" vertical="center" indent="3"/>
    </xf>
    <xf numFmtId="166" fontId="16" fillId="0" borderId="0" xfId="0" applyNumberFormat="1" applyFont="1" applyAlignment="1">
      <alignment horizontal="right" vertical="center" indent="3"/>
    </xf>
    <xf numFmtId="4" fontId="17" fillId="13" borderId="17" xfId="0" applyNumberFormat="1" applyFont="1" applyFill="1" applyBorder="1" applyAlignment="1">
      <alignment horizontal="right" vertical="center" indent="3"/>
    </xf>
    <xf numFmtId="166" fontId="17" fillId="13" borderId="17" xfId="0" applyNumberFormat="1" applyFont="1" applyFill="1" applyBorder="1" applyAlignment="1">
      <alignment horizontal="right" vertical="center" indent="3"/>
    </xf>
    <xf numFmtId="0" fontId="35" fillId="0" borderId="0" xfId="4"/>
    <xf numFmtId="3" fontId="16" fillId="0" borderId="0" xfId="0" applyNumberFormat="1" applyFont="1" applyAlignment="1">
      <alignment horizontal="right" vertical="center" indent="3"/>
    </xf>
    <xf numFmtId="165" fontId="16" fillId="0" borderId="0" xfId="0" applyNumberFormat="1" applyFont="1" applyAlignment="1">
      <alignment horizontal="right" vertical="center" indent="3"/>
    </xf>
    <xf numFmtId="3" fontId="17" fillId="13" borderId="17" xfId="0" applyNumberFormat="1" applyFont="1" applyFill="1" applyBorder="1" applyAlignment="1">
      <alignment horizontal="right" vertical="center" indent="3"/>
    </xf>
    <xf numFmtId="165" fontId="17" fillId="13" borderId="17" xfId="0" applyNumberFormat="1" applyFont="1" applyFill="1" applyBorder="1" applyAlignment="1">
      <alignment horizontal="right" vertical="center" indent="3"/>
    </xf>
    <xf numFmtId="2" fontId="16" fillId="0" borderId="0" xfId="0" applyNumberFormat="1" applyFont="1" applyAlignment="1">
      <alignment horizontal="right" vertical="center" indent="3"/>
    </xf>
    <xf numFmtId="2" fontId="17" fillId="13" borderId="17" xfId="0" applyNumberFormat="1" applyFont="1" applyFill="1" applyBorder="1" applyAlignment="1">
      <alignment horizontal="right" vertical="center" indent="3"/>
    </xf>
    <xf numFmtId="0" fontId="17" fillId="13" borderId="18" xfId="0" applyFont="1" applyFill="1" applyBorder="1" applyAlignment="1">
      <alignment horizontal="left" vertical="center" wrapText="1"/>
    </xf>
    <xf numFmtId="0" fontId="17" fillId="13" borderId="0" xfId="0" applyFont="1" applyFill="1" applyBorder="1" applyAlignment="1">
      <alignment horizontal="left" vertical="center" wrapText="1"/>
    </xf>
    <xf numFmtId="0" fontId="17" fillId="13" borderId="18" xfId="0" applyFont="1" applyFill="1" applyBorder="1" applyAlignment="1">
      <alignment horizontal="center" vertical="center" wrapText="1"/>
    </xf>
    <xf numFmtId="173" fontId="16" fillId="0" borderId="0" xfId="0" applyNumberFormat="1" applyFont="1" applyAlignment="1">
      <alignment horizontal="right" vertical="center" indent="3"/>
    </xf>
    <xf numFmtId="0" fontId="16" fillId="0" borderId="0" xfId="0" applyNumberFormat="1" applyFont="1" applyAlignment="1">
      <alignment horizontal="right" vertical="center" indent="3"/>
    </xf>
    <xf numFmtId="173" fontId="17" fillId="13" borderId="17" xfId="0" applyNumberFormat="1" applyFont="1" applyFill="1" applyBorder="1" applyAlignment="1">
      <alignment horizontal="right" vertical="center" indent="3"/>
    </xf>
    <xf numFmtId="0" fontId="17" fillId="13" borderId="17" xfId="0" applyNumberFormat="1" applyFont="1" applyFill="1" applyBorder="1" applyAlignment="1">
      <alignment horizontal="right" vertical="center" indent="3"/>
    </xf>
    <xf numFmtId="0" fontId="0" fillId="31" borderId="20" xfId="0" applyFont="1" applyFill="1" applyBorder="1"/>
    <xf numFmtId="0" fontId="0" fillId="31" borderId="21" xfId="0" applyFont="1" applyFill="1" applyBorder="1"/>
    <xf numFmtId="0" fontId="2" fillId="31" borderId="21" xfId="0" applyNumberFormat="1" applyFont="1" applyFill="1" applyBorder="1"/>
    <xf numFmtId="0" fontId="2" fillId="31" borderId="22" xfId="0" applyNumberFormat="1" applyFont="1" applyFill="1" applyBorder="1"/>
    <xf numFmtId="0" fontId="0" fillId="0" borderId="20" xfId="0" applyFont="1" applyBorder="1"/>
    <xf numFmtId="0" fontId="0" fillId="0" borderId="21" xfId="0" applyFont="1" applyBorder="1"/>
    <xf numFmtId="0" fontId="2" fillId="0" borderId="21" xfId="0" applyNumberFormat="1" applyFont="1" applyBorder="1"/>
    <xf numFmtId="0" fontId="2" fillId="0" borderId="22" xfId="0" applyNumberFormat="1" applyFont="1" applyBorder="1"/>
    <xf numFmtId="0" fontId="0" fillId="0" borderId="21" xfId="0" applyNumberFormat="1" applyFont="1" applyBorder="1"/>
    <xf numFmtId="0" fontId="0" fillId="0" borderId="22" xfId="0" applyFont="1" applyBorder="1"/>
    <xf numFmtId="0" fontId="0" fillId="31" borderId="21" xfId="0" applyNumberFormat="1" applyFont="1" applyFill="1" applyBorder="1"/>
    <xf numFmtId="0" fontId="0" fillId="31" borderId="22" xfId="0" applyFont="1" applyFill="1" applyBorder="1"/>
    <xf numFmtId="0" fontId="0" fillId="31" borderId="22" xfId="0" applyNumberFormat="1" applyFont="1" applyFill="1" applyBorder="1"/>
    <xf numFmtId="0" fontId="0" fillId="0" borderId="22" xfId="0" applyNumberFormat="1" applyFont="1" applyBorder="1"/>
    <xf numFmtId="0" fontId="15" fillId="0" borderId="0" xfId="0" applyNumberFormat="1" applyFont="1"/>
    <xf numFmtId="14" fontId="0" fillId="3" borderId="0" xfId="0" applyNumberFormat="1" applyFont="1" applyFill="1"/>
    <xf numFmtId="14" fontId="0" fillId="3" borderId="0" xfId="0" applyNumberFormat="1" applyFill="1"/>
    <xf numFmtId="14" fontId="0" fillId="6" borderId="0" xfId="0" applyNumberFormat="1" applyFont="1" applyFill="1"/>
    <xf numFmtId="0" fontId="0" fillId="0" borderId="0" xfId="0" applyFont="1" applyFill="1"/>
    <xf numFmtId="0" fontId="0" fillId="4" borderId="0" xfId="0" applyFont="1" applyFill="1"/>
    <xf numFmtId="0" fontId="20" fillId="0" borderId="0" xfId="0" applyFont="1" applyFill="1"/>
    <xf numFmtId="170" fontId="11" fillId="0" borderId="3" xfId="0" applyNumberFormat="1" applyFont="1" applyBorder="1"/>
    <xf numFmtId="0" fontId="11" fillId="0" borderId="3" xfId="0" applyFont="1" applyBorder="1"/>
    <xf numFmtId="10" fontId="11" fillId="0" borderId="3" xfId="0" applyNumberFormat="1" applyFont="1" applyBorder="1"/>
    <xf numFmtId="3" fontId="11" fillId="0" borderId="9" xfId="0" applyNumberFormat="1" applyFont="1" applyBorder="1"/>
    <xf numFmtId="10" fontId="11" fillId="0" borderId="9" xfId="0" applyNumberFormat="1" applyFont="1" applyBorder="1"/>
    <xf numFmtId="3" fontId="11" fillId="0" borderId="16" xfId="0" applyNumberFormat="1" applyFont="1" applyBorder="1"/>
    <xf numFmtId="167" fontId="9" fillId="0" borderId="5" xfId="0" applyNumberFormat="1" applyFont="1" applyBorder="1"/>
    <xf numFmtId="167" fontId="9" fillId="0" borderId="0" xfId="1" applyNumberFormat="1" applyFont="1" applyBorder="1"/>
    <xf numFmtId="0" fontId="36" fillId="0" borderId="3" xfId="0" applyFont="1" applyBorder="1"/>
    <xf numFmtId="3" fontId="36" fillId="0" borderId="9" xfId="0" applyNumberFormat="1" applyFont="1" applyBorder="1"/>
    <xf numFmtId="3" fontId="36" fillId="0" borderId="3" xfId="0" applyNumberFormat="1" applyFont="1" applyBorder="1"/>
    <xf numFmtId="10" fontId="36" fillId="0" borderId="3" xfId="0" applyNumberFormat="1" applyFont="1" applyBorder="1"/>
    <xf numFmtId="3" fontId="36" fillId="0" borderId="4" xfId="0" applyNumberFormat="1" applyFont="1" applyBorder="1"/>
    <xf numFmtId="3" fontId="36" fillId="0" borderId="16" xfId="0" applyNumberFormat="1" applyFont="1" applyBorder="1"/>
    <xf numFmtId="10" fontId="36" fillId="0" borderId="9" xfId="0" applyNumberFormat="1" applyFont="1" applyBorder="1"/>
    <xf numFmtId="0" fontId="37" fillId="0" borderId="3" xfId="0" applyFont="1" applyFill="1" applyBorder="1"/>
    <xf numFmtId="3" fontId="36" fillId="0" borderId="9" xfId="0" applyNumberFormat="1" applyFont="1" applyBorder="1" applyAlignment="1">
      <alignment horizontal="right"/>
    </xf>
    <xf numFmtId="3" fontId="36" fillId="0" borderId="3" xfId="0" applyNumberFormat="1" applyFont="1" applyFill="1" applyBorder="1"/>
    <xf numFmtId="167" fontId="36" fillId="0" borderId="3" xfId="0" applyNumberFormat="1" applyFont="1" applyBorder="1"/>
    <xf numFmtId="167" fontId="36" fillId="0" borderId="9" xfId="0" applyNumberFormat="1" applyFont="1" applyBorder="1"/>
    <xf numFmtId="3" fontId="36" fillId="0" borderId="4" xfId="0" applyNumberFormat="1" applyFont="1" applyFill="1" applyBorder="1"/>
    <xf numFmtId="0" fontId="11" fillId="9" borderId="0" xfId="0" applyFont="1" applyFill="1" applyBorder="1" applyAlignment="1">
      <alignment vertical="center" wrapText="1"/>
    </xf>
    <xf numFmtId="171" fontId="11" fillId="9" borderId="0" xfId="0" applyNumberFormat="1" applyFont="1" applyFill="1" applyBorder="1" applyAlignment="1"/>
    <xf numFmtId="171" fontId="11" fillId="9" borderId="0" xfId="3" applyNumberFormat="1" applyFont="1" applyFill="1" applyBorder="1" applyAlignment="1"/>
    <xf numFmtId="171" fontId="11" fillId="9" borderId="2" xfId="0" applyNumberFormat="1" applyFont="1" applyFill="1" applyBorder="1" applyAlignment="1"/>
    <xf numFmtId="0" fontId="9" fillId="11" borderId="5" xfId="0" applyFont="1" applyFill="1" applyBorder="1" applyAlignment="1">
      <alignment horizontal="left" wrapText="1"/>
    </xf>
    <xf numFmtId="0" fontId="9" fillId="11" borderId="0" xfId="0" applyFont="1" applyFill="1" applyBorder="1" applyAlignment="1">
      <alignment horizontal="left" wrapText="1"/>
    </xf>
    <xf numFmtId="2" fontId="9" fillId="11" borderId="0" xfId="0" applyNumberFormat="1" applyFont="1" applyFill="1" applyBorder="1" applyAlignment="1">
      <alignment horizontal="left" wrapText="1"/>
    </xf>
    <xf numFmtId="10" fontId="11" fillId="0" borderId="4" xfId="0" applyNumberFormat="1" applyFont="1" applyBorder="1"/>
    <xf numFmtId="172" fontId="34" fillId="5" borderId="14" xfId="1" applyNumberFormat="1" applyFont="1" applyFill="1" applyBorder="1"/>
    <xf numFmtId="172" fontId="34" fillId="5" borderId="6" xfId="1" applyNumberFormat="1" applyFont="1" applyFill="1" applyBorder="1"/>
    <xf numFmtId="172" fontId="34" fillId="5" borderId="15" xfId="1" applyNumberFormat="1" applyFont="1" applyFill="1" applyBorder="1"/>
    <xf numFmtId="0" fontId="12" fillId="12" borderId="0" xfId="0" applyFont="1" applyFill="1" applyBorder="1" applyAlignment="1">
      <alignment horizontal="left" vertical="center"/>
    </xf>
    <xf numFmtId="0" fontId="12" fillId="12" borderId="2" xfId="0" applyFont="1" applyFill="1" applyBorder="1" applyAlignment="1">
      <alignment horizontal="left" vertical="center"/>
    </xf>
    <xf numFmtId="0" fontId="0" fillId="0" borderId="0" xfId="0" applyBorder="1" applyAlignment="1">
      <alignment horizontal="left"/>
    </xf>
    <xf numFmtId="0" fontId="37" fillId="0" borderId="4" xfId="0" applyFont="1" applyFill="1" applyBorder="1"/>
    <xf numFmtId="10" fontId="36" fillId="0" borderId="4" xfId="0" applyNumberFormat="1" applyFont="1" applyBorder="1"/>
    <xf numFmtId="12" fontId="0" fillId="0" borderId="2" xfId="2" applyNumberFormat="1" applyFont="1" applyFill="1" applyBorder="1"/>
    <xf numFmtId="0" fontId="0" fillId="0" borderId="0" xfId="0" applyBorder="1" applyAlignment="1">
      <alignment horizontal="left"/>
    </xf>
    <xf numFmtId="0" fontId="0" fillId="0" borderId="2" xfId="0" applyBorder="1" applyAlignment="1">
      <alignment horizontal="left"/>
    </xf>
    <xf numFmtId="0" fontId="0" fillId="0" borderId="13" xfId="0" applyBorder="1" applyAlignment="1">
      <alignment horizontal="left"/>
    </xf>
    <xf numFmtId="0" fontId="0" fillId="0" borderId="10" xfId="0" applyBorder="1" applyAlignment="1">
      <alignment horizontal="left"/>
    </xf>
    <xf numFmtId="0" fontId="0" fillId="0" borderId="12" xfId="0" applyBorder="1" applyAlignment="1">
      <alignment horizontal="left"/>
    </xf>
    <xf numFmtId="0" fontId="0" fillId="0" borderId="7" xfId="0" applyBorder="1" applyAlignment="1">
      <alignment horizontal="left"/>
    </xf>
    <xf numFmtId="0" fontId="0" fillId="0" borderId="11" xfId="0" applyBorder="1" applyAlignment="1">
      <alignment horizontal="left"/>
    </xf>
    <xf numFmtId="0" fontId="9" fillId="11" borderId="13" xfId="0" applyFont="1" applyFill="1" applyBorder="1" applyAlignment="1">
      <alignment horizontal="center" vertical="top"/>
    </xf>
    <xf numFmtId="0" fontId="9" fillId="11" borderId="10" xfId="0" applyFont="1" applyFill="1" applyBorder="1" applyAlignment="1">
      <alignment horizontal="center" vertical="top"/>
    </xf>
    <xf numFmtId="0" fontId="9" fillId="11" borderId="12" xfId="0" applyFont="1" applyFill="1" applyBorder="1" applyAlignment="1">
      <alignment horizontal="center" vertical="top"/>
    </xf>
    <xf numFmtId="0" fontId="9" fillId="11" borderId="8" xfId="0" applyFont="1" applyFill="1" applyBorder="1" applyAlignment="1">
      <alignment horizontal="center"/>
    </xf>
    <xf numFmtId="0" fontId="9" fillId="11" borderId="7" xfId="0" applyFont="1" applyFill="1" applyBorder="1" applyAlignment="1">
      <alignment horizontal="center"/>
    </xf>
    <xf numFmtId="0" fontId="9" fillId="11" borderId="11" xfId="0" applyFont="1" applyFill="1" applyBorder="1" applyAlignment="1">
      <alignment horizontal="center"/>
    </xf>
    <xf numFmtId="0" fontId="11" fillId="9" borderId="5" xfId="0" applyFont="1" applyFill="1" applyBorder="1" applyAlignment="1">
      <alignment horizontal="left" vertical="center" wrapText="1"/>
    </xf>
    <xf numFmtId="0" fontId="11" fillId="9" borderId="0" xfId="0" applyFont="1" applyFill="1" applyBorder="1" applyAlignment="1">
      <alignment horizontal="left" vertical="center" wrapText="1"/>
    </xf>
    <xf numFmtId="0" fontId="13" fillId="8" borderId="5" xfId="0" applyFont="1" applyFill="1" applyBorder="1" applyAlignment="1">
      <alignment horizontal="center" vertical="top" wrapText="1"/>
    </xf>
    <xf numFmtId="0" fontId="13" fillId="8" borderId="0" xfId="0" applyFont="1" applyFill="1" applyBorder="1" applyAlignment="1">
      <alignment horizontal="center" vertical="top" wrapText="1"/>
    </xf>
    <xf numFmtId="0" fontId="9" fillId="11" borderId="8" xfId="0" applyFont="1" applyFill="1" applyBorder="1" applyAlignment="1">
      <alignment horizontal="center" wrapText="1"/>
    </xf>
    <xf numFmtId="0" fontId="9" fillId="11" borderId="7" xfId="0" applyFont="1" applyFill="1" applyBorder="1" applyAlignment="1">
      <alignment horizontal="center" wrapText="1"/>
    </xf>
    <xf numFmtId="0" fontId="9" fillId="11" borderId="11" xfId="0" applyFont="1" applyFill="1" applyBorder="1" applyAlignment="1">
      <alignment horizontal="center" wrapText="1"/>
    </xf>
    <xf numFmtId="0" fontId="9" fillId="11" borderId="13" xfId="0" applyFont="1" applyFill="1" applyBorder="1" applyAlignment="1">
      <alignment horizontal="center" vertical="top" wrapText="1"/>
    </xf>
    <xf numFmtId="0" fontId="9" fillId="11" borderId="10" xfId="0" applyFont="1" applyFill="1" applyBorder="1" applyAlignment="1">
      <alignment horizontal="center" vertical="top" wrapText="1"/>
    </xf>
    <xf numFmtId="0" fontId="9" fillId="11" borderId="12" xfId="0" applyFont="1" applyFill="1" applyBorder="1" applyAlignment="1">
      <alignment horizontal="center" vertical="top" wrapText="1"/>
    </xf>
    <xf numFmtId="0" fontId="13" fillId="8" borderId="2" xfId="0" applyFont="1" applyFill="1" applyBorder="1" applyAlignment="1">
      <alignment horizontal="center" vertical="top" wrapText="1"/>
    </xf>
    <xf numFmtId="0" fontId="9" fillId="14" borderId="6" xfId="0" applyFont="1" applyFill="1" applyBorder="1" applyAlignment="1">
      <alignment horizontal="center" vertical="top" wrapText="1"/>
    </xf>
    <xf numFmtId="0" fontId="12" fillId="10" borderId="5" xfId="0" applyFont="1" applyFill="1" applyBorder="1" applyAlignment="1">
      <alignment horizontal="left" vertical="center" wrapText="1"/>
    </xf>
    <xf numFmtId="0" fontId="12" fillId="10" borderId="0" xfId="0" applyFont="1" applyFill="1" applyBorder="1" applyAlignment="1">
      <alignment horizontal="left" vertical="center" wrapText="1"/>
    </xf>
    <xf numFmtId="0" fontId="12" fillId="10" borderId="2"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2" xfId="0" applyFont="1" applyFill="1" applyBorder="1" applyAlignment="1">
      <alignment horizontal="left" vertical="center" wrapText="1"/>
    </xf>
    <xf numFmtId="0" fontId="13" fillId="7" borderId="6" xfId="0" applyFont="1" applyFill="1" applyBorder="1" applyAlignment="1">
      <alignment horizontal="center" vertical="top" wrapText="1"/>
    </xf>
    <xf numFmtId="0" fontId="13" fillId="7" borderId="2" xfId="0" applyFont="1" applyFill="1" applyBorder="1" applyAlignment="1">
      <alignment horizontal="center" vertical="top" wrapText="1"/>
    </xf>
    <xf numFmtId="0" fontId="13" fillId="7" borderId="5" xfId="0" applyFont="1" applyFill="1" applyBorder="1" applyAlignment="1">
      <alignment horizontal="center" vertical="top" wrapText="1"/>
    </xf>
    <xf numFmtId="0" fontId="12" fillId="5" borderId="6" xfId="0" applyFont="1" applyFill="1" applyBorder="1" applyAlignment="1">
      <alignment horizontal="center" vertical="top" wrapText="1"/>
    </xf>
    <xf numFmtId="0" fontId="13" fillId="5" borderId="5"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2" fillId="12" borderId="5" xfId="0" applyFont="1" applyFill="1" applyBorder="1" applyAlignment="1">
      <alignment horizontal="left" vertical="center" wrapText="1"/>
    </xf>
    <xf numFmtId="0" fontId="12" fillId="12" borderId="0" xfId="0" applyFont="1" applyFill="1" applyBorder="1" applyAlignment="1">
      <alignment horizontal="left" vertical="center"/>
    </xf>
    <xf numFmtId="0" fontId="9" fillId="2" borderId="5" xfId="0" applyFont="1" applyFill="1" applyBorder="1" applyAlignment="1">
      <alignment horizontal="center"/>
    </xf>
    <xf numFmtId="0" fontId="9" fillId="2" borderId="2" xfId="0" applyFont="1" applyFill="1" applyBorder="1" applyAlignment="1">
      <alignment horizontal="center"/>
    </xf>
    <xf numFmtId="0" fontId="11" fillId="3" borderId="0" xfId="0" applyFont="1" applyFill="1" applyBorder="1" applyAlignment="1">
      <alignment horizontal="left" vertical="center" wrapText="1"/>
    </xf>
    <xf numFmtId="0" fontId="9" fillId="2" borderId="0" xfId="0" applyFont="1" applyFill="1" applyBorder="1" applyAlignment="1">
      <alignment horizontal="center"/>
    </xf>
    <xf numFmtId="0" fontId="11" fillId="4" borderId="5" xfId="0" applyFont="1" applyFill="1" applyBorder="1" applyAlignment="1">
      <alignment horizontal="left" vertical="center" wrapText="1"/>
    </xf>
    <xf numFmtId="0" fontId="11" fillId="4" borderId="0"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2" fillId="12" borderId="2" xfId="0" applyFont="1" applyFill="1" applyBorder="1" applyAlignment="1">
      <alignment horizontal="left" vertical="center"/>
    </xf>
    <xf numFmtId="0" fontId="30" fillId="19" borderId="8"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20" borderId="8" xfId="0" applyFont="1" applyFill="1" applyBorder="1" applyAlignment="1">
      <alignment horizontal="center" vertical="center" wrapText="1"/>
    </xf>
    <xf numFmtId="0" fontId="30" fillId="20" borderId="7" xfId="0" applyFont="1" applyFill="1" applyBorder="1" applyAlignment="1">
      <alignment horizontal="center" vertical="center" wrapText="1"/>
    </xf>
    <xf numFmtId="0" fontId="30" fillId="21" borderId="8" xfId="0" applyFont="1" applyFill="1" applyBorder="1" applyAlignment="1">
      <alignment horizontal="center" vertical="center" wrapText="1"/>
    </xf>
    <xf numFmtId="0" fontId="30" fillId="21" borderId="7" xfId="0" applyFont="1" applyFill="1" applyBorder="1" applyAlignment="1">
      <alignment horizontal="center" vertical="center" wrapText="1"/>
    </xf>
    <xf numFmtId="0" fontId="30" fillId="21" borderId="11" xfId="0" applyFont="1" applyFill="1" applyBorder="1" applyAlignment="1">
      <alignment horizontal="center" vertical="center" wrapText="1"/>
    </xf>
    <xf numFmtId="0" fontId="30" fillId="25" borderId="8" xfId="0" applyFont="1" applyFill="1" applyBorder="1" applyAlignment="1">
      <alignment horizontal="center" vertical="center" wrapText="1"/>
    </xf>
    <xf numFmtId="0" fontId="30" fillId="25" borderId="7" xfId="0" applyFont="1" applyFill="1" applyBorder="1" applyAlignment="1">
      <alignment horizontal="center" vertical="center" wrapText="1"/>
    </xf>
    <xf numFmtId="0" fontId="1" fillId="30" borderId="10" xfId="0" applyFont="1" applyFill="1" applyBorder="1" applyAlignment="1">
      <alignment horizontal="center" wrapText="1"/>
    </xf>
    <xf numFmtId="0" fontId="30" fillId="17" borderId="8" xfId="0" applyFont="1" applyFill="1" applyBorder="1" applyAlignment="1">
      <alignment horizontal="center" vertical="center" wrapText="1"/>
    </xf>
    <xf numFmtId="0" fontId="30" fillId="17" borderId="7" xfId="0" applyFont="1" applyFill="1" applyBorder="1" applyAlignment="1">
      <alignment horizontal="center" vertical="center" wrapText="1"/>
    </xf>
    <xf numFmtId="0" fontId="30" fillId="17" borderId="11" xfId="0" applyFont="1" applyFill="1" applyBorder="1" applyAlignment="1">
      <alignment horizontal="center" vertical="center" wrapText="1"/>
    </xf>
    <xf numFmtId="0" fontId="1" fillId="27" borderId="13" xfId="0" applyFont="1" applyFill="1" applyBorder="1" applyAlignment="1">
      <alignment horizontal="center" wrapText="1"/>
    </xf>
    <xf numFmtId="0" fontId="1" fillId="27" borderId="10" xfId="0" applyFont="1" applyFill="1" applyBorder="1" applyAlignment="1">
      <alignment horizontal="center" wrapText="1"/>
    </xf>
    <xf numFmtId="0" fontId="1" fillId="27" borderId="12" xfId="0" applyFont="1" applyFill="1" applyBorder="1" applyAlignment="1">
      <alignment horizontal="center" wrapText="1"/>
    </xf>
    <xf numFmtId="0" fontId="1" fillId="19" borderId="10" xfId="0" applyFont="1" applyFill="1" applyBorder="1" applyAlignment="1">
      <alignment horizontal="center" wrapText="1"/>
    </xf>
    <xf numFmtId="0" fontId="1" fillId="20" borderId="10" xfId="0" applyFont="1" applyFill="1" applyBorder="1" applyAlignment="1">
      <alignment horizontal="center" wrapText="1"/>
    </xf>
    <xf numFmtId="0" fontId="30" fillId="18" borderId="8" xfId="0" applyFont="1" applyFill="1" applyBorder="1" applyAlignment="1">
      <alignment horizontal="center" vertical="center" wrapText="1"/>
    </xf>
    <xf numFmtId="0" fontId="30" fillId="18" borderId="7" xfId="0" applyFont="1" applyFill="1" applyBorder="1" applyAlignment="1">
      <alignment horizontal="center" vertical="center" wrapText="1"/>
    </xf>
    <xf numFmtId="0" fontId="30" fillId="18" borderId="11" xfId="0" applyFont="1" applyFill="1" applyBorder="1" applyAlignment="1">
      <alignment horizontal="center" vertical="center" wrapText="1"/>
    </xf>
    <xf numFmtId="0" fontId="30" fillId="22" borderId="8" xfId="0" applyFont="1" applyFill="1" applyBorder="1" applyAlignment="1">
      <alignment horizontal="center" vertical="center" wrapText="1"/>
    </xf>
    <xf numFmtId="0" fontId="30" fillId="22" borderId="7" xfId="0" applyFont="1" applyFill="1" applyBorder="1" applyAlignment="1">
      <alignment horizontal="center" vertical="center" wrapText="1"/>
    </xf>
    <xf numFmtId="0" fontId="30" fillId="23" borderId="8" xfId="0" applyFont="1" applyFill="1" applyBorder="1" applyAlignment="1">
      <alignment horizontal="center" vertical="center" wrapText="1"/>
    </xf>
    <xf numFmtId="0" fontId="30" fillId="23" borderId="7" xfId="0" applyFont="1" applyFill="1" applyBorder="1" applyAlignment="1">
      <alignment horizontal="center" vertical="center" wrapText="1"/>
    </xf>
    <xf numFmtId="0" fontId="30" fillId="24" borderId="8" xfId="0" applyFont="1" applyFill="1" applyBorder="1" applyAlignment="1">
      <alignment horizontal="center" vertical="center" wrapText="1"/>
    </xf>
    <xf numFmtId="0" fontId="30" fillId="24" borderId="7" xfId="0" applyFont="1" applyFill="1" applyBorder="1" applyAlignment="1">
      <alignment horizontal="center" vertical="center" wrapText="1"/>
    </xf>
    <xf numFmtId="0" fontId="30" fillId="24" borderId="11" xfId="0" applyFont="1" applyFill="1" applyBorder="1" applyAlignment="1">
      <alignment horizontal="center" vertical="center" wrapText="1"/>
    </xf>
    <xf numFmtId="0" fontId="27" fillId="0" borderId="13" xfId="0" applyFont="1" applyFill="1" applyBorder="1" applyAlignment="1">
      <alignment horizontal="left" vertical="center"/>
    </xf>
    <xf numFmtId="0" fontId="27" fillId="0" borderId="10" xfId="0" applyFont="1" applyFill="1" applyBorder="1" applyAlignment="1">
      <alignment horizontal="left" vertical="center"/>
    </xf>
    <xf numFmtId="0" fontId="1" fillId="16" borderId="5" xfId="0" applyFont="1" applyFill="1" applyBorder="1" applyAlignment="1">
      <alignment horizontal="center" wrapText="1"/>
    </xf>
    <xf numFmtId="0" fontId="1" fillId="16" borderId="0" xfId="0" applyFont="1" applyFill="1" applyBorder="1" applyAlignment="1">
      <alignment horizontal="center" wrapText="1"/>
    </xf>
    <xf numFmtId="0" fontId="30" fillId="30" borderId="5" xfId="0" applyFont="1" applyFill="1" applyBorder="1" applyAlignment="1">
      <alignment horizontal="center" vertical="center" wrapText="1"/>
    </xf>
    <xf numFmtId="0" fontId="30" fillId="30" borderId="0" xfId="0" applyFont="1" applyFill="1" applyBorder="1" applyAlignment="1">
      <alignment horizontal="center" vertical="center" wrapText="1"/>
    </xf>
    <xf numFmtId="0" fontId="32" fillId="29" borderId="8" xfId="0" applyFont="1" applyFill="1" applyBorder="1" applyAlignment="1">
      <alignment horizontal="center" vertical="center" wrapText="1"/>
    </xf>
    <xf numFmtId="0" fontId="32" fillId="29" borderId="7" xfId="0" applyFont="1" applyFill="1" applyBorder="1" applyAlignment="1">
      <alignment horizontal="center" vertical="center" wrapText="1"/>
    </xf>
    <xf numFmtId="0" fontId="32" fillId="29" borderId="11" xfId="0" applyFont="1" applyFill="1" applyBorder="1" applyAlignment="1">
      <alignment horizontal="center" vertical="center" wrapText="1"/>
    </xf>
    <xf numFmtId="0" fontId="1" fillId="21" borderId="10" xfId="0" applyFont="1" applyFill="1" applyBorder="1" applyAlignment="1">
      <alignment horizontal="center" wrapText="1"/>
    </xf>
    <xf numFmtId="0" fontId="1" fillId="25" borderId="10" xfId="0" applyFont="1" applyFill="1" applyBorder="1" applyAlignment="1">
      <alignment horizontal="center" wrapText="1"/>
    </xf>
    <xf numFmtId="0" fontId="1" fillId="26" borderId="10" xfId="0" applyFont="1" applyFill="1" applyBorder="1" applyAlignment="1">
      <alignment horizontal="center" wrapText="1"/>
    </xf>
    <xf numFmtId="0" fontId="30" fillId="26" borderId="8" xfId="0" applyFont="1" applyFill="1" applyBorder="1" applyAlignment="1">
      <alignment horizontal="center" vertical="center" wrapText="1"/>
    </xf>
    <xf numFmtId="0" fontId="30" fillId="26" borderId="7" xfId="0" applyFont="1" applyFill="1" applyBorder="1" applyAlignment="1">
      <alignment horizontal="center" vertical="center" wrapText="1"/>
    </xf>
    <xf numFmtId="0" fontId="30" fillId="26" borderId="11" xfId="0" applyFont="1" applyFill="1" applyBorder="1" applyAlignment="1">
      <alignment horizontal="center" vertical="center" wrapText="1"/>
    </xf>
    <xf numFmtId="0" fontId="1" fillId="17" borderId="13" xfId="0" applyFont="1" applyFill="1" applyBorder="1" applyAlignment="1">
      <alignment horizontal="center" wrapText="1"/>
    </xf>
    <xf numFmtId="0" fontId="1" fillId="17" borderId="10" xfId="0" applyFont="1" applyFill="1" applyBorder="1" applyAlignment="1">
      <alignment horizontal="center" wrapText="1"/>
    </xf>
    <xf numFmtId="0" fontId="1" fillId="29" borderId="10" xfId="0" applyFont="1" applyFill="1" applyBorder="1" applyAlignment="1">
      <alignment horizontal="center" wrapText="1"/>
    </xf>
    <xf numFmtId="0" fontId="1" fillId="29" borderId="12" xfId="0" applyFont="1" applyFill="1" applyBorder="1" applyAlignment="1">
      <alignment horizontal="center" wrapText="1"/>
    </xf>
    <xf numFmtId="0" fontId="1" fillId="28" borderId="13" xfId="0" applyFont="1" applyFill="1" applyBorder="1" applyAlignment="1">
      <alignment horizontal="center" wrapText="1"/>
    </xf>
    <xf numFmtId="0" fontId="1" fillId="28" borderId="10" xfId="0" applyFont="1" applyFill="1" applyBorder="1" applyAlignment="1">
      <alignment horizontal="center" wrapText="1"/>
    </xf>
    <xf numFmtId="0" fontId="1" fillId="28" borderId="12" xfId="0" applyFont="1" applyFill="1" applyBorder="1" applyAlignment="1">
      <alignment horizontal="center" wrapText="1"/>
    </xf>
    <xf numFmtId="0" fontId="1" fillId="22" borderId="10" xfId="0" applyFont="1" applyFill="1" applyBorder="1" applyAlignment="1">
      <alignment horizontal="center" wrapText="1"/>
    </xf>
    <xf numFmtId="0" fontId="1" fillId="23" borderId="0" xfId="0" applyFont="1" applyFill="1" applyBorder="1" applyAlignment="1">
      <alignment horizontal="center" wrapText="1"/>
    </xf>
    <xf numFmtId="0" fontId="17" fillId="13" borderId="0" xfId="0" applyFont="1" applyFill="1" applyBorder="1" applyAlignment="1">
      <alignment horizontal="center" vertical="center" wrapText="1"/>
    </xf>
  </cellXfs>
  <cellStyles count="5">
    <cellStyle name="Hyperlinkki" xfId="4" builtinId="8"/>
    <cellStyle name="Normaali" xfId="0" builtinId="0"/>
    <cellStyle name="Pilkku" xfId="1" builtinId="3"/>
    <cellStyle name="Prosenttia" xfId="2" builtinId="5"/>
    <cellStyle name="Valuutta" xfId="3" builtinId="4"/>
  </cellStyles>
  <dxfs count="523">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13" formatCode="0\ %"/>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solid">
          <fgColor indexed="64"/>
          <bgColor rgb="FFFFFF00"/>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solid">
          <fgColor indexed="64"/>
          <bgColor rgb="FFFFFF00"/>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solid">
          <fgColor indexed="64"/>
          <bgColor rgb="FFFFFF00"/>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solid">
          <fgColor indexed="64"/>
          <bgColor rgb="FFFFFF00"/>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solid">
          <fgColor indexed="64"/>
          <bgColor rgb="FFFFFF00"/>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solid">
          <fgColor indexed="64"/>
          <bgColor rgb="FFFFFF00"/>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solid">
          <fgColor indexed="64"/>
          <bgColor rgb="FFFFFF00"/>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solid">
          <fgColor indexed="64"/>
          <bgColor rgb="FFFFFF00"/>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13" formatCode="0\ %"/>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3" formatCode="#,##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1" formatCode="0"/>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1" formatCode="0"/>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1" formatCode="0"/>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1" formatCode="0"/>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1" formatCode="0"/>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1" formatCode="0"/>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1" formatCode="0"/>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1" formatCode="0"/>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1" formatCode="0"/>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1" formatCode="0"/>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1"/>
        <color rgb="FF000000"/>
        <name val="Calibri"/>
        <scheme val="none"/>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1"/>
        <color rgb="FF000000"/>
        <name val="Calibri"/>
        <scheme val="none"/>
      </font>
      <fill>
        <patternFill patternType="none">
          <fgColor indexed="64"/>
          <bgColor indexed="65"/>
        </patternFill>
      </fill>
      <alignment horizontal="right" vertical="bottom" textRotation="0" wrapText="0" 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dxf>
    <dxf>
      <font>
        <b/>
        <i val="0"/>
        <strike val="0"/>
        <condense val="0"/>
        <extend val="0"/>
        <outline val="0"/>
        <shadow val="0"/>
        <u val="none"/>
        <vertAlign val="baseline"/>
        <sz val="11"/>
        <color rgb="FF000000"/>
        <name val="Calibri"/>
        <scheme val="none"/>
      </font>
      <fill>
        <patternFill patternType="none">
          <fgColor indexed="64"/>
          <bgColor indexed="65"/>
        </patternFill>
      </fill>
      <alignment horizontal="right" vertical="bottom" textRotation="0" wrapText="0" 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dxf>
    <dxf>
      <font>
        <b/>
        <i val="0"/>
        <strike val="0"/>
        <condense val="0"/>
        <extend val="0"/>
        <outline val="0"/>
        <shadow val="0"/>
        <u val="none"/>
        <vertAlign val="baseline"/>
        <sz val="11"/>
        <color rgb="FF000000"/>
        <name val="Calibri"/>
        <scheme val="none"/>
      </font>
      <fill>
        <patternFill patternType="none">
          <fgColor indexed="64"/>
          <bgColor indexed="65"/>
        </patternFill>
      </fill>
      <alignment horizontal="right" vertical="bottom" textRotation="0" wrapText="0" indent="1" justifyLastLine="0" shrinkToFit="0" readingOrder="0"/>
      <border diagonalUp="0" diagonalDown="0" outline="0">
        <left/>
        <right/>
        <top style="thin">
          <color indexed="64"/>
        </top>
        <bottom style="thin">
          <color indexed="64"/>
        </bottom>
      </border>
    </dxf>
    <dxf>
      <numFmt numFmtId="0" formatCode="General"/>
    </dxf>
    <dxf>
      <font>
        <b/>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rgb="FF000000"/>
        <name val="Calibri"/>
        <scheme val="none"/>
      </font>
      <numFmt numFmtId="0" formatCode="General"/>
    </dxf>
    <dxf>
      <border>
        <top style="thin">
          <color rgb="FF000000"/>
        </top>
      </border>
    </dxf>
    <dxf>
      <font>
        <b/>
      </font>
      <alignment horizontal="right" textRotation="0" wrapText="0" justifyLastLine="0" shrinkToFit="0" readingOrder="0"/>
    </dxf>
    <dxf>
      <font>
        <b val="0"/>
        <i val="0"/>
        <strike val="0"/>
        <condense val="0"/>
        <extend val="0"/>
        <outline val="0"/>
        <shadow val="0"/>
        <u val="none"/>
        <vertAlign val="baseline"/>
        <sz val="10"/>
        <color rgb="FF000000"/>
        <name val="Calibri"/>
        <scheme val="none"/>
      </font>
      <alignment horizontal="center" vertical="center" textRotation="0" wrapText="0" indent="0" justifyLastLine="0" shrinkToFit="0" readingOrder="0"/>
    </dxf>
    <dxf>
      <font>
        <b val="0"/>
      </font>
      <fill>
        <patternFill patternType="solid">
          <fgColor rgb="FF000000"/>
          <bgColor rgb="FFA9D08E"/>
        </patternFill>
      </fill>
      <alignment horizontal="general" vertical="bottom" textRotation="0" wrapText="1" indent="0" justifyLastLine="0" shrinkToFit="0" readingOrder="0"/>
    </dxf>
    <dxf>
      <font>
        <b/>
        <i val="0"/>
        <strike val="0"/>
        <condense val="0"/>
        <extend val="0"/>
        <outline val="0"/>
        <shadow val="0"/>
        <u val="none"/>
        <vertAlign val="baseline"/>
        <sz val="10"/>
        <color theme="1"/>
        <name val="Calibri"/>
        <scheme val="minor"/>
      </font>
      <numFmt numFmtId="14" formatCode="0.00\ %"/>
      <border diagonalUp="0" diagonalDown="0" outline="0">
        <left/>
        <right style="thin">
          <color indexed="64"/>
        </right>
        <top style="thin">
          <color indexed="64"/>
        </top>
        <bottom style="thin">
          <color indexed="64"/>
        </bottom>
      </border>
    </dxf>
    <dxf>
      <font>
        <strike val="0"/>
        <outline val="0"/>
        <shadow val="0"/>
        <u val="none"/>
        <vertAlign val="baseline"/>
        <sz val="10"/>
        <name val="Calibri"/>
        <scheme val="minor"/>
      </font>
      <numFmt numFmtId="14" formatCode="0.00\ %"/>
      <border diagonalUp="0" diagonalDown="0">
        <left/>
        <right style="thin">
          <color indexed="64"/>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strike val="0"/>
        <outline val="0"/>
        <shadow val="0"/>
        <u val="none"/>
        <vertAlign val="baseline"/>
        <sz val="10"/>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strike val="0"/>
        <outline val="0"/>
        <shadow val="0"/>
        <u val="none"/>
        <vertAlign val="baseline"/>
        <sz val="10"/>
        <name val="Calibri"/>
        <scheme val="minor"/>
      </font>
      <numFmt numFmtId="3" formatCode="#,##0"/>
      <border diagonalUp="0" diagonalDown="0">
        <left style="thin">
          <color indexed="64"/>
        </left>
        <right/>
        <top/>
        <bottom/>
        <vertical/>
        <horizontal/>
      </border>
    </dxf>
    <dxf>
      <font>
        <b/>
        <i val="0"/>
        <strike val="0"/>
        <condense val="0"/>
        <extend val="0"/>
        <outline val="0"/>
        <shadow val="0"/>
        <u val="none"/>
        <vertAlign val="baseline"/>
        <sz val="10"/>
        <color theme="1"/>
        <name val="Calibri"/>
        <scheme val="minor"/>
      </font>
      <numFmt numFmtId="14" formatCode="0.00\ %"/>
      <border diagonalUp="0" diagonalDown="0" outline="0">
        <left/>
        <right style="thin">
          <color indexed="64"/>
        </right>
        <top style="thin">
          <color indexed="64"/>
        </top>
        <bottom style="thin">
          <color indexed="64"/>
        </bottom>
      </border>
    </dxf>
    <dxf>
      <font>
        <strike val="0"/>
        <outline val="0"/>
        <shadow val="0"/>
        <u val="none"/>
        <vertAlign val="baseline"/>
        <sz val="10"/>
        <name val="Calibri"/>
        <scheme val="minor"/>
      </font>
      <numFmt numFmtId="14" formatCode="0.00\ %"/>
      <border diagonalUp="0" diagonalDown="0">
        <left/>
        <right style="thin">
          <color indexed="64"/>
        </right>
        <top/>
        <bottom/>
      </border>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strike val="0"/>
        <outline val="0"/>
        <shadow val="0"/>
        <u val="none"/>
        <vertAlign val="baseline"/>
        <sz val="10"/>
        <name val="Calibri"/>
        <scheme val="minor"/>
      </font>
      <numFmt numFmtId="14" formatCode="0.00\ %"/>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strike val="0"/>
        <outline val="0"/>
        <shadow val="0"/>
        <u val="none"/>
        <vertAlign val="baseline"/>
        <sz val="10"/>
        <name val="Calibri"/>
        <scheme val="minor"/>
      </font>
      <numFmt numFmtId="14" formatCode="0.00\ %"/>
    </dxf>
    <dxf>
      <font>
        <b/>
        <i val="0"/>
        <strike val="0"/>
        <condense val="0"/>
        <extend val="0"/>
        <outline val="0"/>
        <shadow val="0"/>
        <u val="none"/>
        <vertAlign val="baseline"/>
        <sz val="10"/>
        <color theme="1"/>
        <name val="Calibri"/>
        <scheme val="minor"/>
      </font>
      <numFmt numFmtId="14" formatCode="0.00\ %"/>
      <border diagonalUp="0" diagonalDown="0" outline="0">
        <left style="thin">
          <color indexed="64"/>
        </left>
        <right/>
        <top style="thin">
          <color indexed="64"/>
        </top>
        <bottom style="thin">
          <color indexed="64"/>
        </bottom>
      </border>
    </dxf>
    <dxf>
      <font>
        <strike val="0"/>
        <outline val="0"/>
        <shadow val="0"/>
        <u val="none"/>
        <vertAlign val="baseline"/>
        <sz val="10"/>
        <name val="Calibri"/>
        <scheme val="minor"/>
      </font>
      <numFmt numFmtId="14" formatCode="0.00\ %"/>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strike val="0"/>
        <outline val="0"/>
        <shadow val="0"/>
        <u val="none"/>
        <vertAlign val="baseline"/>
        <sz val="10"/>
        <name val="Calibri"/>
        <scheme val="minor"/>
      </font>
      <numFmt numFmtId="14" formatCode="0.00\ %"/>
      <border diagonalUp="0" diagonalDown="0">
        <left style="thin">
          <color indexed="64"/>
        </left>
        <right style="thin">
          <color indexed="64"/>
        </right>
        <top/>
        <bottom/>
      </border>
    </dxf>
    <dxf>
      <font>
        <b/>
        <i val="0"/>
        <strike val="0"/>
        <condense val="0"/>
        <extend val="0"/>
        <outline val="0"/>
        <shadow val="0"/>
        <u val="none"/>
        <vertAlign val="baseline"/>
        <sz val="10"/>
        <color theme="1"/>
        <name val="Calibri"/>
        <scheme val="minor"/>
      </font>
      <numFmt numFmtId="14" formatCode="0.00\ %"/>
      <border diagonalUp="0" diagonalDown="0" outline="0">
        <left/>
        <right style="thin">
          <color indexed="64"/>
        </right>
        <top style="thin">
          <color indexed="64"/>
        </top>
        <bottom style="thin">
          <color indexed="64"/>
        </bottom>
      </border>
    </dxf>
    <dxf>
      <font>
        <strike val="0"/>
        <outline val="0"/>
        <shadow val="0"/>
        <u val="none"/>
        <vertAlign val="baseline"/>
        <sz val="10"/>
        <name val="Calibri"/>
        <scheme val="minor"/>
      </font>
      <numFmt numFmtId="14" formatCode="0.00\ %"/>
      <border diagonalUp="0" diagonalDown="0">
        <left style="thin">
          <color indexed="64"/>
        </left>
        <right/>
        <top/>
        <bottom/>
      </border>
    </dxf>
    <dxf>
      <font>
        <b/>
        <i val="0"/>
        <strike val="0"/>
        <condense val="0"/>
        <extend val="0"/>
        <outline val="0"/>
        <shadow val="0"/>
        <u val="none"/>
        <vertAlign val="baseline"/>
        <sz val="10"/>
        <color theme="1"/>
        <name val="Calibri"/>
        <scheme val="minor"/>
      </font>
      <numFmt numFmtId="14" formatCode="0.00\ %"/>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14" formatCode="0.00\ %"/>
      <border diagonalUp="0" diagonalDown="0">
        <left style="thin">
          <color indexed="64"/>
        </left>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numFmt numFmtId="3" formatCode="#,##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border diagonalUp="0" diagonalDown="0">
        <left style="thin">
          <color indexed="64"/>
        </left>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border diagonalUp="0" diagonalDown="0">
        <left style="thin">
          <color indexed="64"/>
        </left>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strike val="0"/>
        <outline val="0"/>
        <shadow val="0"/>
        <u val="none"/>
        <vertAlign val="baseline"/>
        <sz val="10"/>
        <name val="Calibri"/>
        <scheme val="minor"/>
      </font>
      <numFmt numFmtId="3" formatCode="#,##0"/>
      <border diagonalUp="0" diagonalDown="0" outline="0">
        <left style="thin">
          <color indexed="64"/>
        </left>
        <right/>
        <top/>
        <bottom/>
      </border>
    </dxf>
    <dxf>
      <font>
        <b/>
        <i val="0"/>
        <strike val="0"/>
        <condense val="0"/>
        <extend val="0"/>
        <outline val="0"/>
        <shadow val="0"/>
        <u val="none"/>
        <vertAlign val="baseline"/>
        <sz val="10"/>
        <color theme="1"/>
        <name val="Calibri"/>
        <scheme val="minor"/>
      </font>
      <numFmt numFmtId="3" formatCode="#,##0"/>
      <border diagonalUp="0" diagonalDown="0" outline="0">
        <left/>
        <right style="thin">
          <color indexed="64"/>
        </right>
        <top style="thin">
          <color indexed="64"/>
        </top>
        <bottom style="thin">
          <color indexed="64"/>
        </bottom>
      </border>
    </dxf>
    <dxf>
      <font>
        <strike val="0"/>
        <outline val="0"/>
        <shadow val="0"/>
        <u val="none"/>
        <vertAlign val="baseline"/>
        <sz val="10"/>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strike val="0"/>
        <outline val="0"/>
        <shadow val="0"/>
        <u val="none"/>
        <vertAlign val="baseline"/>
        <sz val="10"/>
        <name val="Calibri"/>
        <scheme val="minor"/>
      </font>
      <numFmt numFmtId="3" formatCode="#,##0"/>
      <border diagonalUp="0" diagonalDown="0">
        <left style="thin">
          <color indexed="64"/>
        </left>
        <right/>
        <top/>
        <bottom/>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border diagonalUp="0" diagonalDown="0">
        <left/>
        <right style="thin">
          <color indexed="64"/>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border diagonalUp="0" diagonalDown="0">
        <left style="thin">
          <color indexed="64"/>
        </left>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strike val="0"/>
        <outline val="0"/>
        <shadow val="0"/>
        <u val="none"/>
        <vertAlign val="baseline"/>
        <sz val="10"/>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strike val="0"/>
        <outline val="0"/>
        <shadow val="0"/>
        <u val="none"/>
        <vertAlign val="baseline"/>
        <sz val="10"/>
        <name val="Calibri"/>
        <scheme val="minor"/>
      </font>
      <numFmt numFmtId="3" formatCode="#,##0"/>
      <border diagonalUp="0" diagonalDown="0">
        <left style="thin">
          <color indexed="64"/>
        </left>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right style="thin">
          <color indexed="64"/>
        </right>
        <top style="thin">
          <color indexed="64"/>
        </top>
        <bottom style="thin">
          <color indexed="64"/>
        </bottom>
      </border>
    </dxf>
    <dxf>
      <font>
        <strike val="0"/>
        <outline val="0"/>
        <shadow val="0"/>
        <u val="none"/>
        <vertAlign val="baseline"/>
        <sz val="10"/>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strike val="0"/>
        <outline val="0"/>
        <shadow val="0"/>
        <u val="none"/>
        <vertAlign val="baseline"/>
        <sz val="10"/>
        <name val="Calibri"/>
        <scheme val="minor"/>
      </font>
      <numFmt numFmtId="3" formatCode="#,##0"/>
      <border diagonalUp="0" diagonalDown="0" outline="0">
        <left style="thin">
          <color indexed="64"/>
        </left>
        <right/>
        <top/>
        <bottom/>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strike val="0"/>
        <outline val="0"/>
        <shadow val="0"/>
        <u val="none"/>
        <vertAlign val="baseline"/>
        <sz val="10"/>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strike val="0"/>
        <outline val="0"/>
        <shadow val="0"/>
        <u val="none"/>
        <vertAlign val="baseline"/>
        <sz val="10"/>
        <name val="Calibri"/>
        <scheme val="minor"/>
      </font>
      <numFmt numFmtId="3" formatCode="#,##0"/>
      <border diagonalUp="0" diagonalDown="0" outline="0">
        <left style="thin">
          <color indexed="64"/>
        </left>
        <right/>
        <top/>
        <bottom/>
      </border>
    </dxf>
    <dxf>
      <font>
        <b/>
        <i val="0"/>
        <strike val="0"/>
        <condense val="0"/>
        <extend val="0"/>
        <outline val="0"/>
        <shadow val="0"/>
        <u val="none"/>
        <vertAlign val="baseline"/>
        <sz val="10"/>
        <color theme="1"/>
        <name val="Calibri"/>
        <scheme val="minor"/>
      </font>
      <numFmt numFmtId="3" formatCode="#,##0"/>
      <border diagonalUp="0" diagonalDown="0" outline="0">
        <left/>
        <right style="thin">
          <color indexed="64"/>
        </right>
        <top style="thin">
          <color indexed="64"/>
        </top>
        <bottom style="thin">
          <color indexed="64"/>
        </bottom>
      </border>
    </dxf>
    <dxf>
      <font>
        <strike val="0"/>
        <outline val="0"/>
        <shadow val="0"/>
        <u val="none"/>
        <vertAlign val="baseline"/>
        <sz val="10"/>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strike val="0"/>
        <outline val="0"/>
        <shadow val="0"/>
        <u val="none"/>
        <vertAlign val="baseline"/>
        <sz val="10"/>
        <name val="Calibri"/>
        <scheme val="minor"/>
      </font>
      <numFmt numFmtId="3" formatCode="#,##0"/>
      <border diagonalUp="0" diagonalDown="0" outline="0">
        <left style="thin">
          <color indexed="64"/>
        </left>
        <right/>
        <top/>
        <bottom/>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strike val="0"/>
        <outline val="0"/>
        <shadow val="0"/>
        <u val="none"/>
        <vertAlign val="baseline"/>
        <sz val="10"/>
        <name val="Calibri"/>
        <scheme val="minor"/>
      </font>
      <numFmt numFmtId="3" formatCode="#,##0"/>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strike val="0"/>
        <outline val="0"/>
        <shadow val="0"/>
        <u val="none"/>
        <vertAlign val="baseline"/>
        <sz val="10"/>
        <name val="Calibri"/>
        <scheme val="minor"/>
      </font>
      <numFmt numFmtId="14" formatCode="0.00\ %"/>
      <border diagonalUp="0" diagonalDown="0" outline="0">
        <left style="thin">
          <color indexed="64"/>
        </left>
        <right/>
        <top/>
        <bottom/>
      </border>
    </dxf>
    <dxf>
      <font>
        <b/>
        <i val="0"/>
        <strike val="0"/>
        <condense val="0"/>
        <extend val="0"/>
        <outline val="0"/>
        <shadow val="0"/>
        <u val="none"/>
        <vertAlign val="baseline"/>
        <sz val="10"/>
        <color theme="1"/>
        <name val="Calibri"/>
        <scheme val="minor"/>
      </font>
      <numFmt numFmtId="3" formatCode="#,##0"/>
      <border diagonalUp="0" diagonalDown="0" outline="0">
        <left/>
        <right style="thin">
          <color indexed="64"/>
        </right>
        <top style="thin">
          <color indexed="64"/>
        </top>
        <bottom style="thin">
          <color indexed="64"/>
        </bottom>
      </border>
    </dxf>
    <dxf>
      <font>
        <strike val="0"/>
        <outline val="0"/>
        <shadow val="0"/>
        <u val="none"/>
        <vertAlign val="baseline"/>
        <sz val="10"/>
        <name val="Calibri"/>
        <scheme val="minor"/>
      </font>
      <numFmt numFmtId="3" formatCode="#,##0"/>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strike val="0"/>
        <outline val="0"/>
        <shadow val="0"/>
        <u val="none"/>
        <vertAlign val="baseline"/>
        <sz val="10"/>
        <name val="Calibri"/>
        <scheme val="minor"/>
      </font>
      <numFmt numFmtId="14" formatCode="0.00\ %"/>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strike val="0"/>
        <outline val="0"/>
        <shadow val="0"/>
        <u val="none"/>
        <vertAlign val="baseline"/>
        <sz val="10"/>
        <name val="Calibri"/>
        <scheme val="minor"/>
      </font>
      <numFmt numFmtId="3" formatCode="#,##0"/>
      <border diagonalUp="0" diagonalDown="0" outline="0">
        <left style="thin">
          <color indexed="64"/>
        </left>
        <right/>
        <top/>
        <bottom/>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strike val="0"/>
        <outline val="0"/>
        <shadow val="0"/>
        <u val="none"/>
        <vertAlign val="baseline"/>
        <sz val="10"/>
        <name val="Calibri"/>
        <scheme val="minor"/>
      </font>
      <numFmt numFmtId="3" formatCode="#,##0"/>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strike val="0"/>
        <outline val="0"/>
        <shadow val="0"/>
        <u val="none"/>
        <vertAlign val="baseline"/>
        <sz val="10"/>
        <name val="Calibri"/>
        <scheme val="minor"/>
      </font>
      <numFmt numFmtId="14" formatCode="0.00\ %"/>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strike val="0"/>
        <outline val="0"/>
        <shadow val="0"/>
        <u val="none"/>
        <vertAlign val="baseline"/>
        <sz val="10"/>
        <name val="Calibri"/>
        <scheme val="minor"/>
      </font>
      <numFmt numFmtId="3" formatCode="#,##0"/>
      <border diagonalUp="0" diagonalDown="0" outline="0">
        <left style="thin">
          <color indexed="64"/>
        </left>
        <right/>
        <top/>
        <bottom/>
      </border>
    </dxf>
    <dxf>
      <font>
        <b/>
        <i val="0"/>
        <strike val="0"/>
        <condense val="0"/>
        <extend val="0"/>
        <outline val="0"/>
        <shadow val="0"/>
        <u val="none"/>
        <vertAlign val="baseline"/>
        <sz val="10"/>
        <color theme="1"/>
        <name val="Calibri"/>
        <scheme val="minor"/>
      </font>
      <numFmt numFmtId="3" formatCode="#,##0"/>
      <border diagonalUp="0" diagonalDown="0" outline="0">
        <left/>
        <right style="thin">
          <color indexed="64"/>
        </right>
        <top style="thin">
          <color indexed="64"/>
        </top>
        <bottom style="thin">
          <color indexed="64"/>
        </bottom>
      </border>
    </dxf>
    <dxf>
      <font>
        <strike val="0"/>
        <outline val="0"/>
        <shadow val="0"/>
        <u val="none"/>
        <vertAlign val="baseline"/>
        <sz val="10"/>
        <name val="Calibri"/>
        <scheme val="minor"/>
      </font>
      <numFmt numFmtId="3" formatCode="#,##0"/>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strike val="0"/>
        <outline val="0"/>
        <shadow val="0"/>
        <u val="none"/>
        <vertAlign val="baseline"/>
        <sz val="10"/>
        <name val="Calibri"/>
        <scheme val="minor"/>
      </font>
      <numFmt numFmtId="14" formatCode="0.00\ %"/>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strike val="0"/>
        <outline val="0"/>
        <shadow val="0"/>
        <u val="none"/>
        <vertAlign val="baseline"/>
        <sz val="10"/>
        <name val="Calibri"/>
        <scheme val="minor"/>
      </font>
      <numFmt numFmtId="3" formatCode="#,##0"/>
      <border diagonalUp="0" diagonalDown="0" outline="0">
        <left style="thin">
          <color indexed="64"/>
        </left>
        <right/>
        <top/>
        <bottom/>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strike val="0"/>
        <outline val="0"/>
        <shadow val="0"/>
        <u val="none"/>
        <vertAlign val="baseline"/>
        <sz val="10"/>
        <name val="Calibri"/>
        <scheme val="minor"/>
      </font>
      <numFmt numFmtId="3" formatCode="#,##0"/>
      <border diagonalUp="0" diagonalDown="0" outline="0">
        <left/>
        <right/>
        <top style="thin">
          <color auto="1"/>
        </top>
        <bottom style="thin">
          <color auto="1"/>
        </bottom>
      </border>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strike val="0"/>
        <outline val="0"/>
        <shadow val="0"/>
        <u val="none"/>
        <vertAlign val="baseline"/>
        <sz val="10"/>
        <name val="Calibri"/>
        <scheme val="minor"/>
      </font>
      <numFmt numFmtId="14" formatCode="0.00\ %"/>
      <border diagonalUp="0" diagonalDown="0" outline="0">
        <left/>
        <right/>
        <top style="thin">
          <color auto="1"/>
        </top>
        <bottom style="thin">
          <color auto="1"/>
        </bottom>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strike val="0"/>
        <outline val="0"/>
        <shadow val="0"/>
        <u val="none"/>
        <vertAlign val="baseline"/>
        <sz val="10"/>
        <name val="Calibri"/>
        <scheme val="minor"/>
      </font>
      <numFmt numFmtId="3" formatCode="#,##0"/>
      <border diagonalUp="0" diagonalDown="0" outline="0">
        <left style="thin">
          <color indexed="64"/>
        </left>
        <right/>
        <top style="thin">
          <color auto="1"/>
        </top>
        <bottom style="thin">
          <color auto="1"/>
        </bottom>
      </border>
    </dxf>
    <dxf>
      <font>
        <b/>
        <i val="0"/>
        <strike val="0"/>
        <condense val="0"/>
        <extend val="0"/>
        <outline val="0"/>
        <shadow val="0"/>
        <u val="none"/>
        <vertAlign val="baseline"/>
        <sz val="10"/>
        <color theme="1"/>
        <name val="Calibri"/>
        <scheme val="minor"/>
      </font>
      <numFmt numFmtId="3" formatCode="#,##0"/>
      <border diagonalUp="0" diagonalDown="0" outline="0">
        <left/>
        <right style="thin">
          <color indexed="64"/>
        </right>
        <top style="thin">
          <color indexed="64"/>
        </top>
        <bottom style="thin">
          <color indexed="64"/>
        </bottom>
      </border>
    </dxf>
    <dxf>
      <font>
        <strike val="0"/>
        <outline val="0"/>
        <shadow val="0"/>
        <u val="none"/>
        <vertAlign val="baseline"/>
        <sz val="10"/>
        <name val="Calibri"/>
        <scheme val="minor"/>
      </font>
      <numFmt numFmtId="3" formatCode="#,##0"/>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strike val="0"/>
        <outline val="0"/>
        <shadow val="0"/>
        <u val="none"/>
        <vertAlign val="baseline"/>
        <sz val="10"/>
        <name val="Calibri"/>
        <scheme val="minor"/>
      </font>
      <numFmt numFmtId="14" formatCode="0.00\ %"/>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strike val="0"/>
        <outline val="0"/>
        <shadow val="0"/>
        <u val="none"/>
        <vertAlign val="baseline"/>
        <sz val="10"/>
        <name val="Calibri"/>
        <scheme val="minor"/>
      </font>
      <numFmt numFmtId="167" formatCode="#,##0.0"/>
    </dxf>
    <dxf>
      <font>
        <b/>
        <i val="0"/>
        <strike val="0"/>
        <condense val="0"/>
        <extend val="0"/>
        <outline val="0"/>
        <shadow val="0"/>
        <u val="none"/>
        <vertAlign val="baseline"/>
        <sz val="10"/>
        <color theme="1"/>
        <name val="Calibri"/>
        <scheme val="minor"/>
      </font>
      <numFmt numFmtId="170" formatCode="#,##0.00000"/>
      <border diagonalUp="0" diagonalDown="0" outline="0">
        <left/>
        <right/>
        <top style="thin">
          <color indexed="64"/>
        </top>
        <bottom style="thin">
          <color indexed="64"/>
        </bottom>
      </border>
    </dxf>
    <dxf>
      <font>
        <strike val="0"/>
        <outline val="0"/>
        <shadow val="0"/>
        <u val="none"/>
        <vertAlign val="baseline"/>
        <sz val="10"/>
        <name val="Calibri"/>
        <scheme val="minor"/>
      </font>
      <numFmt numFmtId="170" formatCode="#,##0.00000"/>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strike val="0"/>
        <outline val="0"/>
        <shadow val="0"/>
        <u val="none"/>
        <vertAlign val="baseline"/>
        <sz val="10"/>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strike val="0"/>
        <outline val="0"/>
        <shadow val="0"/>
        <u val="none"/>
        <vertAlign val="baseline"/>
        <sz val="10"/>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strike val="0"/>
        <outline val="0"/>
        <shadow val="0"/>
        <u val="none"/>
        <vertAlign val="baseline"/>
        <sz val="10"/>
        <name val="Calibri"/>
        <scheme val="minor"/>
      </font>
      <numFmt numFmtId="3" formatCode="#,##0"/>
      <border diagonalUp="0" diagonalDown="0" outline="0">
        <left style="thin">
          <color indexed="64"/>
        </left>
        <right/>
        <top/>
        <bottom/>
      </border>
    </dxf>
    <dxf>
      <font>
        <b/>
        <i val="0"/>
        <strike val="0"/>
        <condense val="0"/>
        <extend val="0"/>
        <outline val="0"/>
        <shadow val="0"/>
        <u val="none"/>
        <vertAlign val="baseline"/>
        <sz val="10"/>
        <color theme="1"/>
        <name val="Calibri"/>
        <scheme val="minor"/>
      </font>
      <border diagonalUp="0" diagonalDown="0" outline="0">
        <left/>
        <right/>
        <top style="thin">
          <color indexed="64"/>
        </top>
        <bottom style="thin">
          <color indexed="64"/>
        </bottom>
      </border>
    </dxf>
    <dxf>
      <font>
        <strike val="0"/>
        <outline val="0"/>
        <shadow val="0"/>
        <u val="none"/>
        <vertAlign val="baseline"/>
        <sz val="10"/>
        <name val="Calibri"/>
        <scheme val="minor"/>
      </font>
      <numFmt numFmtId="0" formatCode="General"/>
    </dxf>
    <dxf>
      <font>
        <b/>
        <i val="0"/>
        <strike val="0"/>
        <condense val="0"/>
        <extend val="0"/>
        <outline val="0"/>
        <shadow val="0"/>
        <u val="none"/>
        <vertAlign val="baseline"/>
        <sz val="10"/>
        <color theme="1"/>
        <name val="Calibri"/>
        <scheme val="minor"/>
      </font>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0" formatCode="General"/>
    </dxf>
    <dxf>
      <font>
        <b/>
        <i val="0"/>
        <strike val="0"/>
        <condense val="0"/>
        <extend val="0"/>
        <outline val="0"/>
        <shadow val="0"/>
        <u val="none"/>
        <vertAlign val="baseline"/>
        <sz val="10"/>
        <color theme="1"/>
        <name val="Calibri"/>
        <scheme val="minor"/>
      </font>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0" formatCode="General"/>
    </dxf>
    <dxf>
      <font>
        <b/>
        <i val="0"/>
        <strike val="0"/>
        <condense val="0"/>
        <extend val="0"/>
        <outline val="0"/>
        <shadow val="0"/>
        <u val="none"/>
        <vertAlign val="baseline"/>
        <sz val="10"/>
        <color theme="1"/>
        <name val="Calibri"/>
        <scheme val="minor"/>
      </font>
      <border diagonalUp="0" diagonalDown="0" outline="0">
        <left/>
        <right/>
        <top style="thin">
          <color indexed="64"/>
        </top>
        <bottom style="thin">
          <color indexed="64"/>
        </bottom>
      </border>
    </dxf>
    <dxf>
      <font>
        <strike val="0"/>
        <outline val="0"/>
        <shadow val="0"/>
        <u val="none"/>
        <vertAlign val="baseline"/>
        <sz val="10"/>
        <name val="Calibri"/>
        <scheme val="minor"/>
      </font>
      <numFmt numFmtId="0" formatCode="General"/>
    </dxf>
    <dxf>
      <font>
        <b/>
        <i val="0"/>
        <strike val="0"/>
        <condense val="0"/>
        <extend val="0"/>
        <outline val="0"/>
        <shadow val="0"/>
        <u val="none"/>
        <vertAlign val="baseline"/>
        <sz val="10"/>
        <color theme="1"/>
        <name val="Calibri"/>
        <scheme val="minor"/>
      </font>
      <border diagonalUp="0" diagonalDown="0" outline="0">
        <left/>
        <right/>
        <top style="thin">
          <color indexed="64"/>
        </top>
        <bottom style="thin">
          <color indexed="64"/>
        </bottom>
      </border>
    </dxf>
    <dxf>
      <font>
        <strike val="0"/>
        <outline val="0"/>
        <shadow val="0"/>
        <u val="none"/>
        <vertAlign val="baseline"/>
        <sz val="10"/>
        <name val="Calibri"/>
        <scheme val="minor"/>
      </font>
    </dxf>
    <dxf>
      <font>
        <b/>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b/>
        <i val="0"/>
        <strike val="0"/>
        <condense val="0"/>
        <extend val="0"/>
        <outline val="0"/>
        <shadow val="0"/>
        <u val="none"/>
        <vertAlign val="baseline"/>
        <sz val="10"/>
        <color theme="1"/>
        <name val="Calibri"/>
        <scheme val="minor"/>
      </font>
      <numFmt numFmtId="14" formatCode="0.00\ %"/>
    </dxf>
    <dxf>
      <font>
        <b val="0"/>
        <i val="0"/>
        <strike val="0"/>
        <condense val="0"/>
        <extend val="0"/>
        <outline val="0"/>
        <shadow val="0"/>
        <u val="none"/>
        <vertAlign val="baseline"/>
        <sz val="10"/>
        <color theme="1"/>
        <name val="Calibri"/>
        <scheme val="minor"/>
      </font>
      <numFmt numFmtId="14" formatCode="0.00\ %"/>
    </dxf>
    <dxf>
      <font>
        <b/>
        <i val="0"/>
        <strike val="0"/>
        <condense val="0"/>
        <extend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14" formatCode="0.00\ %"/>
    </dxf>
    <dxf>
      <font>
        <b val="0"/>
        <i val="0"/>
        <strike val="0"/>
        <condense val="0"/>
        <extend val="0"/>
        <outline val="0"/>
        <shadow val="0"/>
        <u val="none"/>
        <vertAlign val="baseline"/>
        <sz val="10"/>
        <color theme="1"/>
        <name val="Calibri"/>
        <scheme val="minor"/>
      </font>
      <numFmt numFmtId="14" formatCode="0.00\ %"/>
    </dxf>
    <dxf>
      <font>
        <b/>
        <i val="0"/>
        <strike val="0"/>
        <condense val="0"/>
        <extend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14" formatCode="0.00\ %"/>
    </dxf>
    <dxf>
      <font>
        <b val="0"/>
        <i val="0"/>
        <strike val="0"/>
        <condense val="0"/>
        <extend val="0"/>
        <outline val="0"/>
        <shadow val="0"/>
        <u val="none"/>
        <vertAlign val="baseline"/>
        <sz val="10"/>
        <color theme="1"/>
        <name val="Calibri"/>
        <scheme val="minor"/>
      </font>
      <numFmt numFmtId="14" formatCode="0.00\ %"/>
    </dxf>
    <dxf>
      <font>
        <b/>
        <i val="0"/>
        <strike val="0"/>
        <condense val="0"/>
        <extend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14" formatCode="0.00\ %"/>
    </dxf>
    <dxf>
      <font>
        <b val="0"/>
        <i val="0"/>
        <strike val="0"/>
        <condense val="0"/>
        <extend val="0"/>
        <outline val="0"/>
        <shadow val="0"/>
        <u val="none"/>
        <vertAlign val="baseline"/>
        <sz val="10"/>
        <color theme="1"/>
        <name val="Calibri"/>
        <scheme val="minor"/>
      </font>
      <numFmt numFmtId="14" formatCode="0.00\ %"/>
    </dxf>
    <dxf>
      <font>
        <b/>
        <i val="0"/>
        <strike val="0"/>
        <condense val="0"/>
        <extend val="0"/>
        <outline val="0"/>
        <shadow val="0"/>
        <u val="none"/>
        <vertAlign val="baseline"/>
        <sz val="10"/>
        <color theme="1"/>
        <name val="Calibri"/>
        <scheme val="minor"/>
      </font>
      <numFmt numFmtId="14" formatCode="0.00\ %"/>
    </dxf>
    <dxf>
      <font>
        <b val="0"/>
        <i val="0"/>
        <strike val="0"/>
        <condense val="0"/>
        <extend val="0"/>
        <outline val="0"/>
        <shadow val="0"/>
        <u val="none"/>
        <vertAlign val="baseline"/>
        <sz val="10"/>
        <color theme="1"/>
        <name val="Calibri"/>
        <scheme val="minor"/>
      </font>
      <numFmt numFmtId="14" formatCode="0.00\ %"/>
    </dxf>
    <dxf>
      <font>
        <b/>
        <i val="0"/>
        <strike val="0"/>
        <condense val="0"/>
        <extend val="0"/>
        <outline val="0"/>
        <shadow val="0"/>
        <u val="none"/>
        <vertAlign val="baseline"/>
        <sz val="10"/>
        <color theme="1"/>
        <name val="Calibri"/>
        <scheme val="minor"/>
      </font>
      <numFmt numFmtId="14" formatCode="0.00\ %"/>
    </dxf>
    <dxf>
      <font>
        <b val="0"/>
        <i val="0"/>
        <strike val="0"/>
        <condense val="0"/>
        <extend val="0"/>
        <outline val="0"/>
        <shadow val="0"/>
        <u val="none"/>
        <vertAlign val="baseline"/>
        <sz val="10"/>
        <color theme="1"/>
        <name val="Calibri"/>
        <scheme val="minor"/>
      </font>
      <numFmt numFmtId="14" formatCode="0.00\ %"/>
    </dxf>
    <dxf>
      <font>
        <b/>
        <i val="0"/>
        <strike val="0"/>
        <condense val="0"/>
        <extend val="0"/>
        <outline val="0"/>
        <shadow val="0"/>
        <u val="none"/>
        <vertAlign val="baseline"/>
        <sz val="10"/>
        <color theme="1"/>
        <name val="Calibri"/>
        <scheme val="minor"/>
      </font>
      <numFmt numFmtId="14" formatCode="0.00\ %"/>
    </dxf>
    <dxf>
      <font>
        <b val="0"/>
        <i val="0"/>
        <strike val="0"/>
        <condense val="0"/>
        <extend val="0"/>
        <outline val="0"/>
        <shadow val="0"/>
        <u val="none"/>
        <vertAlign val="baseline"/>
        <sz val="10"/>
        <color theme="1"/>
        <name val="Calibri"/>
        <scheme val="minor"/>
      </font>
      <numFmt numFmtId="14" formatCode="0.00\ %"/>
    </dxf>
    <dxf>
      <font>
        <b/>
        <i val="0"/>
        <strike val="0"/>
        <condense val="0"/>
        <extend val="0"/>
        <outline val="0"/>
        <shadow val="0"/>
        <u val="none"/>
        <vertAlign val="baseline"/>
        <sz val="10"/>
        <color theme="1"/>
        <name val="Calibri"/>
        <scheme val="minor"/>
      </font>
      <numFmt numFmtId="14" formatCode="0.00\ %"/>
    </dxf>
    <dxf>
      <font>
        <b val="0"/>
        <i val="0"/>
        <strike val="0"/>
        <condense val="0"/>
        <extend val="0"/>
        <outline val="0"/>
        <shadow val="0"/>
        <u val="none"/>
        <vertAlign val="baseline"/>
        <sz val="10"/>
        <color theme="1"/>
        <name val="Calibri"/>
        <scheme val="minor"/>
      </font>
      <numFmt numFmtId="14" formatCode="0.00\ %"/>
    </dxf>
    <dxf>
      <font>
        <b/>
        <i val="0"/>
        <strike val="0"/>
        <condense val="0"/>
        <extend val="0"/>
        <outline val="0"/>
        <shadow val="0"/>
        <u val="none"/>
        <vertAlign val="baseline"/>
        <sz val="10"/>
        <color theme="1"/>
        <name val="Calibri"/>
        <scheme val="minor"/>
      </font>
      <numFmt numFmtId="14" formatCode="0.00\ %"/>
    </dxf>
    <dxf>
      <font>
        <b val="0"/>
        <i val="0"/>
        <strike val="0"/>
        <condense val="0"/>
        <extend val="0"/>
        <outline val="0"/>
        <shadow val="0"/>
        <u val="none"/>
        <vertAlign val="baseline"/>
        <sz val="10"/>
        <color theme="1"/>
        <name val="Calibri"/>
        <scheme val="minor"/>
      </font>
      <numFmt numFmtId="14" formatCode="0.00\ %"/>
    </dxf>
    <dxf>
      <font>
        <b/>
        <i val="0"/>
        <strike val="0"/>
        <condense val="0"/>
        <extend val="0"/>
        <outline val="0"/>
        <shadow val="0"/>
        <u val="none"/>
        <vertAlign val="baseline"/>
        <sz val="10"/>
        <color theme="1"/>
        <name val="Calibri"/>
        <scheme val="minor"/>
      </font>
      <numFmt numFmtId="14" formatCode="0.00\ %"/>
    </dxf>
    <dxf>
      <numFmt numFmtId="14" formatCode="0.00\ %"/>
    </dxf>
    <dxf>
      <font>
        <b/>
        <i val="0"/>
        <strike val="0"/>
        <condense val="0"/>
        <extend val="0"/>
        <outline val="0"/>
        <shadow val="0"/>
        <u val="none"/>
        <vertAlign val="baseline"/>
        <sz val="10"/>
        <color theme="1"/>
        <name val="Calibri"/>
        <scheme val="none"/>
      </font>
      <fill>
        <patternFill patternType="none">
          <fgColor indexed="64"/>
          <bgColor indexed="65"/>
        </patternFill>
      </fill>
    </dxf>
    <dxf>
      <font>
        <b val="0"/>
        <i val="0"/>
        <strike val="0"/>
        <condense val="0"/>
        <extend val="0"/>
        <outline val="0"/>
        <shadow val="0"/>
        <u val="none"/>
        <vertAlign val="baseline"/>
        <sz val="10"/>
        <color theme="1"/>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Calibri"/>
        <scheme val="none"/>
      </font>
      <fill>
        <patternFill patternType="none">
          <fgColor indexed="64"/>
          <bgColor indexed="65"/>
        </patternFill>
      </fill>
    </dxf>
    <dxf>
      <font>
        <b val="0"/>
        <i val="0"/>
        <strike val="0"/>
        <condense val="0"/>
        <extend val="0"/>
        <outline val="0"/>
        <shadow val="0"/>
        <u val="none"/>
        <vertAlign val="baseline"/>
        <sz val="10"/>
        <color theme="1"/>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Calibri"/>
        <scheme val="none"/>
      </font>
      <fill>
        <patternFill patternType="none">
          <fgColor indexed="64"/>
          <bgColor indexed="65"/>
        </patternFill>
      </fill>
    </dxf>
    <dxf>
      <font>
        <b val="0"/>
        <i val="0"/>
        <strike val="0"/>
        <condense val="0"/>
        <extend val="0"/>
        <outline val="0"/>
        <shadow val="0"/>
        <u val="none"/>
        <vertAlign val="baseline"/>
        <sz val="10"/>
        <color theme="1"/>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Calibri"/>
        <scheme val="none"/>
      </font>
      <fill>
        <patternFill patternType="none">
          <fgColor indexed="64"/>
          <bgColor indexed="65"/>
        </patternFill>
      </fill>
    </dxf>
    <dxf>
      <font>
        <b val="0"/>
        <i val="0"/>
        <strike val="0"/>
        <condense val="0"/>
        <extend val="0"/>
        <outline val="0"/>
        <shadow val="0"/>
        <u val="none"/>
        <vertAlign val="baseline"/>
        <sz val="10"/>
        <color theme="1"/>
        <name val="Calibri"/>
        <scheme val="none"/>
      </font>
      <numFmt numFmtId="0" formatCode="General"/>
      <fill>
        <patternFill patternType="none">
          <fgColor indexed="64"/>
          <bgColor indexed="65"/>
        </patternFill>
      </fill>
    </dxf>
    <dxf>
      <border>
        <top style="thin">
          <color indexed="64"/>
        </top>
      </border>
    </dxf>
    <dxf>
      <font>
        <b/>
      </font>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0"/>
        <color theme="1"/>
        <name val="Calibri"/>
      </font>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0"/>
        <color theme="1"/>
        <name val="Calibri"/>
      </font>
      <numFmt numFmtId="3" formatCode="#,##0"/>
      <border diagonalUp="0" diagonalDown="0">
        <left style="thin">
          <color indexed="64"/>
        </left>
        <right style="thin">
          <color indexed="64"/>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0"/>
        <color theme="1"/>
        <name val="Calibri"/>
      </font>
      <numFmt numFmtId="3" formatCode="#,##0"/>
      <border diagonalUp="0" diagonalDown="0">
        <left style="thin">
          <color indexed="64"/>
        </left>
        <right style="thin">
          <color indexed="64"/>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fill>
        <patternFill patternType="none">
          <fgColor indexed="64"/>
          <bgColor auto="1"/>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style="thin">
          <color indexed="64"/>
        </right>
        <top style="thin">
          <color indexed="64"/>
        </top>
        <bottom style="thin">
          <color indexed="64"/>
        </bottom>
      </border>
    </dxf>
    <dxf>
      <font>
        <i val="0"/>
        <strike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fill>
        <patternFill patternType="none">
          <fgColor indexed="64"/>
          <bgColor indexed="65"/>
        </patternFill>
      </fill>
      <border diagonalUp="0" diagonalDown="0" outline="0">
        <left/>
        <right style="thin">
          <color indexed="64"/>
        </right>
        <top style="thin">
          <color indexed="64"/>
        </top>
        <bottom style="thin">
          <color indexed="64"/>
        </bottom>
      </border>
    </dxf>
    <dxf>
      <font>
        <i val="0"/>
        <strike val="0"/>
        <outline val="0"/>
        <shadow val="0"/>
        <u val="none"/>
        <vertAlign val="baseline"/>
        <sz val="10"/>
        <color theme="1"/>
        <name val="Calibri"/>
      </font>
      <numFmt numFmtId="3" formatCode="#,##0"/>
      <fill>
        <patternFill patternType="none">
          <fgColor indexed="64"/>
          <bgColor auto="1"/>
        </patternFill>
      </fill>
      <border diagonalUp="0" diagonalDown="0">
        <left/>
        <right style="thin">
          <color indexed="64"/>
        </right>
        <top/>
        <bottom/>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i val="0"/>
        <strike val="0"/>
        <outline val="0"/>
        <shadow val="0"/>
        <u val="none"/>
        <vertAlign val="baseline"/>
        <sz val="10"/>
        <color theme="1"/>
        <name val="Calibri"/>
      </font>
      <numFmt numFmtId="3" formatCode="#,##0"/>
      <border diagonalUp="0" diagonalDown="0">
        <left style="thin">
          <color indexed="64"/>
        </left>
        <right/>
        <top/>
        <bottom/>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border diagonalUp="0" diagonalDown="0">
        <left/>
        <right style="thin">
          <color indexed="64"/>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i val="0"/>
        <strike val="0"/>
        <outline val="0"/>
        <shadow val="0"/>
        <u val="none"/>
        <vertAlign val="baseline"/>
        <sz val="10"/>
        <color theme="1"/>
        <name val="Calibri"/>
      </font>
      <numFmt numFmtId="3" formatCode="#,##0"/>
      <border diagonalUp="0" diagonalDown="0">
        <left style="thin">
          <color indexed="64"/>
        </left>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3" formatCode="#,##0"/>
      <border diagonalUp="0" diagonalDown="0">
        <left/>
        <right style="thin">
          <color indexed="64"/>
        </right>
        <top/>
        <bottom/>
        <vertical/>
        <horizontal/>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i val="0"/>
        <strike val="0"/>
        <outline val="0"/>
        <shadow val="0"/>
        <u val="none"/>
        <vertAlign val="baseline"/>
        <sz val="10"/>
        <color theme="1"/>
        <name val="Calibri"/>
      </font>
      <numFmt numFmtId="3" formatCode="#,##0"/>
      <border diagonalUp="0" diagonalDown="0">
        <left style="thin">
          <color indexed="64"/>
        </left>
        <right/>
        <top/>
        <bottom/>
      </border>
    </dxf>
    <dxf>
      <font>
        <b/>
        <i val="0"/>
        <strike val="0"/>
        <condense val="0"/>
        <extend val="0"/>
        <outline val="0"/>
        <shadow val="0"/>
        <u val="none"/>
        <vertAlign val="baseline"/>
        <sz val="10"/>
        <color theme="1"/>
        <name val="Calibri"/>
        <scheme val="minor"/>
      </font>
      <numFmt numFmtId="3" formatCode="#,##0"/>
      <border diagonalUp="0" diagonalDown="0" outline="0">
        <left/>
        <right style="thin">
          <color indexed="64"/>
        </right>
        <top style="thin">
          <color indexed="64"/>
        </top>
        <bottom style="thin">
          <color indexed="64"/>
        </bottom>
      </border>
    </dxf>
    <dxf>
      <font>
        <i val="0"/>
        <strike val="0"/>
        <outline val="0"/>
        <shadow val="0"/>
        <u val="none"/>
        <vertAlign val="baseline"/>
        <sz val="10"/>
        <color theme="1"/>
        <name val="Calibri"/>
      </font>
      <numFmt numFmtId="3" formatCode="#,##0"/>
      <border diagonalUp="0" diagonalDown="0">
        <left/>
        <right style="thin">
          <color indexed="64"/>
        </right>
        <top/>
        <bottom/>
      </border>
    </dxf>
    <dxf>
      <font>
        <b/>
        <i val="0"/>
        <strike val="0"/>
        <condense val="0"/>
        <extend val="0"/>
        <outline val="0"/>
        <shadow val="0"/>
        <u val="none"/>
        <vertAlign val="baseline"/>
        <sz val="10"/>
        <color theme="1"/>
        <name val="Calibri"/>
        <scheme val="minor"/>
      </font>
      <numFmt numFmtId="3" formatCode="#,##0"/>
      <border diagonalUp="0" diagonalDown="0" outline="0">
        <left style="thin">
          <color indexed="64"/>
        </left>
        <right/>
        <top style="thin">
          <color indexed="64"/>
        </top>
        <bottom style="thin">
          <color indexed="64"/>
        </bottom>
      </border>
    </dxf>
    <dxf>
      <font>
        <i val="0"/>
        <strike val="0"/>
        <outline val="0"/>
        <shadow val="0"/>
        <u val="none"/>
        <vertAlign val="baseline"/>
        <sz val="10"/>
        <color theme="1"/>
        <name val="Calibri"/>
      </font>
      <numFmt numFmtId="3" formatCode="#,##0"/>
      <border diagonalUp="0" diagonalDown="0">
        <left style="thin">
          <color indexed="64"/>
        </left>
        <right/>
        <top/>
        <bottom/>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3" formatCode="#,##0"/>
    </dxf>
    <dxf>
      <font>
        <b/>
        <i val="0"/>
        <strike val="0"/>
        <condense val="0"/>
        <extend val="0"/>
        <outline val="0"/>
        <shadow val="0"/>
        <u val="none"/>
        <vertAlign val="baseline"/>
        <sz val="10"/>
        <color theme="1"/>
        <name val="Calibri"/>
        <scheme val="minor"/>
      </font>
      <numFmt numFmtId="3" formatCode="#,##0"/>
      <border diagonalUp="0" diagonalDown="0" outline="0">
        <left/>
        <right style="thin">
          <color indexed="64"/>
        </right>
        <top style="thin">
          <color indexed="64"/>
        </top>
        <bottom style="thin">
          <color indexed="64"/>
        </bottom>
      </border>
    </dxf>
    <dxf>
      <font>
        <i val="0"/>
        <strike val="0"/>
        <outline val="0"/>
        <shadow val="0"/>
        <u val="none"/>
        <vertAlign val="baseline"/>
        <sz val="10"/>
        <color theme="1"/>
        <name val="Calibri"/>
      </font>
      <numFmt numFmtId="3" formatCode="#,##0"/>
      <border diagonalUp="0" diagonalDown="0">
        <left/>
        <right style="thin">
          <color indexed="64"/>
        </right>
        <top style="thin">
          <color auto="1"/>
        </top>
        <bottom style="thin">
          <color auto="1"/>
        </bottom>
      </border>
    </dxf>
    <dxf>
      <font>
        <b/>
        <i val="0"/>
        <strike val="0"/>
        <condense val="0"/>
        <extend val="0"/>
        <outline val="0"/>
        <shadow val="0"/>
        <u val="none"/>
        <vertAlign val="baseline"/>
        <sz val="10"/>
        <color theme="1"/>
        <name val="Calibri"/>
        <scheme val="minor"/>
      </font>
      <numFmt numFmtId="14" formatCode="0.00\ %"/>
      <border diagonalUp="0" diagonalDown="0" outline="0">
        <left style="thin">
          <color indexed="64"/>
        </left>
        <right/>
        <top style="thin">
          <color indexed="64"/>
        </top>
        <bottom style="thin">
          <color indexed="64"/>
        </bottom>
      </border>
    </dxf>
    <dxf>
      <font>
        <i val="0"/>
        <strike val="0"/>
        <outline val="0"/>
        <shadow val="0"/>
        <u val="none"/>
        <vertAlign val="baseline"/>
        <sz val="10"/>
        <color theme="1"/>
        <name val="Calibri"/>
      </font>
      <numFmt numFmtId="14" formatCode="0.00\ %"/>
      <border diagonalUp="0" diagonalDown="0">
        <left style="thin">
          <color indexed="64"/>
        </left>
        <right/>
        <top style="thin">
          <color auto="1"/>
        </top>
        <bottom style="thin">
          <color auto="1"/>
        </bottom>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3" formatCode="#,##0"/>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4" formatCode="0.00\ %"/>
    </dxf>
    <dxf>
      <font>
        <b/>
        <i val="0"/>
        <strike val="0"/>
        <condense val="0"/>
        <extend val="0"/>
        <outline val="0"/>
        <shadow val="0"/>
        <u val="none"/>
        <vertAlign val="baseline"/>
        <sz val="10"/>
        <color theme="1"/>
        <name val="Calibri"/>
        <scheme val="minor"/>
      </font>
      <numFmt numFmtId="167" formatCode="#,##0.0"/>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67" formatCode="#,##0.0"/>
    </dxf>
    <dxf>
      <font>
        <b/>
        <i val="0"/>
        <strike val="0"/>
        <condense val="0"/>
        <extend val="0"/>
        <outline val="0"/>
        <shadow val="0"/>
        <u val="none"/>
        <vertAlign val="baseline"/>
        <sz val="10"/>
        <color theme="1"/>
        <name val="Calibri"/>
        <scheme val="minor"/>
      </font>
      <numFmt numFmtId="3" formatCode="#,##0"/>
      <border diagonalUp="0" diagonalDown="0" outline="0">
        <left/>
        <right style="thin">
          <color indexed="64"/>
        </right>
        <top style="thin">
          <color indexed="64"/>
        </top>
        <bottom style="thin">
          <color indexed="64"/>
        </bottom>
      </border>
    </dxf>
    <dxf>
      <font>
        <i val="0"/>
        <strike val="0"/>
        <outline val="0"/>
        <shadow val="0"/>
        <u val="none"/>
        <vertAlign val="baseline"/>
        <sz val="10"/>
        <color theme="1"/>
        <name val="Calibri"/>
        <scheme val="minor"/>
      </font>
      <numFmt numFmtId="3" formatCode="#,##0"/>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4" formatCode="0.00\ %"/>
    </dxf>
    <dxf>
      <font>
        <b/>
        <i val="0"/>
        <strike val="0"/>
        <condense val="0"/>
        <extend val="0"/>
        <outline val="0"/>
        <shadow val="0"/>
        <u val="none"/>
        <vertAlign val="baseline"/>
        <sz val="10"/>
        <color theme="1"/>
        <name val="Calibri"/>
        <scheme val="minor"/>
      </font>
      <numFmt numFmtId="167" formatCode="#,##0.0"/>
      <border diagonalUp="0" diagonalDown="0" outline="0">
        <left style="thin">
          <color indexed="64"/>
        </left>
        <right/>
        <top style="thin">
          <color indexed="64"/>
        </top>
        <bottom style="thin">
          <color indexed="64"/>
        </bottom>
      </border>
    </dxf>
    <dxf>
      <font>
        <i val="0"/>
        <strike val="0"/>
        <outline val="0"/>
        <shadow val="0"/>
        <u val="none"/>
        <vertAlign val="baseline"/>
        <sz val="10"/>
        <color theme="1"/>
        <name val="Calibri"/>
      </font>
      <numFmt numFmtId="167" formatCode="#,##0.0"/>
      <border diagonalUp="0" diagonalDown="0" outline="0">
        <left style="thin">
          <color auto="1"/>
        </left>
        <right/>
        <top/>
        <bottom/>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3" formatCode="#,##0"/>
      <border outline="0">
        <right style="thin">
          <color indexed="64"/>
        </right>
      </border>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4" formatCode="0.00\ %"/>
    </dxf>
    <dxf>
      <font>
        <b/>
        <i val="0"/>
        <strike val="0"/>
        <condense val="0"/>
        <extend val="0"/>
        <outline val="0"/>
        <shadow val="0"/>
        <u val="none"/>
        <vertAlign val="baseline"/>
        <sz val="10"/>
        <color theme="1"/>
        <name val="Calibri"/>
        <scheme val="minor"/>
      </font>
      <numFmt numFmtId="167" formatCode="#,##0.0"/>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67" formatCode="#,##0.0"/>
    </dxf>
    <dxf>
      <font>
        <b/>
        <i val="0"/>
        <strike val="0"/>
        <condense val="0"/>
        <extend val="0"/>
        <outline val="0"/>
        <shadow val="0"/>
        <u val="none"/>
        <vertAlign val="baseline"/>
        <sz val="10"/>
        <color theme="1"/>
        <name val="Calibri"/>
        <scheme val="minor"/>
      </font>
      <numFmt numFmtId="3" formatCode="#,##0"/>
      <border diagonalUp="0" diagonalDown="0" outline="0">
        <left/>
        <right style="thin">
          <color indexed="64"/>
        </right>
        <top style="thin">
          <color indexed="64"/>
        </top>
        <bottom style="thin">
          <color indexed="64"/>
        </bottom>
      </border>
    </dxf>
    <dxf>
      <font>
        <i val="0"/>
        <strike val="0"/>
        <outline val="0"/>
        <shadow val="0"/>
        <u val="none"/>
        <vertAlign val="baseline"/>
        <sz val="10"/>
        <color theme="1"/>
        <name val="Calibri"/>
      </font>
      <numFmt numFmtId="3" formatCode="#,##0"/>
      <border diagonalUp="0" diagonalDown="0" outline="0">
        <left/>
        <right/>
        <top style="thin">
          <color auto="1"/>
        </top>
        <bottom style="thin">
          <color auto="1"/>
        </bottom>
      </border>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4" formatCode="0.00\ %"/>
      <border diagonalUp="0" diagonalDown="0" outline="0">
        <left/>
        <right/>
        <top style="thin">
          <color auto="1"/>
        </top>
        <bottom style="thin">
          <color auto="1"/>
        </bottom>
      </border>
    </dxf>
    <dxf>
      <font>
        <b/>
        <i val="0"/>
        <strike val="0"/>
        <condense val="0"/>
        <extend val="0"/>
        <outline val="0"/>
        <shadow val="0"/>
        <u val="none"/>
        <vertAlign val="baseline"/>
        <sz val="10"/>
        <color theme="1"/>
        <name val="Calibri"/>
        <scheme val="minor"/>
      </font>
      <numFmt numFmtId="167" formatCode="#,##0.0"/>
      <border diagonalUp="0" diagonalDown="0" outline="0">
        <left style="thin">
          <color indexed="64"/>
        </left>
        <right/>
        <top style="thin">
          <color indexed="64"/>
        </top>
        <bottom style="thin">
          <color indexed="64"/>
        </bottom>
      </border>
    </dxf>
    <dxf>
      <font>
        <i val="0"/>
        <strike val="0"/>
        <outline val="0"/>
        <shadow val="0"/>
        <u val="none"/>
        <vertAlign val="baseline"/>
        <sz val="10"/>
        <color theme="1"/>
        <name val="Calibri"/>
      </font>
      <numFmt numFmtId="167" formatCode="#,##0.0"/>
      <border diagonalUp="0" diagonalDown="0" outline="0">
        <left style="thin">
          <color indexed="64"/>
        </left>
        <right/>
        <top style="thin">
          <color auto="1"/>
        </top>
        <bottom style="thin">
          <color auto="1"/>
        </bottom>
      </border>
    </dxf>
    <dxf>
      <font>
        <b/>
        <i val="0"/>
        <strike val="0"/>
        <condense val="0"/>
        <extend val="0"/>
        <outline val="0"/>
        <shadow val="0"/>
        <u val="none"/>
        <vertAlign val="baseline"/>
        <sz val="10"/>
        <color theme="1"/>
        <name val="Calibri"/>
        <scheme val="minor"/>
      </font>
      <numFmt numFmtId="3" formatCode="#,##0"/>
      <border diagonalUp="0" diagonalDown="0" outline="0">
        <left/>
        <right/>
        <top style="thin">
          <color indexed="64"/>
        </top>
        <bottom style="thin">
          <color indexed="64"/>
        </bottom>
      </border>
    </dxf>
    <dxf>
      <font>
        <i val="0"/>
        <strike val="0"/>
        <outline val="0"/>
        <shadow val="0"/>
        <u val="none"/>
        <vertAlign val="baseline"/>
        <sz val="10"/>
        <color theme="1"/>
        <name val="Calibri"/>
        <scheme val="minor"/>
      </font>
      <numFmt numFmtId="3" formatCode="#,##0"/>
      <border outline="0">
        <right style="thin">
          <color indexed="64"/>
        </right>
      </border>
    </dxf>
    <dxf>
      <font>
        <b/>
        <i val="0"/>
        <strike val="0"/>
        <condense val="0"/>
        <extend val="0"/>
        <outline val="0"/>
        <shadow val="0"/>
        <u val="none"/>
        <vertAlign val="baseline"/>
        <sz val="10"/>
        <color theme="1"/>
        <name val="Calibri"/>
        <scheme val="minor"/>
      </font>
      <numFmt numFmtId="14" formatCode="0.00\ %"/>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4" formatCode="0.00\ %"/>
    </dxf>
    <dxf>
      <font>
        <b/>
        <i val="0"/>
        <strike val="0"/>
        <condense val="0"/>
        <extend val="0"/>
        <outline val="0"/>
        <shadow val="0"/>
        <u val="none"/>
        <vertAlign val="baseline"/>
        <sz val="10"/>
        <color theme="1"/>
        <name val="Calibri"/>
        <scheme val="minor"/>
      </font>
      <numFmt numFmtId="167" formatCode="#,##0.0"/>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67" formatCode="#,##0.0"/>
    </dxf>
    <dxf>
      <font>
        <b/>
        <i val="0"/>
        <strike val="0"/>
        <condense val="0"/>
        <extend val="0"/>
        <outline val="0"/>
        <shadow val="0"/>
        <u val="none"/>
        <vertAlign val="baseline"/>
        <sz val="10"/>
        <color theme="1"/>
        <name val="Calibri"/>
        <scheme val="minor"/>
      </font>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168" formatCode="0.00000"/>
    </dxf>
    <dxf>
      <font>
        <b/>
        <i val="0"/>
        <strike val="0"/>
        <condense val="0"/>
        <extend val="0"/>
        <outline val="0"/>
        <shadow val="0"/>
        <u val="none"/>
        <vertAlign val="baseline"/>
        <sz val="10"/>
        <color theme="1"/>
        <name val="Calibri"/>
        <scheme val="minor"/>
      </font>
      <numFmt numFmtId="3" formatCode="#,##0"/>
      <fill>
        <patternFill patternType="none">
          <fgColor indexed="64"/>
          <bgColor indexed="65"/>
        </patternFill>
      </fill>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3" formatCode="#,##0"/>
    </dxf>
    <dxf>
      <font>
        <b/>
        <i val="0"/>
        <strike val="0"/>
        <condense val="0"/>
        <extend val="0"/>
        <outline val="0"/>
        <shadow val="0"/>
        <u val="none"/>
        <vertAlign val="baseline"/>
        <sz val="10"/>
        <color theme="1"/>
        <name val="Calibri"/>
        <scheme val="minor"/>
      </font>
      <numFmt numFmtId="3" formatCode="#,##0"/>
      <fill>
        <patternFill patternType="none">
          <fgColor indexed="64"/>
          <bgColor indexed="65"/>
        </patternFill>
      </fill>
      <border diagonalUp="0" diagonalDown="0" outline="0">
        <left/>
        <right/>
        <top style="thin">
          <color indexed="64"/>
        </top>
        <bottom style="thin">
          <color indexed="64"/>
        </bottom>
      </border>
    </dxf>
    <dxf>
      <font>
        <i val="0"/>
        <strike val="0"/>
        <outline val="0"/>
        <shadow val="0"/>
        <u val="none"/>
        <vertAlign val="baseline"/>
        <sz val="10"/>
        <color theme="1"/>
        <name val="Calibri"/>
      </font>
      <numFmt numFmtId="3" formatCode="#,##0"/>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0"/>
        <color theme="1"/>
        <name val="Calibri"/>
        <scheme val="minor"/>
      </font>
      <numFmt numFmtId="3" formatCode="#,##0"/>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i val="0"/>
        <strike val="0"/>
        <outline val="0"/>
        <shadow val="0"/>
        <u val="none"/>
        <vertAlign val="baseline"/>
        <sz val="10"/>
        <color theme="1"/>
        <name val="Calibri"/>
      </font>
      <numFmt numFmtId="3" formatCode="#,##0"/>
      <alignment horizontal="right" vertical="bottom" textRotation="0" wrapText="0" indent="0" justifyLastLine="0" shrinkToFit="0" readingOrder="0"/>
      <border diagonalUp="0" diagonalDown="0">
        <left style="thin">
          <color indexed="64"/>
        </left>
        <right/>
        <top/>
        <bottom/>
      </border>
    </dxf>
    <dxf>
      <font>
        <b/>
        <i val="0"/>
        <strike val="0"/>
        <condense val="0"/>
        <extend val="0"/>
        <outline val="0"/>
        <shadow val="0"/>
        <u val="none"/>
        <vertAlign val="baseline"/>
        <sz val="10"/>
        <color theme="1"/>
        <name val="Calibri"/>
        <scheme val="none"/>
      </font>
      <fill>
        <patternFill patternType="none">
          <fgColor indexed="64"/>
          <bgColor indexed="6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Calibri"/>
        <scheme val="none"/>
      </font>
      <fill>
        <patternFill patternType="none">
          <fgColor indexed="64"/>
          <bgColor indexed="6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none"/>
      </font>
      <numFmt numFmtId="0" formatCode="General"/>
      <fill>
        <patternFill patternType="none">
          <fgColor indexed="64"/>
          <bgColor indexed="65"/>
        </patternFill>
      </fill>
      <border diagonalUp="0" diagonalDown="0">
        <left/>
        <right style="thin">
          <color indexed="64"/>
        </right>
        <top/>
        <bottom/>
      </border>
    </dxf>
    <dxf>
      <font>
        <b/>
        <i val="0"/>
        <strike val="0"/>
        <condense val="0"/>
        <extend val="0"/>
        <outline val="0"/>
        <shadow val="0"/>
        <u val="none"/>
        <vertAlign val="baseline"/>
        <sz val="10"/>
        <color theme="1"/>
        <name val="Calibri"/>
        <scheme val="none"/>
      </font>
      <fill>
        <patternFill patternType="none">
          <fgColor indexed="64"/>
          <bgColor indexed="6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Calibri"/>
        <scheme val="none"/>
      </font>
      <fill>
        <patternFill patternType="none">
          <fgColor indexed="64"/>
          <bgColor indexed="6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scheme val="none"/>
      </font>
      <numFmt numFmtId="0" formatCode="General"/>
      <fill>
        <patternFill patternType="none">
          <fgColor indexed="64"/>
          <bgColor indexed="65"/>
        </patternFill>
      </fill>
    </dxf>
    <dxf>
      <font>
        <b/>
        <i val="0"/>
        <strike val="0"/>
        <condense val="0"/>
        <extend val="0"/>
        <outline val="0"/>
        <shadow val="0"/>
        <u val="none"/>
        <vertAlign val="baseline"/>
        <sz val="10"/>
        <color theme="1"/>
        <name val="Calibri"/>
        <scheme val="minor"/>
      </font>
      <border diagonalUp="0" diagonalDown="0" outline="0">
        <left/>
        <right/>
        <top style="thin">
          <color indexed="64"/>
        </top>
        <bottom style="thin">
          <color indexed="64"/>
        </bottom>
      </border>
    </dxf>
    <dxf>
      <font>
        <i val="0"/>
        <strike val="0"/>
        <outline val="0"/>
        <shadow val="0"/>
        <u val="none"/>
        <vertAlign val="baseline"/>
        <sz val="10"/>
        <color theme="1"/>
        <name val="Calibri"/>
        <scheme val="none"/>
      </font>
      <numFmt numFmtId="0" formatCode="General"/>
      <fill>
        <patternFill patternType="none">
          <fgColor indexed="64"/>
          <bgColor indexed="65"/>
        </patternFill>
      </fill>
    </dxf>
    <dxf>
      <border>
        <top style="thin">
          <color indexed="64"/>
        </top>
      </border>
    </dxf>
    <dxf>
      <font>
        <b/>
        <strike val="0"/>
        <outline val="0"/>
        <shadow val="0"/>
        <u val="none"/>
        <vertAlign val="baseline"/>
        <sz val="10"/>
      </font>
    </dxf>
    <dxf>
      <font>
        <i val="0"/>
        <strike val="0"/>
        <outline val="0"/>
        <shadow val="0"/>
        <u val="none"/>
        <vertAlign val="baseline"/>
        <sz val="10"/>
        <color theme="1"/>
        <name val="Calibri"/>
      </font>
    </dxf>
    <dxf>
      <font>
        <strike val="0"/>
        <outline val="0"/>
        <shadow val="0"/>
        <u val="none"/>
        <vertAlign val="baseline"/>
        <sz val="10"/>
      </font>
      <alignment vertical="bottom" textRotation="0" indent="0" justifyLastLine="0" shrinkToFit="0" readingOrder="0"/>
    </dxf>
    <dxf>
      <numFmt numFmtId="0" formatCode="General"/>
    </dxf>
    <dxf>
      <numFmt numFmtId="0" formatCode="General"/>
    </dxf>
    <dxf>
      <numFmt numFmtId="0" formatCode="General"/>
    </dxf>
    <dxf>
      <numFmt numFmtId="0" formatCode="General"/>
    </dxf>
    <dxf>
      <numFmt numFmtId="0" formatCode="General"/>
    </dxf>
    <dxf>
      <alignment horizontal="general" vertical="bottom" textRotation="0" wrapText="1" indent="0" justifyLastLine="0" shrinkToFit="0" readingOrder="0"/>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266700</xdr:colOff>
      <xdr:row>1</xdr:row>
      <xdr:rowOff>19049</xdr:rowOff>
    </xdr:from>
    <xdr:ext cx="11782425" cy="1642373"/>
    <xdr:sp macro="" textlink="">
      <xdr:nvSpPr>
        <xdr:cNvPr id="2" name="Tekstiruutu 1"/>
        <xdr:cNvSpPr txBox="1"/>
      </xdr:nvSpPr>
      <xdr:spPr>
        <a:xfrm>
          <a:off x="266700" y="209549"/>
          <a:ext cx="11782425" cy="1642373"/>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fi-FI" sz="1100">
            <a:solidFill>
              <a:sysClr val="windowText" lastClr="000000"/>
            </a:solidFill>
            <a:effectLst/>
            <a:latin typeface="+mn-lt"/>
            <a:ea typeface="+mn-ea"/>
            <a:cs typeface="+mn-cs"/>
          </a:endParaRPr>
        </a:p>
        <a:p>
          <a:r>
            <a:rPr lang="fi-FI" sz="1100">
              <a:solidFill>
                <a:sysClr val="windowText" lastClr="000000"/>
              </a:solidFill>
              <a:effectLst/>
              <a:latin typeface="+mn-lt"/>
              <a:ea typeface="+mn-ea"/>
              <a:cs typeface="+mn-cs"/>
            </a:rPr>
            <a:t>8.1.2020	Rahoituksen simulointimalli ammatillisen koulutuksen järjestäjille</a:t>
          </a:r>
        </a:p>
        <a:p>
          <a:endParaRPr lang="fi-FI">
            <a:solidFill>
              <a:sysClr val="windowText" lastClr="000000"/>
            </a:solidFill>
            <a:effectLst/>
          </a:endParaRPr>
        </a:p>
        <a:p>
          <a:r>
            <a:rPr lang="fi-FI" sz="1100" b="1">
              <a:solidFill>
                <a:sysClr val="windowText" lastClr="000000"/>
              </a:solidFill>
              <a:effectLst/>
              <a:latin typeface="+mn-lt"/>
              <a:ea typeface="+mn-ea"/>
              <a:cs typeface="+mn-cs"/>
            </a:rPr>
            <a:t>OHJEET</a:t>
          </a:r>
          <a:endParaRPr lang="fi-FI" sz="1100" b="0">
            <a:solidFill>
              <a:sysClr val="windowText" lastClr="000000"/>
            </a:solidFill>
            <a:effectLst/>
            <a:latin typeface="+mn-lt"/>
            <a:ea typeface="+mn-ea"/>
            <a:cs typeface="+mn-cs"/>
          </a:endParaRPr>
        </a:p>
        <a:p>
          <a:endParaRPr lang="fi-FI">
            <a:solidFill>
              <a:sysClr val="windowText" lastClr="000000"/>
            </a:solidFill>
            <a:effectLst/>
          </a:endParaRPr>
        </a:p>
        <a:p>
          <a:r>
            <a:rPr lang="fi-FI" sz="1100">
              <a:solidFill>
                <a:sysClr val="windowText" lastClr="000000"/>
              </a:solidFill>
              <a:effectLst/>
              <a:latin typeface="+mn-lt"/>
              <a:ea typeface="+mn-ea"/>
              <a:cs typeface="+mn-cs"/>
            </a:rPr>
            <a:t>Simulointimalli on vuoden 2020 varsinaisen suoritepäätöksen laatimiseen tarkoitettu työkalu, joka on tässä suppeampana versiona koulutuksen järjestäjien omaa rahoituksen ennakointia varten hyödynnettäväksi. Mallin tässä versiossa on vuoden 2020 varsinaisen suoritepäätöksen (13.12.2019) mukaiset luvut.</a:t>
          </a:r>
          <a:r>
            <a:rPr lang="fi-FI" sz="1100" baseline="0">
              <a:solidFill>
                <a:sysClr val="windowText" lastClr="000000"/>
              </a:solidFill>
              <a:effectLst/>
              <a:latin typeface="+mn-lt"/>
              <a:ea typeface="+mn-ea"/>
              <a:cs typeface="+mn-cs"/>
            </a:rPr>
            <a:t> Muutoin malli on hyvin samankaltainen kuin ministeriön sivuilla 18.11.2019 julkaistu versio.</a:t>
          </a:r>
        </a:p>
        <a:p>
          <a:endParaRPr lang="fi-FI" sz="1100">
            <a:solidFill>
              <a:sysClr val="windowText" lastClr="000000"/>
            </a:solidFill>
            <a:effectLst/>
            <a:latin typeface="+mn-lt"/>
            <a:ea typeface="+mn-ea"/>
            <a:cs typeface="+mn-cs"/>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3118576/Work%20Folders/Tiedostot%20Johannes/Kopio%20SIIRTOTIEDOSTO_OKM5AMOS_SUORITEP&#196;&#196;T&#214;SLASKENTAMALLI_2019_PAAKAYTTAJA_ver_1-0_12122018lopullin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silehti"/>
      <sheetName val="Ohjaus-Laskentataulu"/>
      <sheetName val="Jakotaulu"/>
      <sheetName val="Fuusiot"/>
      <sheetName val="Roolikartta"/>
      <sheetName val="Koski_opv"/>
      <sheetName val="Rajapinta_lukuarvot"/>
      <sheetName val="R-aineistot"/>
      <sheetName val="(Sarakkeet)"/>
    </sheetNames>
    <sheetDataSet>
      <sheetData sheetId="0"/>
      <sheetData sheetId="1"/>
      <sheetData sheetId="2"/>
      <sheetData sheetId="3">
        <row r="1">
          <cell r="C1">
            <v>9</v>
          </cell>
        </row>
      </sheetData>
      <sheetData sheetId="4"/>
      <sheetData sheetId="5"/>
      <sheetData sheetId="6"/>
      <sheetData sheetId="7"/>
      <sheetData sheetId="8"/>
    </sheetDataSet>
  </externalBook>
</externalLink>
</file>

<file path=xl/tables/table1.xml><?xml version="1.0" encoding="utf-8"?>
<table xmlns="http://schemas.openxmlformats.org/spreadsheetml/2006/main" id="9" name="Järj.10" displayName="Järj.10" ref="A3:J156" totalsRowShown="0" headerRowDxfId="522">
  <autoFilter ref="A3:J156"/>
  <sortState ref="A4:J156">
    <sortCondition ref="B3:B156"/>
  </sortState>
  <tableColumns count="10">
    <tableColumn id="1" name="Y-tunnus"/>
    <tableColumn id="2" name="Koulutuksen järjestäjä"/>
    <tableColumn id="7" name="Kotipaikan maakunnan koodi" dataDxfId="521"/>
    <tableColumn id="3" name="Kotipaikkakunnan maakunta"/>
    <tableColumn id="9" name="Toiminta-alueen pääasiallinen maakuntakoodi" dataDxfId="520"/>
    <tableColumn id="8" name="Toiminta-alueen pääasiallinen maakunta" dataDxfId="519"/>
    <tableColumn id="4" name="Omistajatyypin koodi"/>
    <tableColumn id="10" name="Omistajatyyppi" dataDxfId="518"/>
    <tableColumn id="11" name="Kielen koodi"/>
    <tableColumn id="5" name="Kieli" dataDxfId="517"/>
  </tableColumns>
  <tableStyleInfo name="TableStyleMedium2" showFirstColumn="0" showLastColumn="0" showRowStripes="1" showColumnStripes="0"/>
</table>
</file>

<file path=xl/tables/table2.xml><?xml version="1.0" encoding="utf-8"?>
<table xmlns="http://schemas.openxmlformats.org/spreadsheetml/2006/main" id="1" name="Ohj.lask." displayName="Ohj.lask." ref="A5:AT156" totalsRowCount="1" headerRowDxfId="516" dataDxfId="515" totalsRowDxfId="514" totalsRowBorderDxfId="513">
  <autoFilter ref="A5:AT155"/>
  <tableColumns count="46">
    <tableColumn id="62" name="Y-tunnus" totalsRowLabel="Yhteensä" dataDxfId="512" totalsRowDxfId="511"/>
    <tableColumn id="1" name="Nimi" totalsRowFunction="custom" dataDxfId="510" totalsRowDxfId="509">
      <totalsRowFormula>COUNTIF(Ohj.lask.[Nimi],"?*")</totalsRowFormula>
    </tableColumn>
    <tableColumn id="73" name="Maakunta" dataDxfId="508" totalsRowDxfId="507"/>
    <tableColumn id="72" name="Omistajatyyppi" dataDxfId="506" totalsRowDxfId="505"/>
    <tableColumn id="43" name="Kieli" dataDxfId="504" totalsRowDxfId="503"/>
    <tableColumn id="2" name="Järjestämisluvan opisk.vuosien vähimmäismäärä" totalsRowFunction="custom" dataDxfId="502" totalsRowDxfId="501">
      <totalsRowFormula>SUM(Ohj.lask.[Järjestämisluvan opisk.vuosien vähimmäismäärä])</totalsRowFormula>
    </tableColumn>
    <tableColumn id="3" name="Suoritepäätöksellä jaettavat opv:t (luvan ylittävä osuus)" totalsRowFunction="custom" dataDxfId="500" totalsRowDxfId="499">
      <totalsRowFormula>SUM(Ohj.lask.[Suoritepäätöksellä jaettavat opv:t (luvan ylittävä osuus)])</totalsRowFormula>
    </tableColumn>
    <tableColumn id="4" name="Tavoitteelliset opiske-lijavuodet" totalsRowFunction="custom" dataDxfId="498" totalsRowDxfId="497">
      <calculatedColumnFormula>IFERROR(F6+G6,0)</calculatedColumnFormula>
      <totalsRowFormula>SUM(Ohj.lask.[Tavoitteelliset opiske-lijavuodet])</totalsRowFormula>
    </tableColumn>
    <tableColumn id="5" name="Profiili-kerroin" dataDxfId="496" totalsRowDxfId="495">
      <calculatedColumnFormula>IFERROR(VLOOKUP($A6,'2.1 Toteut. op.vuodet'!$A:$Q,COLUMN('2.1 Toteut. op.vuodet'!Q:Q),FALSE),0)</calculatedColumnFormula>
    </tableColumn>
    <tableColumn id="6" name="Painotetut opiskelija-vuodet" totalsRowFunction="custom" dataDxfId="494" totalsRowDxfId="493">
      <calculatedColumnFormula>IFERROR(ROUND(H6*I6,1),0)</calculatedColumnFormula>
      <totalsRowFormula>SUM(Ohj.lask.[Painotetut opiskelija-vuodet])</totalsRowFormula>
    </tableColumn>
    <tableColumn id="7" name="%-osuus 1" totalsRowFunction="custom" dataDxfId="492" totalsRowDxfId="491">
      <calculatedColumnFormula>IFERROR(Ohj.lask.[[#This Row],[Painotetut opiskelija-vuodet]]/Ohj.lask.[[#Totals],[Painotetut opiskelija-vuodet]],0)</calculatedColumnFormula>
      <totalsRowFormula>SUM(Ohj.lask.[%-osuus 1])</totalsRowFormula>
    </tableColumn>
    <tableColumn id="8" name="Jaettava € 1" totalsRowFunction="custom" dataDxfId="490" totalsRowDxfId="489">
      <calculatedColumnFormula>ROUND(IFERROR('1.1 Jakotaulu'!L$10*Ohj.lask.[[#This Row],[%-osuus 1]],0),0)</calculatedColumnFormula>
      <totalsRowFormula>SUM(Ohj.lask.[Jaettava € 1])</totalsRowFormula>
    </tableColumn>
    <tableColumn id="9" name="Painotetut pisteet 2" totalsRowFunction="custom" dataDxfId="488" totalsRowDxfId="487">
      <calculatedColumnFormula>IFERROR(ROUND(VLOOKUP($A6,'2.2 Tutk. ja osien pain. pist.'!$A:$Q,COLUMN('2.2 Tutk. ja osien pain. pist.'!P:P),FALSE),1),0)</calculatedColumnFormula>
      <totalsRowFormula>SUM(Ohj.lask.[Painotetut pisteet 2])</totalsRowFormula>
    </tableColumn>
    <tableColumn id="10" name="%-osuus 2" totalsRowFunction="custom" dataDxfId="486" totalsRowDxfId="485" dataCellStyle="Prosenttia">
      <calculatedColumnFormula>IFERROR(Ohj.lask.[[#This Row],[Painotetut pisteet 2]]/Ohj.lask.[[#Totals],[Painotetut pisteet 2]],0)</calculatedColumnFormula>
      <totalsRowFormula>SUM(Ohj.lask.[%-osuus 2])</totalsRowFormula>
    </tableColumn>
    <tableColumn id="11" name="Jaettava € 2" totalsRowFunction="custom" dataDxfId="484" totalsRowDxfId="483">
      <calculatedColumnFormula>ROUND(IFERROR('1.1 Jakotaulu'!K$11*Ohj.lask.[[#This Row],[%-osuus 2]],0),0)</calculatedColumnFormula>
      <totalsRowFormula>SUM(Ohj.lask.[Jaettava € 2])</totalsRowFormula>
    </tableColumn>
    <tableColumn id="12" name="Painotetut pisteet 3" totalsRowFunction="custom" dataDxfId="482" totalsRowDxfId="481" dataCellStyle="Pilkku">
      <calculatedColumnFormula>IFERROR(ROUND(VLOOKUP($A6,'2.3 Työll. ja jatko-opisk.'!$A:$K,COLUMN('2.3 Työll. ja jatko-opisk.'!I:I),FALSE),1),0)</calculatedColumnFormula>
      <totalsRowFormula>SUM(Ohj.lask.[Painotetut pisteet 3])</totalsRowFormula>
    </tableColumn>
    <tableColumn id="13" name="%-osuus 3" totalsRowFunction="custom" dataDxfId="480" totalsRowDxfId="479">
      <calculatedColumnFormula>IFERROR(Ohj.lask.[[#This Row],[Painotetut pisteet 3]]/Ohj.lask.[[#Totals],[Painotetut pisteet 3]],0)</calculatedColumnFormula>
      <totalsRowFormula>SUM(Ohj.lask.[%-osuus 3])</totalsRowFormula>
    </tableColumn>
    <tableColumn id="14" name="Jaettava € 3" totalsRowFunction="custom" dataDxfId="478" totalsRowDxfId="477">
      <calculatedColumnFormula>ROUND(IFERROR('1.1 Jakotaulu'!L$13*Ohj.lask.[[#This Row],[%-osuus 3]],0),0)</calculatedColumnFormula>
      <totalsRowFormula>SUM(Ohj.lask.[Jaettava € 3])</totalsRowFormula>
    </tableColumn>
    <tableColumn id="15" name="Painotetut pisteet 4" totalsRowFunction="custom" dataDxfId="476" totalsRowDxfId="475">
      <calculatedColumnFormula>IFERROR(ROUND(VLOOKUP($A6,'2.4 Aloittaneet palaute'!$A:$K,COLUMN('2.4 Aloittaneet palaute'!J:J),FALSE),1),0)</calculatedColumnFormula>
      <totalsRowFormula>SUM(Ohj.lask.[Painotetut pisteet 4])</totalsRowFormula>
    </tableColumn>
    <tableColumn id="16" name="%-osuus 4" totalsRowFunction="custom" dataDxfId="474" totalsRowDxfId="473">
      <calculatedColumnFormula>IFERROR(Ohj.lask.[[#This Row],[Painotetut pisteet 4]]/Ohj.lask.[[#Totals],[Painotetut pisteet 4]],0)</calculatedColumnFormula>
      <totalsRowFormula>SUM(Ohj.lask.[%-osuus 4])</totalsRowFormula>
    </tableColumn>
    <tableColumn id="17" name="Jaettava € 4" totalsRowFunction="custom" dataDxfId="472" totalsRowDxfId="471">
      <calculatedColumnFormula>ROUND(IFERROR('1.1 Jakotaulu'!M$15*Ohj.lask.[[#This Row],[%-osuus 4]],0),0)</calculatedColumnFormula>
      <totalsRowFormula>SUM(Ohj.lask.[Jaettava € 4])</totalsRowFormula>
    </tableColumn>
    <tableColumn id="18" name="Painotetut pisteet 5" totalsRowFunction="custom" dataDxfId="470" totalsRowDxfId="469">
      <calculatedColumnFormula>IFERROR(ROUND(VLOOKUP($A6,'2.5 Päättäneet palaute'!$A:$AC,COLUMN('2.5 Päättäneet palaute'!AB:AB),FALSE),1),0)</calculatedColumnFormula>
      <totalsRowFormula>SUM(Ohj.lask.[Painotetut pisteet 5])</totalsRowFormula>
    </tableColumn>
    <tableColumn id="19" name="%-osuus 5" totalsRowFunction="custom" dataDxfId="468" totalsRowDxfId="467">
      <calculatedColumnFormula>IFERROR(Ohj.lask.[[#This Row],[Painotetut pisteet 5]]/Ohj.lask.[[#Totals],[Painotetut pisteet 5]],0)</calculatedColumnFormula>
      <totalsRowFormula>SUM(Ohj.lask.[%-osuus 5])</totalsRowFormula>
    </tableColumn>
    <tableColumn id="20" name="Jaettava € 5" totalsRowFunction="custom" dataDxfId="466" totalsRowDxfId="465">
      <calculatedColumnFormula>ROUND(IFERROR('1.1 Jakotaulu'!M$16*Ohj.lask.[[#This Row],[%-osuus 5]],0),0)</calculatedColumnFormula>
      <totalsRowFormula>SUM(Ohj.lask.[Jaettava € 5])</totalsRowFormula>
    </tableColumn>
    <tableColumn id="21" name="%-osuus 6" totalsRowFunction="custom" dataDxfId="464" totalsRowDxfId="463" dataCellStyle="Prosenttia">
      <calculatedColumnFormula>IFERROR(Ohj.lask.[[#This Row],[Jaettava € 6]]/Ohj.lask.[[#Totals],[Jaettava € 6]],"")</calculatedColumnFormula>
      <totalsRowFormula>SUM(Ohj.lask.[%-osuus 6])</totalsRowFormula>
    </tableColumn>
    <tableColumn id="22" name="Jaettava € 6" totalsRowFunction="custom" dataDxfId="462" totalsRowDxfId="461">
      <calculatedColumnFormula>IFERROR(Ohj.lask.[[#This Row],[Jaettava € 1]]+Ohj.lask.[[#This Row],[Jaettava € 2]]+Ohj.lask.[[#This Row],[Jaettava € 3]]+Ohj.lask.[[#This Row],[Jaettava € 4]]+Ohj.lask.[[#This Row],[Jaettava € 5]],"")</calculatedColumnFormula>
      <totalsRowFormula>SUM(Ohj.lask.[Jaettava € 6])</totalsRowFormula>
    </tableColumn>
    <tableColumn id="24" name="Hakemus 1, €" totalsRowFunction="custom" dataDxfId="460" totalsRowDxfId="459">
      <totalsRowFormula>SUM(Ohj.lask.[Hakemus 1, €])</totalsRowFormula>
    </tableColumn>
    <tableColumn id="25" name="Päätös 1, €" totalsRowFunction="custom" dataDxfId="458" totalsRowDxfId="457">
      <totalsRowFormula>SUM(Ohj.lask.[Päätös 1, €])</totalsRowFormula>
    </tableColumn>
    <tableColumn id="26" name="Hakemus 2, €" totalsRowFunction="custom" dataDxfId="456" totalsRowDxfId="455">
      <totalsRowFormula>SUM(Ohj.lask.[Hakemus 2, €])</totalsRowFormula>
    </tableColumn>
    <tableColumn id="27" name="Päätös 2, €" totalsRowFunction="custom" dataDxfId="454" totalsRowDxfId="453">
      <totalsRowFormula>SUM(Ohj.lask.[Päätös 2, €])</totalsRowFormula>
    </tableColumn>
    <tableColumn id="28" name="Hakemus 3, €" totalsRowFunction="custom" dataDxfId="452" totalsRowDxfId="451">
      <totalsRowFormula>SUM(Ohj.lask.[Hakemus 3, €])</totalsRowFormula>
    </tableColumn>
    <tableColumn id="29" name="Päätös 3, €" totalsRowFunction="custom" dataDxfId="450" totalsRowDxfId="449">
      <totalsRowFormula>SUM(Ohj.lask.[Päätös 3, €])</totalsRowFormula>
    </tableColumn>
    <tableColumn id="30" name="Hakemus 4, €" totalsRowFunction="custom" dataDxfId="448" totalsRowDxfId="447">
      <totalsRowFormula>SUM(Ohj.lask.[Hakemus 4, €])</totalsRowFormula>
    </tableColumn>
    <tableColumn id="31" name="Päätös 4, €" totalsRowFunction="custom" dataDxfId="446" totalsRowDxfId="445">
      <totalsRowFormula>SUM(Ohj.lask.[Päätös 4, €])</totalsRowFormula>
    </tableColumn>
    <tableColumn id="41" name="Hakemus 5, €" totalsRowFunction="custom" dataDxfId="444" totalsRowDxfId="443">
      <totalsRowFormula>SUM(Ohj.lask.[Hakemus 5, €])</totalsRowFormula>
    </tableColumn>
    <tableColumn id="40" name="Päätös 5, €" totalsRowFunction="custom" dataDxfId="442" totalsRowDxfId="441">
      <totalsRowFormula>SUM(Ohj.lask.[Päätös 5, €])</totalsRowFormula>
    </tableColumn>
    <tableColumn id="37" name="Hakemus 6, €" totalsRowFunction="custom" dataDxfId="440" totalsRowDxfId="439">
      <totalsRowFormula>SUM(Ohj.lask.[Hakemus 6, €])</totalsRowFormula>
    </tableColumn>
    <tableColumn id="36" name="Päätös 6, €" totalsRowFunction="custom" dataDxfId="438" totalsRowDxfId="437">
      <totalsRowFormula>SUM(Ohj.lask.[Päätös 6, €])</totalsRowFormula>
    </tableColumn>
    <tableColumn id="32" name="Hakemus 7, €" totalsRowFunction="custom" dataDxfId="436" totalsRowDxfId="435">
      <totalsRowFormula>SUM(Ohj.lask.[Hakemus 7, €])</totalsRowFormula>
    </tableColumn>
    <tableColumn id="33" name="Päätös 7, €" totalsRowFunction="custom" dataDxfId="434" totalsRowDxfId="433">
      <totalsRowFormula>SUM(Ohj.lask.[Päätös 7, €])</totalsRowFormula>
    </tableColumn>
    <tableColumn id="38" name="Opiskelijavuosiin perustuva (suoriteperusteinen) sekä harkinnanvarainen korotus, €" totalsRowFunction="custom" dataDxfId="432" totalsRowDxfId="431">
      <calculatedColumnFormula>Ohj.lask.[[#This Row],[Jaettava € 1]]+Ohj.lask.[[#This Row],[Päätös 7, €]]</calculatedColumnFormula>
      <totalsRowFormula>SUM(Ohj.lask.[Opiskelijavuosiin perustuva (suoriteperusteinen) sekä harkinnanvarainen korotus, €])</totalsRowFormula>
    </tableColumn>
    <tableColumn id="34" name="Suoritusrahoitus, €" totalsRowFunction="custom" dataDxfId="430" totalsRowDxfId="429">
      <calculatedColumnFormula>Ohj.lask.[[#This Row],[Jaettava € 2]]</calculatedColumnFormula>
      <totalsRowFormula>SUM(Ohj.lask.[Suoritusrahoitus, €])</totalsRowFormula>
    </tableColumn>
    <tableColumn id="23" name="Työllistymiseen ja jatko-opintoihin siirtymiseen perustuva sekä opiskelija-palautteisiin perustuva, €" totalsRowFunction="custom" dataDxfId="428" totalsRowDxfId="427">
      <calculatedColumnFormula>Ohj.lask.[[#This Row],[Jaettava € 3]]+Ohj.lask.[[#This Row],[Jaettava € 4]]+Ohj.lask.[[#This Row],[Jaettava € 5]]</calculatedColumnFormula>
      <totalsRowFormula>SUM(Ohj.lask.[Työllistymiseen ja jatko-opintoihin siirtymiseen perustuva sekä opiskelija-palautteisiin perustuva, €])</totalsRowFormula>
    </tableColumn>
    <tableColumn id="39" name="Perus-, suoritus- ja vaikuttavuusrahoitus yhteensä, €" totalsRowFunction="custom" dataDxfId="426" totalsRowDxfId="425">
      <calculatedColumnFormula>Ohj.lask.[[#This Row],[Jaettava € 6]]+Ohj.lask.[[#This Row],[Päätös 7, €]]</calculatedColumnFormula>
      <totalsRowFormula>SUM(Ohj.lask.[Perus-, suoritus- ja vaikuttavuusrahoitus yhteensä, €])</totalsRowFormula>
    </tableColumn>
    <tableColumn id="35" name="Alv-korvaus, €" totalsRowFunction="custom" dataDxfId="424" totalsRowDxfId="423">
      <calculatedColumnFormula>ROUND(IFERROR(VLOOKUP(Ohj.lask.[[#This Row],[Y-tunnus]],'3.1 Alv vahvistettu'!A:Y,COLUMN(C:C),FALSE),0),0)</calculatedColumnFormula>
      <totalsRowFormula>SUM(Ohj.lask.[Alv-korvaus, €])</totalsRowFormula>
    </tableColumn>
    <tableColumn id="42" name="Koko rahoitus + _x000a_alv-korvaus, €" totalsRowFunction="custom" dataDxfId="422" totalsRowDxfId="421">
      <calculatedColumnFormula>Ohj.lask.[[#This Row],[Perus-, suoritus- ja vaikuttavuusrahoitus yhteensä, €]]+Ohj.lask.[[#This Row],[Alv-korvaus, €]]</calculatedColumnFormula>
      <totalsRowFormula>SUM(Ohj.lask.[Koko rahoitus + 
alv-korvaus, €])</totalsRowFormula>
    </tableColumn>
  </tableColumns>
  <tableStyleInfo showFirstColumn="0" showLastColumn="0" showRowStripes="1" showColumnStripes="0"/>
</table>
</file>

<file path=xl/tables/table3.xml><?xml version="1.0" encoding="utf-8"?>
<table xmlns="http://schemas.openxmlformats.org/spreadsheetml/2006/main" id="3" name="Vertailu" displayName="Vertailu" ref="A5:W156" totalsRowCount="1" totalsRowDxfId="420" totalsRowBorderDxfId="419">
  <autoFilter ref="A5:W155"/>
  <sortState ref="A6:AO155">
    <sortCondition ref="B5:B155"/>
  </sortState>
  <tableColumns count="23">
    <tableColumn id="1" name="Y-tunnus" totalsRowLabel="Yhteensä" dataDxfId="418" totalsRowDxfId="417"/>
    <tableColumn id="2" name="Nimi" totalsRowFunction="custom" dataDxfId="416" totalsRowDxfId="415">
      <totalsRowFormula>COUNTIF(Vertailu[Nimi],"?*")</totalsRowFormula>
    </tableColumn>
    <tableColumn id="3" name="Maakunta" dataDxfId="414" totalsRowDxfId="413"/>
    <tableColumn id="4" name="Omistajatyyppi" dataDxfId="412" totalsRowDxfId="411"/>
    <tableColumn id="5" name="Suorite-perusteinen perusrahoitus (pl. hark. kor.)" totalsRowFunction="custom" dataDxfId="410" totalsRowDxfId="409" dataCellStyle="Prosenttia">
      <calculatedColumnFormula>IFERROR(VLOOKUP(Vertailu[[#This Row],[Y-tunnus]],'1.2 Ohjaus-laskentataulu'!A:AT,COLUMN('1.2 Ohjaus-laskentataulu'!L:L),FALSE)/VLOOKUP(Vertailu[[#This Row],[Y-tunnus]],'1.2 Ohjaus-laskentataulu'!A:AT,COLUMN('1.2 Ohjaus-laskentataulu'!AR:AR),FALSE),0)</calculatedColumnFormula>
      <totalsRowFormula>Ohj.lask.[[#Totals],[Jaettava € 1]]/Ohj.lask.[[#Totals],[Perus-, suoritus- ja vaikuttavuusrahoitus yhteensä, €]]</totalsRowFormula>
    </tableColumn>
    <tableColumn id="38" name="Perusrahoitus yhteensä (ml. hark. kor.)" totalsRowFunction="custom" dataDxfId="408" totalsRowDxfId="407" dataCellStyle="Prosenttia">
      <calculatedColumnFormula>IFERROR(VLOOKUP(Vertailu[[#This Row],[Y-tunnus]],'1.2 Ohjaus-laskentataulu'!A:AT,COLUMN('1.2 Ohjaus-laskentataulu'!AO:AO),FALSE)/VLOOKUP(Vertailu[[#This Row],[Y-tunnus]],'1.2 Ohjaus-laskentataulu'!A:AT,COLUMN('1.2 Ohjaus-laskentataulu'!AR:AR),FALSE),0)</calculatedColumnFormula>
      <totalsRowFormula>Ohj.lask.[[#Totals],[Opiskelijavuosiin perustuva (suoriteperusteinen) sekä harkinnanvarainen korotus, €]]/Ohj.lask.[[#Totals],[Perus-, suoritus- ja vaikuttavuusrahoitus yhteensä, €]]</totalsRowFormula>
    </tableColumn>
    <tableColumn id="6" name="Suoritus-rahoitus" totalsRowFunction="custom" dataDxfId="406" totalsRowDxfId="405">
      <calculatedColumnFormula>IFERROR(VLOOKUP(Vertailu[[#This Row],[Y-tunnus]],'1.2 Ohjaus-laskentataulu'!A:AT,COLUMN('1.2 Ohjaus-laskentataulu'!AP:AP),FALSE)/VLOOKUP(Vertailu[[#This Row],[Y-tunnus]],'1.2 Ohjaus-laskentataulu'!A:AT,COLUMN('1.2 Ohjaus-laskentataulu'!AR:AR),FALSE),0)</calculatedColumnFormula>
      <totalsRowFormula>Ohj.lask.[[#Totals],[Suoritusrahoitus, €]]/Ohj.lask.[[#Totals],[Perus-, suoritus- ja vaikuttavuusrahoitus yhteensä, €]]</totalsRowFormula>
    </tableColumn>
    <tableColumn id="7" name="Vaikuttavuus-rahoitus yhteensä" totalsRowFunction="custom" dataDxfId="404" totalsRowDxfId="403" dataCellStyle="Prosenttia">
      <calculatedColumnFormula>IFERROR(VLOOKUP(Vertailu[[#This Row],[Y-tunnus]],'1.2 Ohjaus-laskentataulu'!A:AT,COLUMN('1.2 Ohjaus-laskentataulu'!AQ:AQ),FALSE)/VLOOKUP(Vertailu[[#This Row],[Y-tunnus]],'1.2 Ohjaus-laskentataulu'!A:AT,COLUMN('1.2 Ohjaus-laskentataulu'!AR:AR),FALSE),0)</calculatedColumnFormula>
      <totalsRowFormula>Ohj.lask.[[#Totals],[Työllistymiseen ja jatko-opintoihin siirtymiseen perustuva sekä opiskelija-palautteisiin perustuva, €]]/Ohj.lask.[[#Totals],[Perus-, suoritus- ja vaikuttavuusrahoitus yhteensä, €]]</totalsRowFormula>
    </tableColumn>
    <tableColumn id="8" name="-josta työllistyneet ja jatko-opiskelijat" totalsRowFunction="custom" dataDxfId="402" totalsRowDxfId="401" dataCellStyle="Prosenttia">
      <calculatedColumnFormula>IFERROR(VLOOKUP(Vertailu[[#This Row],[Y-tunnus]],'1.2 Ohjaus-laskentataulu'!A:AT,COLUMN('1.2 Ohjaus-laskentataulu'!R:R),FALSE)/VLOOKUP(Vertailu[[#This Row],[Y-tunnus]],'1.2 Ohjaus-laskentataulu'!A:AT,COLUMN('1.2 Ohjaus-laskentataulu'!AR:AR),FALSE),0)</calculatedColumnFormula>
      <totalsRowFormula>Ohj.lask.[[#Totals],[Jaettava € 3]]/Ohj.lask.[[#Totals],[Perus-, suoritus- ja vaikuttavuusrahoitus yhteensä, €]]</totalsRowFormula>
    </tableColumn>
    <tableColumn id="9" name="-josta aloittaneet opiskelija-palaute" totalsRowFunction="custom" dataDxfId="400" totalsRowDxfId="399" dataCellStyle="Prosenttia">
      <calculatedColumnFormula>IFERROR(VLOOKUP(Vertailu[[#This Row],[Y-tunnus]],'1.2 Ohjaus-laskentataulu'!A:AT,COLUMN('1.2 Ohjaus-laskentataulu'!U:U),FALSE)/VLOOKUP(Vertailu[[#This Row],[Y-tunnus]],'1.2 Ohjaus-laskentataulu'!A:AT,COLUMN('1.2 Ohjaus-laskentataulu'!AR:AR),FALSE),0)</calculatedColumnFormula>
      <totalsRowFormula>Ohj.lask.[[#Totals],[Jaettava € 4]]/Ohj.lask.[[#Totals],[Perus-, suoritus- ja vaikuttavuusrahoitus yhteensä, €]]</totalsRowFormula>
    </tableColumn>
    <tableColumn id="10" name="-josta päättäneet opiskelija-palaute" totalsRowFunction="custom" dataDxfId="398" totalsRowDxfId="397" dataCellStyle="Prosenttia">
      <calculatedColumnFormula>IFERROR(VLOOKUP(Vertailu[[#This Row],[Y-tunnus]],'1.2 Ohjaus-laskentataulu'!A:AT,COLUMN('1.2 Ohjaus-laskentataulu'!X:X),FALSE)/VLOOKUP(Vertailu[[#This Row],[Y-tunnus]],'1.2 Ohjaus-laskentataulu'!A:AT,COLUMN('1.2 Ohjaus-laskentataulu'!AR:AR),FALSE),0)</calculatedColumnFormula>
      <totalsRowFormula>Ohj.lask.[[#Totals],[Jaettava € 5]]/Ohj.lask.[[#Totals],[Perus-, suoritus- ja vaikuttavuusrahoitus yhteensä, €]]</totalsRowFormula>
    </tableColumn>
    <tableColumn id="12" name="Rahoitus pl. hark. kor. 2019 ilman alv, €" totalsRowFunction="sum" dataDxfId="396" totalsRowDxfId="395">
      <calculatedColumnFormula>IFERROR(VLOOKUP(Vertailu[[#This Row],[Y-tunnus]],'3.2 Suoritepäätös 2019'!$A:$S,COLUMN('3.2 Suoritepäätös 2019'!Q:Q),FALSE)-VLOOKUP(Vertailu[[#This Row],[Y-tunnus]],'3.2 Suoritepäätös 2019'!$A:$S,COLUMN('3.2 Suoritepäätös 2019'!L:L),FALSE),0)</calculatedColumnFormula>
    </tableColumn>
    <tableColumn id="16" name="Rahoitus pl. hark. kor. 2020 ilman alv, €" totalsRowFunction="sum" dataDxfId="394" totalsRowDxfId="393">
      <calculatedColumnFormula>IFERROR(VLOOKUP(Vertailu[[#This Row],[Y-tunnus]],'1.2 Ohjaus-laskentataulu'!A:AT,COLUMN('1.2 Ohjaus-laskentataulu'!Z:Z),FALSE),0)</calculatedColumnFormula>
    </tableColumn>
    <tableColumn id="14" name="Muutos, € 1" totalsRowFunction="sum" dataDxfId="392" totalsRowDxfId="391">
      <calculatedColumnFormula>IFERROR(Vertailu[[#This Row],[Rahoitus pl. hark. kor. 2020 ilman alv, €]]-Vertailu[[#This Row],[Rahoitus pl. hark. kor. 2019 ilman alv, €]],0)</calculatedColumnFormula>
    </tableColumn>
    <tableColumn id="15" name="Muutos, % 1" totalsRowFunction="custom" dataDxfId="390" totalsRowDxfId="389" dataCellStyle="Prosenttia">
      <calculatedColumnFormula>IFERROR(Vertailu[[#This Row],[Muutos, € 1]]/Vertailu[[#This Row],[Rahoitus pl. hark. kor. 2019 ilman alv, €]],0)</calculatedColumnFormula>
      <totalsRowFormula>IFERROR(Vertailu[[#Totals],[Muutos, € 1]]/Vertailu[[#Totals],[Rahoitus pl. hark. kor. 2019 ilman alv, €]],0)</totalsRowFormula>
    </tableColumn>
    <tableColumn id="37" name="Rahoitus ml. hark. kor. _x000a_2019 ilman alv, €" totalsRowFunction="sum" dataDxfId="388" totalsRowDxfId="387" dataCellStyle="Prosenttia">
      <calculatedColumnFormula>IFERROR(VLOOKUP(Vertailu[[#This Row],[Y-tunnus]],'3.2 Suoritepäätös 2019'!$A:$S,COLUMN('3.2 Suoritepäätös 2019'!Q:Q),FALSE),0)</calculatedColumnFormula>
    </tableColumn>
    <tableColumn id="23" name="Rahoitus ml. hark. kor. _x000a_2020 ilman alv, €" totalsRowFunction="sum" dataDxfId="386" totalsRowDxfId="385" dataCellStyle="Prosenttia">
      <calculatedColumnFormula>IFERROR(VLOOKUP(Vertailu[[#This Row],[Y-tunnus]],'1.2 Ohjaus-laskentataulu'!A:AT,COLUMN('1.2 Ohjaus-laskentataulu'!AR:AR),FALSE),0)</calculatedColumnFormula>
    </tableColumn>
    <tableColumn id="13" name="Muutos, € 2" totalsRowFunction="sum" dataDxfId="384" totalsRowDxfId="383" dataCellStyle="Prosenttia">
      <calculatedColumnFormula>IFERROR(Vertailu[[#This Row],[Rahoitus ml. hark. kor. 
2020 ilman alv, €]]-Vertailu[[#This Row],[Rahoitus ml. hark. kor. 
2019 ilman alv, €]],0)</calculatedColumnFormula>
    </tableColumn>
    <tableColumn id="11" name="Muutos, % 2" totalsRowFunction="custom" dataDxfId="382" totalsRowDxfId="381" dataCellStyle="Prosenttia">
      <calculatedColumnFormula>IFERROR(Vertailu[[#This Row],[Muutos, € 2]]/Vertailu[[#This Row],[Rahoitus ml. hark. kor. 
2019 ilman alv, €]],0)</calculatedColumnFormula>
      <totalsRowFormula>IFERROR(Vertailu[[#Totals],[Muutos, € 2]]/Vertailu[[#Totals],[Rahoitus ml. hark. kor. 
2019 ilman alv, €]],0)</totalsRowFormula>
    </tableColumn>
    <tableColumn id="30" name="Rahoitus ml. hark. kor. + alv 2019, €" totalsRowFunction="sum" dataDxfId="380" totalsRowDxfId="379" dataCellStyle="Prosenttia">
      <calculatedColumnFormula>IFERROR(VLOOKUP(Vertailu[[#This Row],[Y-tunnus]],'3.2 Suoritepäätös 2019'!$A:$S,COLUMN('3.2 Suoritepäätös 2019'!Q:Q),FALSE)+VLOOKUP(Vertailu[[#This Row],[Y-tunnus]],'3.2 Suoritepäätös 2019'!$A:$S,COLUMN('3.2 Suoritepäätös 2019'!R:R),FALSE),0)</calculatedColumnFormula>
    </tableColumn>
    <tableColumn id="45" name="Rahoitus ml. hark. kor. + alv 2020, €" totalsRowFunction="sum" dataDxfId="378" totalsRowDxfId="377" dataCellStyle="Prosenttia">
      <calculatedColumnFormula>IFERROR(VLOOKUP(Vertailu[[#This Row],[Y-tunnus]],'1.2 Ohjaus-laskentataulu'!A:AT,COLUMN('1.2 Ohjaus-laskentataulu'!AT:AT),FALSE),0)</calculatedColumnFormula>
    </tableColumn>
    <tableColumn id="44" name="Muutos, € 3" totalsRowFunction="sum" dataDxfId="376" totalsRowDxfId="375" dataCellStyle="Prosenttia">
      <calculatedColumnFormula>IFERROR(Vertailu[[#This Row],[Rahoitus ml. hark. kor. + alv 2020, €]]-Vertailu[[#This Row],[Rahoitus ml. hark. kor. + alv 2019, €]],0)</calculatedColumnFormula>
    </tableColumn>
    <tableColumn id="24" name="Muutos, % 3" totalsRowFunction="custom" dataDxfId="374" totalsRowDxfId="373" dataCellStyle="Prosenttia">
      <calculatedColumnFormula>IFERROR(Vertailu[[#This Row],[Muutos, € 3]]/Vertailu[[#This Row],[Rahoitus ml. hark. kor. + alv 2019, €]],0)</calculatedColumnFormula>
      <totalsRowFormula>IFERROR(Vertailu[[#Totals],[Muutos, € 3]]/Vertailu[[#Totals],[Rahoitus ml. hark. kor. + alv 2019, €]],0)</totalsRowFormula>
    </tableColumn>
  </tableColumns>
  <tableStyleInfo showFirstColumn="0" showLastColumn="0" showRowStripes="0" showColumnStripes="0"/>
</table>
</file>

<file path=xl/tables/table4.xml><?xml version="1.0" encoding="utf-8"?>
<table xmlns="http://schemas.openxmlformats.org/spreadsheetml/2006/main" id="4" name="Maakunt." displayName="Maakunt." ref="A5:BC24" totalsRowCount="1" headerRowDxfId="372" dataDxfId="371" totalsRowDxfId="370">
  <autoFilter ref="A5:BC23"/>
  <tableColumns count="55">
    <tableColumn id="1" name="Maakunta" totalsRowLabel="Summa" dataDxfId="369" totalsRowDxfId="368"/>
    <tableColumn id="2" name="Järjestäjien kokonais-määrä" totalsRowFunction="sum" dataDxfId="367" totalsRowDxfId="366">
      <calculatedColumnFormula>COUNTIF(Ohj.lask.[Maakunta],Maakunt.[[#This Row],[Maakunta]])</calculatedColumnFormula>
    </tableColumn>
    <tableColumn id="50" name="Yksityinen" totalsRowFunction="sum" dataDxfId="365" totalsRowDxfId="364">
      <calculatedColumnFormula>COUNTIFS(Ohj.lask.[Maakunta],Maakunt.[[#This Row],[Maakunta]],Ohj.lask.[Omistajatyyppi],"=yksityinen")</calculatedColumnFormula>
    </tableColumn>
    <tableColumn id="3" name="Kunta" totalsRowFunction="sum" dataDxfId="363" totalsRowDxfId="362">
      <calculatedColumnFormula>COUNTIFS(Ohj.lask.[Maakunta],Maakunt.[[#This Row],[Maakunta]],Ohj.lask.[Omistajatyyppi],"=kunta")</calculatedColumnFormula>
    </tableColumn>
    <tableColumn id="4" name="Kunta-yhtymä" totalsRowFunction="sum" dataDxfId="361" totalsRowDxfId="360">
      <calculatedColumnFormula>COUNTIFS(Ohj.lask.[Maakunta],Maakunt.[[#This Row],[Maakunta]],Ohj.lask.[Omistajatyyppi],"=kuntayhtymä")</calculatedColumnFormula>
    </tableColumn>
    <tableColumn id="5" name="Järjestämisluvan opisk.vuosien vähimmäismäärä" totalsRowFunction="sum" dataDxfId="359" totalsRowDxfId="358">
      <calculatedColumnFormula>SUMIF(Ohj.lask.[Maakunta],Maakunt.[[#This Row],[Maakunta]],Ohj.lask.[Järjestämisluvan opisk.vuosien vähimmäismäärä])</calculatedColumnFormula>
    </tableColumn>
    <tableColumn id="6" name="Suoritepäätöksellä jaettavat opv:t (luvan ylittävä osuus)" totalsRowFunction="sum" dataDxfId="357" totalsRowDxfId="356">
      <calculatedColumnFormula>SUMIF(Ohj.lask.[Maakunta],Maakunt.[[#This Row],[Maakunta]],Ohj.lask.[Suoritepäätöksellä jaettavat opv:t (luvan ylittävä osuus)])</calculatedColumnFormula>
    </tableColumn>
    <tableColumn id="7" name="Tavoitteelliset opiske-lijavuodet" totalsRowFunction="sum" dataDxfId="355" totalsRowDxfId="354">
      <calculatedColumnFormula>SUMIF(Ohj.lask.[Maakunta],Maakunt.[[#This Row],[Maakunta]],Ohj.lask.[Tavoitteelliset opiske-lijavuodet])</calculatedColumnFormula>
    </tableColumn>
    <tableColumn id="8" name="Profiili-kerroin" totalsRowFunction="custom" dataDxfId="353" totalsRowDxfId="352">
      <calculatedColumnFormula>Maakunt.[[#This Row],[Painotetut opiskelija-vuodet]]/Maakunt.[[#This Row],[Tavoitteelliset opiske-lijavuodet]]</calculatedColumnFormula>
      <totalsRowFormula>Maakunt.[[#Totals],[Painotetut opiskelija-vuodet]]/Maakunt.[[#Totals],[Tavoitteelliset opiske-lijavuodet]]</totalsRowFormula>
    </tableColumn>
    <tableColumn id="9" name="Painotetut opiskelija-vuodet" totalsRowFunction="sum" dataDxfId="351" totalsRowDxfId="350">
      <calculatedColumnFormula>SUMIF(Ohj.lask.[Maakunta],Maakunt.[[#This Row],[Maakunta]],Ohj.lask.[Painotetut opiskelija-vuodet])</calculatedColumnFormula>
    </tableColumn>
    <tableColumn id="10" name="%-osuus 1" totalsRowFunction="sum" dataDxfId="349" totalsRowDxfId="348" dataCellStyle="Prosenttia">
      <calculatedColumnFormula>SUMIF(Ohj.lask.[Maakunta],Maakunt.[[#This Row],[Maakunta]],Ohj.lask.[%-osuus 1])</calculatedColumnFormula>
    </tableColumn>
    <tableColumn id="11" name="Jaettava € 1" totalsRowFunction="sum" dataDxfId="347" totalsRowDxfId="346">
      <calculatedColumnFormula>SUMIF(Ohj.lask.[Maakunta],Maakunt.[[#This Row],[Maakunta]],Ohj.lask.[Jaettava € 1])</calculatedColumnFormula>
    </tableColumn>
    <tableColumn id="12" name="Painotetut pisteet 2" totalsRowFunction="sum" dataDxfId="345" totalsRowDxfId="344">
      <calculatedColumnFormula>SUMIF(Ohj.lask.[Maakunta],Maakunt.[[#This Row],[Maakunta]],Ohj.lask.[Painotetut pisteet 2])</calculatedColumnFormula>
    </tableColumn>
    <tableColumn id="13" name="%-osuus 2" totalsRowFunction="sum" dataDxfId="343" totalsRowDxfId="342" dataCellStyle="Prosenttia">
      <calculatedColumnFormula>SUMIF(Ohj.lask.[Maakunta],Maakunt.[[#This Row],[Maakunta]],Ohj.lask.[%-osuus 2])</calculatedColumnFormula>
    </tableColumn>
    <tableColumn id="14" name="Jaettava € 2" totalsRowFunction="sum" dataDxfId="341" totalsRowDxfId="340">
      <calculatedColumnFormula>SUMIF(Ohj.lask.[Maakunta],Maakunt.[[#This Row],[Maakunta]],Ohj.lask.[Jaettava € 2])</calculatedColumnFormula>
    </tableColumn>
    <tableColumn id="15" name="Painotetut pisteet 3" totalsRowFunction="sum" dataDxfId="339" totalsRowDxfId="338">
      <calculatedColumnFormula>SUMIF(Ohj.lask.[Maakunta],Maakunt.[[#This Row],[Maakunta]],Ohj.lask.[Painotetut pisteet 3])</calculatedColumnFormula>
    </tableColumn>
    <tableColumn id="16" name="%-osuus 3" totalsRowFunction="sum" dataDxfId="337" totalsRowDxfId="336" dataCellStyle="Prosenttia">
      <calculatedColumnFormula>SUMIF(Ohj.lask.[Maakunta],Maakunt.[[#This Row],[Maakunta]],Ohj.lask.[%-osuus 3])</calculatedColumnFormula>
    </tableColumn>
    <tableColumn id="17" name="Jaettava € 3" totalsRowFunction="sum" dataDxfId="335" totalsRowDxfId="334">
      <calculatedColumnFormula>SUMIF(Ohj.lask.[Maakunta],Maakunt.[[#This Row],[Maakunta]],Ohj.lask.[Jaettava € 3])</calculatedColumnFormula>
    </tableColumn>
    <tableColumn id="18" name="Painotetut pisteet 4" totalsRowFunction="sum" dataDxfId="333" totalsRowDxfId="332">
      <calculatedColumnFormula>SUMIF(Ohj.lask.[Maakunta],Maakunt.[[#This Row],[Maakunta]],Ohj.lask.[Painotetut pisteet 4])</calculatedColumnFormula>
    </tableColumn>
    <tableColumn id="19" name="%-osuus 4" totalsRowFunction="sum" dataDxfId="331" totalsRowDxfId="330" dataCellStyle="Prosenttia">
      <calculatedColumnFormula>SUMIF(Ohj.lask.[Maakunta],Maakunt.[[#This Row],[Maakunta]],Ohj.lask.[%-osuus 4])</calculatedColumnFormula>
    </tableColumn>
    <tableColumn id="20" name="Jaettava € 4" totalsRowFunction="sum" dataDxfId="329" totalsRowDxfId="328">
      <calculatedColumnFormula>SUMIF(Ohj.lask.[Maakunta],Maakunt.[[#This Row],[Maakunta]],Ohj.lask.[Jaettava € 4])</calculatedColumnFormula>
    </tableColumn>
    <tableColumn id="21" name="Painotetut pisteet 5" totalsRowFunction="sum" dataDxfId="327" totalsRowDxfId="326">
      <calculatedColumnFormula>SUMIF(Ohj.lask.[Maakunta],Maakunt.[[#This Row],[Maakunta]],Ohj.lask.[Painotetut pisteet 5])</calculatedColumnFormula>
    </tableColumn>
    <tableColumn id="22" name="%-osuus 5" totalsRowFunction="sum" dataDxfId="325" totalsRowDxfId="324" dataCellStyle="Prosenttia">
      <calculatedColumnFormula>SUMIF(Ohj.lask.[Maakunta],Maakunt.[[#This Row],[Maakunta]],Ohj.lask.[%-osuus 5])</calculatedColumnFormula>
    </tableColumn>
    <tableColumn id="23" name="Jaettava € 5" totalsRowFunction="sum" dataDxfId="323" totalsRowDxfId="322">
      <calculatedColumnFormula>SUMIF(Ohj.lask.[Maakunta],Maakunt.[[#This Row],[Maakunta]],Ohj.lask.[Jaettava € 5])</calculatedColumnFormula>
    </tableColumn>
    <tableColumn id="24" name="%-osuus 6" totalsRowFunction="sum" dataDxfId="321" totalsRowDxfId="320" dataCellStyle="Prosenttia">
      <calculatedColumnFormula>SUMIF(Ohj.lask.[Maakunta],Maakunt.[[#This Row],[Maakunta]],Ohj.lask.[%-osuus 6])</calculatedColumnFormula>
    </tableColumn>
    <tableColumn id="25" name="Jaettava € 6" totalsRowFunction="sum" dataDxfId="319" totalsRowDxfId="318">
      <calculatedColumnFormula>SUMIF(Ohj.lask.[Maakunta],Maakunt.[[#This Row],[Maakunta]],Ohj.lask.[Jaettava € 6])</calculatedColumnFormula>
    </tableColumn>
    <tableColumn id="26" name="Hakemus 1, €" totalsRowFunction="sum" dataDxfId="317" totalsRowDxfId="316">
      <calculatedColumnFormula>SUMIF(Ohj.lask.[Maakunta],Maakunt.[[#This Row],[Maakunta]],Ohj.lask.[Hakemus 1, €])</calculatedColumnFormula>
    </tableColumn>
    <tableColumn id="27" name="Päätös 1, €" totalsRowFunction="sum" dataDxfId="315" totalsRowDxfId="314">
      <calculatedColumnFormula>SUMIF(Ohj.lask.[Maakunta],Maakunt.[[#This Row],[Maakunta]],Ohj.lask.[Päätös 1, €])</calculatedColumnFormula>
    </tableColumn>
    <tableColumn id="28" name="Hakemus 2, €" totalsRowFunction="sum" dataDxfId="313" totalsRowDxfId="312">
      <calculatedColumnFormula>SUMIF(Ohj.lask.[Maakunta],Maakunt.[[#This Row],[Maakunta]],Ohj.lask.[Hakemus 2, €])</calculatedColumnFormula>
    </tableColumn>
    <tableColumn id="29" name="Päätös 2, €" totalsRowFunction="sum" dataDxfId="311" totalsRowDxfId="310">
      <calculatedColumnFormula>SUMIF(Ohj.lask.[Maakunta],Maakunt.[[#This Row],[Maakunta]],Ohj.lask.[Päätös 2, €])</calculatedColumnFormula>
    </tableColumn>
    <tableColumn id="30" name="Hakemus 3, €" totalsRowFunction="sum" dataDxfId="309" totalsRowDxfId="308">
      <calculatedColumnFormula>SUMIF(Ohj.lask.[Maakunta],Maakunt.[[#This Row],[Maakunta]],Ohj.lask.[Hakemus 3, €])</calculatedColumnFormula>
    </tableColumn>
    <tableColumn id="31" name="Päätös 3, €" totalsRowFunction="sum" dataDxfId="307" totalsRowDxfId="306">
      <calculatedColumnFormula>SUMIF(Ohj.lask.[Maakunta],Maakunt.[[#This Row],[Maakunta]],Ohj.lask.[Päätös 3, €])</calculatedColumnFormula>
    </tableColumn>
    <tableColumn id="32" name="Hakemus 4, €" totalsRowFunction="sum" dataDxfId="305" totalsRowDxfId="304">
      <calculatedColumnFormula>SUMIF(Ohj.lask.[Maakunta],Maakunt.[[#This Row],[Maakunta]],Ohj.lask.[Hakemus 4, €])</calculatedColumnFormula>
    </tableColumn>
    <tableColumn id="33" name="Päätös 4, €" totalsRowFunction="sum" dataDxfId="303" totalsRowDxfId="302">
      <calculatedColumnFormula>SUMIF(Ohj.lask.[Maakunta],Maakunt.[[#This Row],[Maakunta]],Ohj.lask.[Päätös 4, €])</calculatedColumnFormula>
    </tableColumn>
    <tableColumn id="52" name="Hakemus 5, €" totalsRowFunction="sum" dataDxfId="301" totalsRowDxfId="300">
      <calculatedColumnFormula>SUMIF(Ohj.lask.[Maakunta],Maakunt.[[#This Row],[Maakunta]],Ohj.lask.[Hakemus 5, €])</calculatedColumnFormula>
    </tableColumn>
    <tableColumn id="51" name="Päätös 5, €" totalsRowFunction="sum" dataDxfId="299" totalsRowDxfId="298">
      <calculatedColumnFormula>SUMIF(Ohj.lask.[Maakunta],Maakunt.[[#This Row],[Maakunta]],Ohj.lask.[Päätös 5, €])</calculatedColumnFormula>
    </tableColumn>
    <tableColumn id="47" name="Hakemus 6, €" totalsRowFunction="sum" dataDxfId="297" totalsRowDxfId="296">
      <calculatedColumnFormula>SUMIF(Ohj.lask.[Maakunta],Maakunt.[[#This Row],[Maakunta]],Ohj.lask.[Hakemus 6, €])</calculatedColumnFormula>
    </tableColumn>
    <tableColumn id="45" name="Päätös 6, €" totalsRowFunction="sum" dataDxfId="295" totalsRowDxfId="294">
      <calculatedColumnFormula>SUMIF(Ohj.lask.[Maakunta],Maakunt.[[#This Row],[Maakunta]],Ohj.lask.[Päätös 6, €])</calculatedColumnFormula>
    </tableColumn>
    <tableColumn id="34" name="Hakemus 7, €" totalsRowFunction="sum" dataDxfId="293" totalsRowDxfId="292">
      <calculatedColumnFormula>Maakunt.[[#This Row],[Hakemus 1, €]]+Maakunt.[[#This Row],[Hakemus 2, €]]+Maakunt.[[#This Row],[Hakemus 3, €]]+Maakunt.[[#This Row],[Hakemus 4, €]]+Maakunt.[[#This Row],[Hakemus 5, €]]+Maakunt.[[#This Row],[Hakemus 6, €]]</calculatedColumnFormula>
    </tableColumn>
    <tableColumn id="35" name="Päätös 7, €" totalsRowFunction="sum" dataDxfId="291" totalsRowDxfId="290">
      <calculatedColumnFormula>Maakunt.[[#This Row],[Päätös 1, €]]+Maakunt.[[#This Row],[Päätös 2, €]]+Maakunt.[[#This Row],[Päätös 3, €]]+Maakunt.[[#This Row],[Päätös 4, €]]++Maakunt.[[#This Row],[Päätös 5, €]]+Maakunt.[[#This Row],[Päätös 6, €]]</calculatedColumnFormula>
    </tableColumn>
    <tableColumn id="36" name="Opiskelijavuosiin perustuva (suoriteperusteinen) sekä harkinnanvarainen korotus, €" totalsRowFunction="sum" dataDxfId="289" totalsRowDxfId="288">
      <calculatedColumnFormula>SUMIF(Ohj.lask.[Maakunta],Maakunt.[[#This Row],[Maakunta]],Ohj.lask.[Opiskelijavuosiin perustuva (suoriteperusteinen) sekä harkinnanvarainen korotus, €])</calculatedColumnFormula>
    </tableColumn>
    <tableColumn id="54" name="Suoritusrahoitus, €" totalsRowFunction="sum" dataDxfId="287" totalsRowDxfId="286">
      <calculatedColumnFormula>SUMIF(Ohj.lask.[Maakunta],Maakunt.[[#This Row],[Maakunta]],Ohj.lask.[Suoritusrahoitus, €])</calculatedColumnFormula>
    </tableColumn>
    <tableColumn id="53" name="Työllistymiseen ja jatko-opintoihin siirtymiseen perustuva sekä opiskelija-palautteisiin perustuva, €" totalsRowFunction="sum" dataDxfId="285" totalsRowDxfId="284">
      <calculatedColumnFormula>SUMIF(Ohj.lask.[Maakunta],Maakunt.[[#This Row],[Maakunta]],Ohj.lask.[Työllistymiseen ja jatko-opintoihin siirtymiseen perustuva sekä opiskelija-palautteisiin perustuva, €])</calculatedColumnFormula>
    </tableColumn>
    <tableColumn id="37" name="Perus-, suoritus- ja vaikuttavuusrahoitus yhteensä, €" totalsRowFunction="sum" dataDxfId="283" totalsRowDxfId="282">
      <calculatedColumnFormula>SUMIF(Ohj.lask.[Maakunta],Maakunt.[[#This Row],[Maakunta]],Ohj.lask.[Perus-, suoritus- ja vaikuttavuusrahoitus yhteensä, €])</calculatedColumnFormula>
    </tableColumn>
    <tableColumn id="57" name="Suorite-perusteinen perusrahoitus (pl. hark. kor.)" totalsRowFunction="custom" dataDxfId="281" totalsRowDxfId="280" dataCellStyle="Prosenttia">
      <calculatedColumnFormula>Maakunt.[[#This Row],[Jaettava € 1]]/Maakunt.[[#This Row],[Perus-, suoritus- ja vaikuttavuusrahoitus yhteensä, €]]</calculatedColumnFormula>
      <totalsRowFormula>Maakunt.[[#Totals],[Jaettava € 1]]/Maakunt.[[#Totals],[Perus-, suoritus- ja vaikuttavuusrahoitus yhteensä, €]]</totalsRowFormula>
    </tableColumn>
    <tableColumn id="39" name="Perusrahoitus yhteensä (ml. hark. kor.)" totalsRowFunction="custom" dataDxfId="279" totalsRowDxfId="278" dataCellStyle="Prosenttia">
      <calculatedColumnFormula>Maakunt.[[#This Row],[Opiskelijavuosiin perustuva (suoriteperusteinen) sekä harkinnanvarainen korotus, €]]/Maakunt.[[#This Row],[Perus-, suoritus- ja vaikuttavuusrahoitus yhteensä, €]]</calculatedColumnFormula>
      <totalsRowFormula>Maakunt.[[#Totals],[Opiskelijavuosiin perustuva (suoriteperusteinen) sekä harkinnanvarainen korotus, €]]/Maakunt.[[#Totals],[Perus-, suoritus- ja vaikuttavuusrahoitus yhteensä, €]]</totalsRowFormula>
    </tableColumn>
    <tableColumn id="40" name="Suoritus-rahoitus" totalsRowFunction="custom" dataDxfId="277" totalsRowDxfId="276" dataCellStyle="Prosenttia">
      <calculatedColumnFormula>Maakunt.[[#This Row],[Suoritusrahoitus, €]]/Maakunt.[[#This Row],[Perus-, suoritus- ja vaikuttavuusrahoitus yhteensä, €]]</calculatedColumnFormula>
      <totalsRowFormula>Maakunt.[[#Totals],[Suoritusrahoitus, €]]/Maakunt.[[#Totals],[Perus-, suoritus- ja vaikuttavuusrahoitus yhteensä, €]]</totalsRowFormula>
    </tableColumn>
    <tableColumn id="41" name="Vaikuttavuus-rahoitus yhteensä" totalsRowFunction="custom" dataDxfId="275" totalsRowDxfId="274" dataCellStyle="Prosenttia">
      <calculatedColumnFormula>Maakunt.[[#This Row],[Työllistymiseen ja jatko-opintoihin siirtymiseen perustuva sekä opiskelija-palautteisiin perustuva, €]]/Maakunt.[[#This Row],[Perus-, suoritus- ja vaikuttavuusrahoitus yhteensä, €]]</calculatedColumnFormula>
      <totalsRowFormula>Maakunt.[[#Totals],[Työllistymiseen ja jatko-opintoihin siirtymiseen perustuva sekä opiskelija-palautteisiin perustuva, €]]/Maakunt.[[#Totals],[Perus-, suoritus- ja vaikuttavuusrahoitus yhteensä, €]]</totalsRowFormula>
    </tableColumn>
    <tableColumn id="42" name="-josta työllistyneet ja jatko-opiskelijat" totalsRowFunction="custom" dataDxfId="273" totalsRowDxfId="272" dataCellStyle="Prosenttia">
      <calculatedColumnFormula>SUMIF(Ohj.lask.[Maakunta],Maakunt.[[#This Row],[Maakunta]],Ohj.lask.[Jaettava € 3])/Maakunt.[[#This Row],[Perus-, suoritus- ja vaikuttavuusrahoitus yhteensä, €]]</calculatedColumnFormula>
      <totalsRowFormula>Ohj.lask.[[#Totals],[Jaettava € 3]]/Ohj.lask.[[#Totals],[Perus-, suoritus- ja vaikuttavuusrahoitus yhteensä, €]]</totalsRowFormula>
    </tableColumn>
    <tableColumn id="43" name="-josta aloittaneet opiskelija-palaute" totalsRowFunction="custom" dataDxfId="271" totalsRowDxfId="270" dataCellStyle="Prosenttia">
      <calculatedColumnFormula>SUMIF(Ohj.lask.[Maakunta],Maakunt.[[#This Row],[Maakunta]],Ohj.lask.[Jaettava € 4])/Maakunt.[[#This Row],[Perus-, suoritus- ja vaikuttavuusrahoitus yhteensä, €]]</calculatedColumnFormula>
      <totalsRowFormula>Ohj.lask.[[#Totals],[Jaettava € 4]]/Ohj.lask.[[#Totals],[Perus-, suoritus- ja vaikuttavuusrahoitus yhteensä, €]]</totalsRowFormula>
    </tableColumn>
    <tableColumn id="44" name="-josta päättäneet opiskelija-palaute" totalsRowFunction="custom" dataDxfId="269" totalsRowDxfId="268" dataCellStyle="Prosenttia">
      <calculatedColumnFormula>SUMIF(Ohj.lask.[Maakunta],Maakunt.[[#This Row],[Maakunta]],Ohj.lask.[Jaettava € 5])/Maakunt.[[#This Row],[Perus-, suoritus- ja vaikuttavuusrahoitus yhteensä, €]]</calculatedColumnFormula>
      <totalsRowFormula>Ohj.lask.[[#Totals],[Jaettava € 5]]/Ohj.lask.[[#Totals],[Perus-, suoritus- ja vaikuttavuusrahoitus yhteensä, €]]</totalsRowFormula>
    </tableColumn>
    <tableColumn id="46" name="Rahoitus ml. hark. kor. _x000a_2019 ilman alv, €" totalsRowFunction="sum" dataDxfId="267" totalsRowDxfId="266">
      <calculatedColumnFormula>SUMIF(Vertailu[Maakunta],Maakunt.[[#This Row],[Maakunta]],Vertailu[Rahoitus ml. hark. kor. 
2019 ilman alv, €])</calculatedColumnFormula>
    </tableColumn>
    <tableColumn id="55" name="Rahoitus ml. hark. kor. _x000a_2020 ilman alv, €" totalsRowFunction="sum" dataDxfId="265" totalsRowDxfId="264">
      <calculatedColumnFormula>SUMIF(Vertailu[Maakunta],Maakunt.[[#This Row],[Maakunta]],Vertailu[Rahoitus ml. hark. kor. 
2020 ilman alv, €])</calculatedColumnFormula>
    </tableColumn>
    <tableColumn id="48" name="Muutos, € 2" totalsRowFunction="sum" dataDxfId="263" totalsRowDxfId="262">
      <calculatedColumnFormula>SUMIF(Vertailu[Maakunta],Maakunt.[[#This Row],[Maakunta]],Vertailu[Muutos, € 2])</calculatedColumnFormula>
    </tableColumn>
    <tableColumn id="49" name="Muutos, % 2" totalsRowFunction="custom" dataDxfId="261" totalsRowDxfId="260" dataCellStyle="Prosenttia">
      <calculatedColumnFormula>IFERROR(Maakunt.[[#This Row],[Muutos, € 2]]/Maakunt.[[#This Row],[Rahoitus ml. hark. kor. 
2019 ilman alv, €]],0)</calculatedColumnFormula>
      <totalsRowFormula>IFERROR(Maakunt.[[#Totals],[Muutos, € 2]]/Maakunt.[[#Totals],[Rahoitus ml. hark. kor. 
2019 ilman alv, €]],0)</totalsRowFormula>
    </tableColumn>
  </tableColumns>
  <tableStyleInfo showFirstColumn="0" showLastColumn="0" showRowStripes="1" showColumnStripes="0"/>
</table>
</file>

<file path=xl/tables/table5.xml><?xml version="1.0" encoding="utf-8"?>
<table xmlns="http://schemas.openxmlformats.org/spreadsheetml/2006/main" id="13" name="Opv.kohd." displayName="Opv.kohd." ref="A4:DX176" totalsRowCount="1" headerRowDxfId="259" dataDxfId="258" totalsRowDxfId="257" totalsRowBorderDxfId="256" dataCellStyle="Prosenttia">
  <autoFilter ref="A4:DX175"/>
  <sortState ref="A5:BQ164">
    <sortCondition ref="B4:B164"/>
  </sortState>
  <tableColumns count="128">
    <tableColumn id="1" name="Y-tunnus" totalsRowLabel="Summa" dataDxfId="255" totalsRowDxfId="254">
      <calculatedColumnFormula>IF(INDEX(#REF!,ROW(5:5)-1,1)=0,"",INDEX(#REF!,ROW(5:5)-1,1))</calculatedColumnFormula>
    </tableColumn>
    <tableColumn id="2" name="Nimi" totalsRowFunction="custom" dataDxfId="253" totalsRowDxfId="252">
      <calculatedColumnFormula>IFERROR(VLOOKUP(Opv.kohd.[[#This Row],[Y-tunnus]],'0 Järjestäjätiedot'!$A:$H,2,FALSE),"")</calculatedColumnFormula>
      <totalsRowFormula>COUNTIF(Opv.kohd.[Nimi],"?*")</totalsRowFormula>
    </tableColumn>
    <tableColumn id="3" name="Maakunta" dataDxfId="251" totalsRowDxfId="250">
      <calculatedColumnFormula>IFERROR(VLOOKUP(Opv.kohd.[[#This Row],[Y-tunnus]],'0 Järjestäjätiedot'!$A:$H,COLUMN('0 Järjestäjätiedot'!D:D),FALSE),"")</calculatedColumnFormula>
    </tableColumn>
    <tableColumn id="5" name="Omistajatyyppi" dataDxfId="249" totalsRowDxfId="248">
      <calculatedColumnFormula>IFERROR(VLOOKUP(Opv.kohd.[[#This Row],[Y-tunnus]],'0 Järjestäjätiedot'!$A:$H,COLUMN('0 Järjestäjätiedot'!H:H),FALSE),"")</calculatedColumnFormula>
    </tableColumn>
    <tableColumn id="100" name="Järjestämisluvan mukaiset 1" totalsRowFunction="sum" dataDxfId="247" totalsRowDxfId="246">
      <calculatedColumnFormula>IFERROR(VLOOKUP(Opv.kohd.[[#This Row],[Y-tunnus]],#REF!,COLUMN(#REF!),FALSE),0)</calculatedColumnFormula>
    </tableColumn>
    <tableColumn id="101" name="Kohdentamat-tomat 1" totalsRowFunction="sum" dataDxfId="245" totalsRowDxfId="244">
      <calculatedColumnFormula>IFERROR(VLOOKUP(Opv.kohd.[[#This Row],[Y-tunnus]],#REF!,COLUMN(#REF!),FALSE),0)</calculatedColumnFormula>
    </tableColumn>
    <tableColumn id="102" name="Työvoima-koulutus 1" totalsRowFunction="sum" dataDxfId="243" totalsRowDxfId="242">
      <calculatedColumnFormula>IFERROR(VLOOKUP(Opv.kohd.[[#This Row],[Y-tunnus]],#REF!,COLUMN(#REF!),FALSE),0)</calculatedColumnFormula>
    </tableColumn>
    <tableColumn id="103" name="Maahan-muuttajien koulutus 1" totalsRowFunction="sum" dataDxfId="241" totalsRowDxfId="240">
      <calculatedColumnFormula>IFERROR(VLOOKUP(Opv.kohd.[[#This Row],[Y-tunnus]],#REF!,COLUMN(#REF!),FALSE),0)</calculatedColumnFormula>
    </tableColumn>
    <tableColumn id="104" name="Nuorisotyöt. väh. ja osaamistarp. vast., muu kuin työvoima-koulutus 1" totalsRowFunction="sum" dataDxfId="239" totalsRowDxfId="238">
      <calculatedColumnFormula>IFERROR(VLOOKUP(Opv.kohd.[[#This Row],[Y-tunnus]],#REF!,COLUMN(#REF!),FALSE),0)</calculatedColumnFormula>
    </tableColumn>
    <tableColumn id="105" name="Nuorisotyöt. väh. ja osaamistarp. vast., työvoima-koulutus 1" totalsRowFunction="sum" dataDxfId="237" totalsRowDxfId="236">
      <calculatedColumnFormula>IFERROR(VLOOKUP(Opv.kohd.[[#This Row],[Y-tunnus]],#REF!,COLUMN(#REF!),FALSE),0)</calculatedColumnFormula>
    </tableColumn>
    <tableColumn id="106" name="Yhteensä  1" totalsRowFunction="sum" dataDxfId="235" totalsRowDxfId="234">
      <calculatedColumnFormula>Opv.kohd.[[#This Row],[Kohdentamat-tomat 1]]+Opv.kohd.[[#This Row],[Työvoima-koulutus 1]]+Opv.kohd.[[#This Row],[Maahan-muuttajien koulutus 1]]+Opv.kohd.[[#This Row],[Nuorisotyöt. väh. ja osaamistarp. vast., muu kuin työvoima-koulutus 1]]+Opv.kohd.[[#This Row],[Nuorisotyöt. väh. ja osaamistarp. vast., työvoima-koulutus 1]]</calculatedColumnFormula>
    </tableColumn>
    <tableColumn id="78" name="Ensikertaisella suoritepäätöksellä jaetut tavoitteelliset opiskelijavuodet yhteensä 1" dataDxfId="233" totalsRowDxfId="232">
      <calculatedColumnFormula>Opv.kohd.[[#This Row],[Järjestämisluvan mukaiset 1]]+Opv.kohd.[[#This Row],[Yhteensä  1]]</calculatedColumnFormula>
    </tableColumn>
    <tableColumn id="72" name="Talousarvion perusteella kohdentamattomat" totalsRowFunction="sum" dataDxfId="231" totalsRowDxfId="230">
      <calculatedColumnFormula>IFERROR(VLOOKUP(Opv.kohd.[[#This Row],[Y-tunnus]],#REF!,COLUMN(#REF!),FALSE),0)</calculatedColumnFormula>
    </tableColumn>
    <tableColumn id="74" name="Talousarvion perusteella työvoimakoulutus 1" totalsRowFunction="sum" dataDxfId="229" totalsRowDxfId="228">
      <calculatedColumnFormula>IFERROR(VLOOKUP(Opv.kohd.[[#This Row],[Y-tunnus]],#REF!,COLUMN(#REF!),FALSE),0)</calculatedColumnFormula>
    </tableColumn>
    <tableColumn id="71" name="Lisätalousarvioiden perusteella" totalsRowFunction="sum" dataDxfId="227" totalsRowDxfId="226">
      <calculatedColumnFormula>IFERROR(VLOOKUP(Opv.kohd.[[#This Row],[Y-tunnus]],#REF!,COLUMN(#REF!),FALSE)+VLOOKUP(Opv.kohd.[[#This Row],[Y-tunnus]],#REF!,COLUMN(#REF!),FALSE),0)</calculatedColumnFormula>
    </tableColumn>
    <tableColumn id="70" name="Lisäsuoritepäätöksillä jaetut tavoitteelliset opiskelijavuoden yhteensä" totalsRowFunction="sum" dataDxfId="225" totalsRowDxfId="224">
      <calculatedColumnFormula>Opv.kohd.[[#This Row],[Talousarvion perusteella kohdentamattomat]]+Opv.kohd.[[#This Row],[Talousarvion perusteella työvoimakoulutus 1]]+Opv.kohd.[[#This Row],[Lisätalousarvioiden perusteella]]</calculatedColumnFormula>
    </tableColumn>
    <tableColumn id="107" name="Vuoden 2018 tavoitteelliset opiskelijavuodet yhteensä 1" totalsRowFunction="sum" dataDxfId="223" totalsRowDxfId="222">
      <calculatedColumnFormula>IFERROR(VLOOKUP(Opv.kohd.[[#This Row],[Y-tunnus]],#REF!,COLUMN(#REF!),FALSE),0)</calculatedColumnFormula>
    </tableColumn>
    <tableColumn id="109" name="Kohdentamat-tomat 2" totalsRowFunction="sum" dataDxfId="221" totalsRowDxfId="220">
      <calculatedColumnFormula>IFERROR(VLOOKUP(Opv.kohd.[[#This Row],[Y-tunnus]],#REF!,COLUMN(#REF!),FALSE)-(Opv.kohd.[[#This Row],[Kohdentamaton työvoima-koulutus 2]]+Opv.kohd.[[#This Row],[Maahan-muuttajien koulutus 2]]+Opv.kohd.[[#This Row],[Lisätalousarvioiden perusteella jaetut 2]]),0)</calculatedColumnFormula>
    </tableColumn>
    <tableColumn id="110" name="Kohdentamaton työvoima-koulutus 2" totalsRowFunction="sum" dataDxfId="219" totalsRowDxfId="218">
      <calculatedColumnFormula>IFERROR(VLOOKUP(Opv.kohd.[[#This Row],[Y-tunnus]],#REF!,COLUMN(#REF!),FALSE)+VLOOKUP(Opv.kohd.[[#This Row],[Y-tunnus]],#REF!,COLUMN(#REF!),FALSE),0)</calculatedColumnFormula>
    </tableColumn>
    <tableColumn id="111" name="Maahan-muuttajien koulutus 2" totalsRowFunction="sum" dataDxfId="217" totalsRowDxfId="216">
      <calculatedColumnFormula>IFERROR(VLOOKUP(Opv.kohd.[[#This Row],[Y-tunnus]],#REF!,COLUMN(#REF!),FALSE)+VLOOKUP(Opv.kohd.[[#This Row],[Y-tunnus]],#REF!,COLUMN(#REF!),FALSE),0)</calculatedColumnFormula>
    </tableColumn>
    <tableColumn id="8" name="Lisätalousarvioiden perusteella jaetut 2" totalsRowFunction="sum" dataDxfId="215" totalsRowDxfId="214">
      <calculatedColumnFormula>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calculatedColumnFormula>
    </tableColumn>
    <tableColumn id="115" name="Toteutuneet opiskelijavuodet yhteensä 2" totalsRowFunction="sum" dataDxfId="213" totalsRowDxfId="212">
      <calculatedColumnFormula>Opv.kohd.[[#This Row],[Kohdentamat-tomat 2]]+Opv.kohd.[[#This Row],[Kohdentamaton työvoima-koulutus 2]]+Opv.kohd.[[#This Row],[Maahan-muuttajien koulutus 2]]+Opv.kohd.[[#This Row],[Lisätalousarvioiden perusteella jaetut 2]]</calculatedColumnFormula>
    </tableColumn>
    <tableColumn id="116" name="Kohdentamat-tomat 3" totalsRowFunction="sum" dataDxfId="211" totalsRowDxfId="210">
      <calculatedColumnFormula>Opv.kohd.[[#This Row],[Kohdentamat-tomat 2]]-(Opv.kohd.[[#This Row],[Järjestämisluvan mukaiset 1]]+Opv.kohd.[[#This Row],[Kohdentamat-tomat 1]]+Opv.kohd.[[#This Row],[Nuorisotyöt. väh. ja osaamistarp. vast., muu kuin työvoima-koulutus 1]]+Opv.kohd.[[#This Row],[Talousarvion perusteella kohdentamattomat]])</calculatedColumnFormula>
    </tableColumn>
    <tableColumn id="117" name="Työvoima-koulutus 3" totalsRowFunction="sum" dataDxfId="209" totalsRowDxfId="208">
      <calculatedColumnFormula>Opv.kohd.[[#This Row],[Kohdentamaton työvoima-koulutus 2]]-(Opv.kohd.[[#This Row],[Työvoima-koulutus 1]]+Opv.kohd.[[#This Row],[Nuorisotyöt. väh. ja osaamistarp. vast., työvoima-koulutus 1]]+Opv.kohd.[[#This Row],[Talousarvion perusteella työvoimakoulutus 1]])</calculatedColumnFormula>
    </tableColumn>
    <tableColumn id="118" name="Maahan-muuttajien koulutus 3" totalsRowFunction="sum" dataDxfId="207" totalsRowDxfId="206">
      <calculatedColumnFormula>Opv.kohd.[[#This Row],[Maahan-muuttajien koulutus 2]]-Opv.kohd.[[#This Row],[Maahan-muuttajien koulutus 1]]</calculatedColumnFormula>
    </tableColumn>
    <tableColumn id="9" name="Lisätalousarvioiden perusteella jaetut 3" totalsRowFunction="sum" dataDxfId="205" totalsRowDxfId="204">
      <calculatedColumnFormula>Opv.kohd.[[#This Row],[Lisätalousarvioiden perusteella jaetut 2]]-Opv.kohd.[[#This Row],[Lisätalousarvioiden perusteella]]</calculatedColumnFormula>
    </tableColumn>
    <tableColumn id="122" name="Erotus yhteensä 3" totalsRowFunction="sum" dataDxfId="203" totalsRowDxfId="202">
      <calculatedColumnFormula>Opv.kohd.[[#This Row],[Toteutuneet opiskelijavuodet yhteensä 2]]-Opv.kohd.[[#This Row],[Vuoden 2018 tavoitteelliset opiskelijavuodet yhteensä 1]]</calculatedColumnFormula>
    </tableColumn>
    <tableColumn id="195" name="Järjestämisluvan mukaiset 4" totalsRowFunction="sum" dataDxfId="201" totalsRowDxfId="200">
      <calculatedColumnFormula>IFERROR(VLOOKUP(Opv.kohd.[[#This Row],[Y-tunnus]],#REF!,3,FALSE),0)</calculatedColumnFormula>
    </tableColumn>
    <tableColumn id="194" name="Kohdentamat-tomat 4" totalsRowFunction="sum" dataDxfId="199" totalsRowDxfId="198">
      <calculatedColumnFormula>IFERROR(VLOOKUP(Opv.kohd.[[#This Row],[Y-tunnus]],#REF!,4,FALSE),0)</calculatedColumnFormula>
    </tableColumn>
    <tableColumn id="193" name="Työvoima-koulutus 4" totalsRowFunction="sum" dataDxfId="197" totalsRowDxfId="196">
      <calculatedColumnFormula>IFERROR(VLOOKUP(Opv.kohd.[[#This Row],[Y-tunnus]],#REF!,5,FALSE),0)</calculatedColumnFormula>
    </tableColumn>
    <tableColumn id="192" name="Maahan-muuttajien koulutus 4" totalsRowFunction="sum" dataDxfId="195" totalsRowDxfId="194">
      <calculatedColumnFormula>IFERROR(VLOOKUP(Opv.kohd.[[#This Row],[Y-tunnus]],#REF!,6,FALSE),0)</calculatedColumnFormula>
    </tableColumn>
    <tableColumn id="191" name="Nuorisotyöt. väh. ja osaamistarp. vast., muu kuin työvoima-koulutus 4" totalsRowFunction="sum" dataDxfId="193" totalsRowDxfId="192">
      <calculatedColumnFormula>IFERROR(VLOOKUP(Opv.kohd.[[#This Row],[Y-tunnus]],#REF!,7,FALSE),0)</calculatedColumnFormula>
    </tableColumn>
    <tableColumn id="190" name="Nuorisotyöt. väh. ja osaamistarp. vast., työvoima-koulutus 4" totalsRowFunction="sum" dataDxfId="191" totalsRowDxfId="190">
      <calculatedColumnFormula>IFERROR(VLOOKUP(Opv.kohd.[[#This Row],[Y-tunnus]],#REF!,8,FALSE),0)</calculatedColumnFormula>
    </tableColumn>
    <tableColumn id="189" name="Yhteensä 4" totalsRowFunction="sum" dataDxfId="189" totalsRowDxfId="188">
      <calculatedColumnFormula>IFERROR(VLOOKUP(Opv.kohd.[[#This Row],[Y-tunnus]],#REF!,9,FALSE),0)</calculatedColumnFormula>
    </tableColumn>
    <tableColumn id="188" name="Ensikertaisella suoritepäätöksellä jaetut tavoitteelliset opiskelijavuodet yhteensä 4" totalsRowFunction="sum" dataDxfId="187" totalsRowDxfId="186">
      <calculatedColumnFormula>IFERROR(VLOOKUP(Opv.kohd.[[#This Row],[Y-tunnus]],#REF!,10,FALSE),0)</calculatedColumnFormula>
    </tableColumn>
    <tableColumn id="156" name="Järjestämisluvan mukaiset 5" totalsRowFunction="sum" dataDxfId="185" totalsRowDxfId="184">
      <calculatedColumnFormula>Opv.kohd.[[#This Row],[Järjestämisluvan mukaiset 4]]-Opv.kohd.[[#This Row],[Järjestämisluvan mukaiset 1]]</calculatedColumnFormula>
    </tableColumn>
    <tableColumn id="157" name="Kohdentamat-tomat 5" totalsRowFunction="sum" dataDxfId="183" totalsRowDxfId="182">
      <calculatedColumnFormula>Opv.kohd.[[#This Row],[Kohdentamat-tomat 4]]-Opv.kohd.[[#This Row],[Kohdentamat-tomat 1]]</calculatedColumnFormula>
    </tableColumn>
    <tableColumn id="158" name="Työvoima-koulutus 5" totalsRowFunction="sum" dataDxfId="181" totalsRowDxfId="180">
      <calculatedColumnFormula>Opv.kohd.[[#This Row],[Työvoima-koulutus 4]]-Opv.kohd.[[#This Row],[Työvoima-koulutus 1]]</calculatedColumnFormula>
    </tableColumn>
    <tableColumn id="159" name="Maahan-muuttajien koulutus 5" totalsRowFunction="sum" dataDxfId="179" totalsRowDxfId="178">
      <calculatedColumnFormula>Opv.kohd.[[#This Row],[Maahan-muuttajien koulutus 4]]-Opv.kohd.[[#This Row],[Maahan-muuttajien koulutus 1]]</calculatedColumnFormula>
    </tableColumn>
    <tableColumn id="160" name="Nuorisotyöt. väh. ja osaamistarp. vast., muu kuin työvoima-koulutus 5" totalsRowFunction="sum" dataDxfId="177" totalsRowDxfId="176">
      <calculatedColumnFormula>Opv.kohd.[[#This Row],[Nuorisotyöt. väh. ja osaamistarp. vast., muu kuin työvoima-koulutus 4]]-Opv.kohd.[[#This Row],[Nuorisotyöt. väh. ja osaamistarp. vast., muu kuin työvoima-koulutus 1]]</calculatedColumnFormula>
    </tableColumn>
    <tableColumn id="161" name="Nuorisotyöt. väh. ja osaamistarp. vast., työvoima-koulutus 5" totalsRowFunction="sum" dataDxfId="175" totalsRowDxfId="174">
      <calculatedColumnFormula>Opv.kohd.[[#This Row],[Nuorisotyöt. väh. ja osaamistarp. vast., työvoima-koulutus 4]]-Opv.kohd.[[#This Row],[Nuorisotyöt. väh. ja osaamistarp. vast., työvoima-koulutus 1]]</calculatedColumnFormula>
    </tableColumn>
    <tableColumn id="162" name="Yhteensä 5" totalsRowFunction="sum" dataDxfId="173" totalsRowDxfId="172">
      <calculatedColumnFormula>Opv.kohd.[[#This Row],[Yhteensä 4]]-Opv.kohd.[[#This Row],[Yhteensä  1]]</calculatedColumnFormula>
    </tableColumn>
    <tableColumn id="163" name="Ensikertaisella suoritepäätöksellä jaetut tavoitteelliset opiskelijavuodet yhteensä 5" totalsRowFunction="sum" dataDxfId="171" totalsRowDxfId="170">
      <calculatedColumnFormula>Opv.kohd.[[#This Row],[Ensikertaisella suoritepäätöksellä jaetut tavoitteelliset opiskelijavuodet yhteensä 4]]-Opv.kohd.[[#This Row],[Ensikertaisella suoritepäätöksellä jaetut tavoitteelliset opiskelijavuodet yhteensä 1]]</calculatedColumnFormula>
    </tableColumn>
    <tableColumn id="164" name="Järjestämisluvan mukaiset 6" totalsRowFunction="custom" dataDxfId="169" totalsRowDxfId="168" dataCellStyle="Prosenttia">
      <calculatedColumnFormula>IFERROR(Opv.kohd.[[#This Row],[Järjestämisluvan mukaiset 5]]/Opv.kohd.[[#This Row],[Järjestämisluvan mukaiset 4]],0)</calculatedColumnFormula>
      <totalsRowFormula>IFERROR(Opv.kohd.[[#Totals],[Järjestämisluvan mukaiset 5]]/Opv.kohd.[[#Totals],[Järjestämisluvan mukaiset 4]],0)</totalsRowFormula>
    </tableColumn>
    <tableColumn id="165" name="Kohdentamat-tomat 6" totalsRowFunction="custom" dataDxfId="167" totalsRowDxfId="166" dataCellStyle="Prosenttia">
      <calculatedColumnFormula>IFERROR(Opv.kohd.[[#This Row],[Kohdentamat-tomat 5]]/Opv.kohd.[[#This Row],[Kohdentamat-tomat 4]],0)</calculatedColumnFormula>
      <totalsRowFormula>IFERROR(Opv.kohd.[[#Totals],[Kohdentamat-tomat 5]]/Opv.kohd.[[#Totals],[Kohdentamat-tomat 4]],0)</totalsRowFormula>
    </tableColumn>
    <tableColumn id="166" name="Työvoima-koulutus 6" totalsRowFunction="custom" dataDxfId="165" totalsRowDxfId="164" dataCellStyle="Prosenttia">
      <calculatedColumnFormula>IFERROR(Opv.kohd.[[#This Row],[Työvoima-koulutus 5]]/Opv.kohd.[[#This Row],[Työvoima-koulutus 4]],0)</calculatedColumnFormula>
      <totalsRowFormula>IFERROR(Opv.kohd.[[#Totals],[Työvoima-koulutus 5]]/Opv.kohd.[[#Totals],[Työvoima-koulutus 4]],0)</totalsRowFormula>
    </tableColumn>
    <tableColumn id="167" name="Maahan-muuttajien koulutus 6" totalsRowFunction="custom" dataDxfId="163" totalsRowDxfId="162" dataCellStyle="Prosenttia">
      <calculatedColumnFormula>IFERROR(Opv.kohd.[[#This Row],[Maahan-muuttajien koulutus 5]]/Opv.kohd.[[#This Row],[Maahan-muuttajien koulutus 4]],0)</calculatedColumnFormula>
      <totalsRowFormula>IFERROR(Opv.kohd.[[#Totals],[Maahan-muuttajien koulutus 5]]/Opv.kohd.[[#Totals],[Maahan-muuttajien koulutus 4]],0)</totalsRowFormula>
    </tableColumn>
    <tableColumn id="168" name="Nuorisotyöt. väh. ja osaamistarp. vast., muu kuin työvoima-koulutus 6" totalsRowFunction="custom" dataDxfId="161" totalsRowDxfId="160" dataCellStyle="Prosenttia">
      <calculatedColumnFormula>IFERROR(Opv.kohd.[[#This Row],[Nuorisotyöt. väh. ja osaamistarp. vast., muu kuin työvoima-koulutus 5]]/Opv.kohd.[[#This Row],[Nuorisotyöt. väh. ja osaamistarp. vast., muu kuin työvoima-koulutus 4]],0)</calculatedColumnFormula>
      <totalsRowFormula>IFERROR(Opv.kohd.[[#Totals],[Nuorisotyöt. väh. ja osaamistarp. vast., muu kuin työvoima-koulutus 5]]/Opv.kohd.[[#Totals],[Nuorisotyöt. väh. ja osaamistarp. vast., muu kuin työvoima-koulutus 4]],0)</totalsRowFormula>
    </tableColumn>
    <tableColumn id="169" name="Nuorisotyöt. väh. ja osaamistarp. vast., työvoima-koulutus 6" totalsRowFunction="custom" dataDxfId="159" totalsRowDxfId="158" dataCellStyle="Prosenttia">
      <calculatedColumnFormula>IFERROR(Opv.kohd.[[#This Row],[Nuorisotyöt. väh. ja osaamistarp. vast., työvoima-koulutus 5]]/Opv.kohd.[[#This Row],[Nuorisotyöt. väh. ja osaamistarp. vast., työvoima-koulutus 4]],0)</calculatedColumnFormula>
      <totalsRowFormula>IFERROR(Opv.kohd.[[#Totals],[Nuorisotyöt. väh. ja osaamistarp. vast., työvoima-koulutus 5]]/Opv.kohd.[[#Totals],[Nuorisotyöt. väh. ja osaamistarp. vast., työvoima-koulutus 4]],0)</totalsRowFormula>
    </tableColumn>
    <tableColumn id="170" name="Yhteensä 6" totalsRowFunction="custom" dataDxfId="157" totalsRowDxfId="156" dataCellStyle="Prosenttia">
      <calculatedColumnFormula>IFERROR(Opv.kohd.[[#This Row],[Yhteensä 5]]/Opv.kohd.[[#This Row],[Yhteensä 4]],0)</calculatedColumnFormula>
      <totalsRowFormula>IFERROR(Opv.kohd.[[#Totals],[Yhteensä 5]]/Opv.kohd.[[#Totals],[Yhteensä 4]],0)</totalsRowFormula>
    </tableColumn>
    <tableColumn id="171" name="Ensikertaisella suoritepäätöksellä jaetut tavoitteelliset opiskelijavuodet yhteensä 6" totalsRowFunction="custom" dataDxfId="155" totalsRowDxfId="154" dataCellStyle="Prosenttia">
      <calculatedColumnFormula>IFERROR(Opv.kohd.[[#This Row],[Ensikertaisella suoritepäätöksellä jaetut tavoitteelliset opiskelijavuodet yhteensä 5]]/Opv.kohd.[[#This Row],[Ensikertaisella suoritepäätöksellä jaetut tavoitteelliset opiskelijavuodet yhteensä 4]],0)</calculatedColumnFormula>
      <totalsRowFormula>IFERROR(Opv.kohd.[[#Totals],[Ensikertaisella suoritepäätöksellä jaetut tavoitteelliset opiskelijavuodet yhteensä 5]]/Opv.kohd.[[#Totals],[Ensikertaisella suoritepäätöksellä jaetut tavoitteelliset opiskelijavuodet yhteensä 4]],0)</totalsRowFormula>
    </tableColumn>
    <tableColumn id="14" name="Muu kuin työvoima-koulutus 7a" totalsRowFunction="sum" dataDxfId="153" totalsRowDxfId="152">
      <calculatedColumnFormula>Opv.kohd.[[#This Row],[Yhteensä 7a]]-Opv.kohd.[[#This Row],[Työvoima-koulutus 7a]]</calculatedColumnFormula>
    </tableColumn>
    <tableColumn id="15" name="Työvoima-koulutus 7a" totalsRowFunction="sum" dataDxfId="151" totalsRowDxfId="150">
      <calculatedColumnFormula>IFERROR(VLOOKUP(Opv.kohd.[[#This Row],[Y-tunnus]],#REF!,COLUMN(#REF!),FALSE),0)</calculatedColumnFormula>
    </tableColumn>
    <tableColumn id="16" name="Yhteensä 7a" totalsRowFunction="sum" dataDxfId="149" totalsRowDxfId="148">
      <calculatedColumnFormula>IFERROR(VLOOKUP(Opv.kohd.[[#This Row],[Y-tunnus]],#REF!,COLUMN(#REF!),FALSE),0)</calculatedColumnFormula>
    </tableColumn>
    <tableColumn id="17" name="Muu kuin työvoima-koulutus 7b" totalsRowFunction="sum" dataDxfId="147" totalsRowDxfId="146">
      <calculatedColumnFormula>Opv.kohd.[[#This Row],[Muu kuin työvoima-koulutus 7c]]-Opv.kohd.[[#This Row],[Muu kuin työvoima-koulutus 7a]]</calculatedColumnFormula>
    </tableColumn>
    <tableColumn id="18" name="Työvoima-koulutus 7b" totalsRowFunction="sum" dataDxfId="145" totalsRowDxfId="144">
      <calculatedColumnFormula>Opv.kohd.[[#This Row],[Työvoima-koulutus 7c]]-Opv.kohd.[[#This Row],[Työvoima-koulutus 7a]]</calculatedColumnFormula>
    </tableColumn>
    <tableColumn id="19" name="Yhteensä 7b" totalsRowFunction="sum" dataDxfId="143" totalsRowDxfId="142">
      <calculatedColumnFormula>Opv.kohd.[[#This Row],[Yhteensä 7c]]-Opv.kohd.[[#This Row],[Yhteensä 7a]]</calculatedColumnFormula>
    </tableColumn>
    <tableColumn id="20" name="Muu kuin työvoima-koulutus 7c" totalsRowFunction="sum" dataDxfId="141" totalsRowDxfId="140">
      <calculatedColumnFormula>Opv.kohd.[[#This Row],[Yhteensä 7c]]-Opv.kohd.[[#This Row],[Työvoima-koulutus 7c]]</calculatedColumnFormula>
    </tableColumn>
    <tableColumn id="196" name="Työvoima-koulutus 7c" totalsRowFunction="sum" dataDxfId="139" totalsRowDxfId="138">
      <calculatedColumnFormula>IFERROR(VLOOKUP(Opv.kohd.[[#This Row],[Y-tunnus]],#REF!,COLUMN(#REF!),FALSE),0)</calculatedColumnFormula>
    </tableColumn>
    <tableColumn id="21" name="Yhteensä 7c" totalsRowFunction="sum" dataDxfId="137" totalsRowDxfId="136">
      <calculatedColumnFormula>IFERROR(VLOOKUP(Opv.kohd.[[#This Row],[Y-tunnus]],#REF!,COLUMN(#REF!),FALSE),0)</calculatedColumnFormula>
    </tableColumn>
    <tableColumn id="13" name="Muu kuin työvoima-koulutus 7d" totalsRowFunction="sum" dataDxfId="135" totalsRowDxfId="134">
      <calculatedColumnFormula>IFERROR(VLOOKUP(Opv.kohd.[[#This Row],[Y-tunnus]],#REF!,COLUMN(#REF!),FALSE),0)</calculatedColumnFormula>
    </tableColumn>
    <tableColumn id="41" name="Työvoima-koulutus 7d" totalsRowFunction="sum" dataDxfId="133" totalsRowDxfId="132">
      <calculatedColumnFormula>IFERROR(VLOOKUP(Opv.kohd.[[#This Row],[Y-tunnus]],#REF!,COLUMN(#REF!),FALSE),0)</calculatedColumnFormula>
    </tableColumn>
    <tableColumn id="42" name="Yhteensä 7d" totalsRowFunction="sum" dataDxfId="131" totalsRowDxfId="130">
      <calculatedColumnFormula>Opv.kohd.[[#This Row],[Muu kuin työvoima-koulutus 7d]]+Opv.kohd.[[#This Row],[Työvoima-koulutus 7d]]</calculatedColumnFormula>
    </tableColumn>
    <tableColumn id="12" name="Muu kuin työvoima-koulutus 7e" totalsRowFunction="sum" dataDxfId="129" totalsRowDxfId="128">
      <calculatedColumnFormula>Opv.kohd.[[#This Row],[Muu kuin työvoima-koulutus 7c]]-Opv.kohd.[[#This Row],[Muu kuin työvoima-koulutus 7d]]</calculatedColumnFormula>
    </tableColumn>
    <tableColumn id="11" name="Työvoima-koulutus 7e" totalsRowFunction="sum" dataDxfId="127" totalsRowDxfId="126">
      <calculatedColumnFormula>Opv.kohd.[[#This Row],[Työvoima-koulutus 7c]]-Opv.kohd.[[#This Row],[Työvoima-koulutus 7d]]</calculatedColumnFormula>
    </tableColumn>
    <tableColumn id="10" name="Yhteensä 7e" totalsRowFunction="sum" dataDxfId="125" totalsRowDxfId="124">
      <calculatedColumnFormula>Opv.kohd.[[#This Row],[Yhteensä 7c]]-Opv.kohd.[[#This Row],[Yhteensä 7d]]</calculatedColumnFormula>
    </tableColumn>
    <tableColumn id="77" name="Muu kuin työvoima-koulutus3 8" totalsRowFunction="sum" dataDxfId="123" totalsRowDxfId="122">
      <calculatedColumnFormula>Opv.kohd.[[#This Row],[Muu kuin työvoima-koulutus 7e]]-(Opv.kohd.[[#This Row],[Järjestämisluvan mukaiset 4]]+Opv.kohd.[[#This Row],[Kohdentamat-tomat 4]]+Opv.kohd.[[#This Row],[Maahan-muuttajien koulutus 4]]+Opv.kohd.[[#This Row],[Nuorisotyöt. väh. ja osaamistarp. vast., muu kuin työvoima-koulutus 4]])</calculatedColumnFormula>
    </tableColumn>
    <tableColumn id="76" name="Työvoima-koulutus 8" totalsRowFunction="sum" dataDxfId="121" totalsRowDxfId="120">
      <calculatedColumnFormula>Opv.kohd.[[#This Row],[Työvoima-koulutus 7e]]-(Opv.kohd.[[#This Row],[Työvoima-koulutus 4]]+Opv.kohd.[[#This Row],[Nuorisotyöt. väh. ja osaamistarp. vast., työvoima-koulutus 4]])</calculatedColumnFormula>
    </tableColumn>
    <tableColumn id="75" name="Erotus yhteensä 8" totalsRowFunction="sum" dataDxfId="119" totalsRowDxfId="118">
      <calculatedColumnFormula>Opv.kohd.[[#This Row],[Yhteensä 7e]]-Opv.kohd.[[#This Row],[Ensikertaisella suoritepäätöksellä jaetut tavoitteelliset opiskelijavuodet yhteensä 4]]</calculatedColumnFormula>
    </tableColumn>
    <tableColumn id="22" name="Järjestämisluvan mukaiset 9" totalsRowFunction="sum" dataDxfId="117" totalsRowDxfId="116"/>
    <tableColumn id="23" name="Kohdentamat-tomat 9" totalsRowFunction="sum" dataDxfId="115" totalsRowDxfId="114"/>
    <tableColumn id="24" name="Työvoima-koulutus 9" totalsRowFunction="sum" dataDxfId="113" totalsRowDxfId="112"/>
    <tableColumn id="25" name="Maahan-muuttajien koulutus 9" totalsRowFunction="sum" dataDxfId="111" totalsRowDxfId="110"/>
    <tableColumn id="26" name="Nuorisotyöt. väh. ja osaamistarp. vast., muu kuin työvoima-koulutus 9" totalsRowFunction="sum" dataDxfId="109" totalsRowDxfId="108"/>
    <tableColumn id="27" name="Nuorisotyöt. väh. ja osaamistarp. vast., työvoima-koulutus 9" totalsRowFunction="sum" dataDxfId="107" totalsRowDxfId="106"/>
    <tableColumn id="28" name="Yhteensä 9" totalsRowFunction="sum" dataDxfId="105" totalsRowDxfId="104"/>
    <tableColumn id="29" name="Tavoitteelliset opiskelijavuodet yhteensä 9" totalsRowFunction="sum" dataDxfId="103" totalsRowDxfId="102"/>
    <tableColumn id="30" name="Järjestämisluvan mukaiset 10" totalsRowFunction="sum" dataDxfId="101" totalsRowDxfId="100">
      <calculatedColumnFormula>BR5-AB5</calculatedColumnFormula>
    </tableColumn>
    <tableColumn id="31" name="Kohdentamat-tomat 10" totalsRowFunction="sum" dataDxfId="99" totalsRowDxfId="98">
      <calculatedColumnFormula>BS5-AC5</calculatedColumnFormula>
    </tableColumn>
    <tableColumn id="32" name="Työvoima-koulutus 10" totalsRowFunction="sum" dataDxfId="97" totalsRowDxfId="96">
      <calculatedColumnFormula>BT5-AD5</calculatedColumnFormula>
    </tableColumn>
    <tableColumn id="33" name="Maahan-muuttajien koulutus 10" totalsRowFunction="sum" dataDxfId="95" totalsRowDxfId="94">
      <calculatedColumnFormula>BU5-AE5</calculatedColumnFormula>
    </tableColumn>
    <tableColumn id="34" name="Nuorisotyöt. väh. ja osaamistarp. vast., muu kuin työvoima-koulutus 10" totalsRowFunction="sum" dataDxfId="93" totalsRowDxfId="92">
      <calculatedColumnFormula>BV5-AF5</calculatedColumnFormula>
    </tableColumn>
    <tableColumn id="35" name="Nuorisotyöt. väh. ja osaamistarp. vast., työvoima-koulutus 10" totalsRowFunction="sum" dataDxfId="91" totalsRowDxfId="90">
      <calculatedColumnFormula>BW5-AG5</calculatedColumnFormula>
    </tableColumn>
    <tableColumn id="36" name="Yhteensä 10" totalsRowFunction="sum" dataDxfId="89" totalsRowDxfId="88">
      <calculatedColumnFormula>BX5-AH5</calculatedColumnFormula>
    </tableColumn>
    <tableColumn id="37" name="Tavoitteelliset opiskelijavuodet yhteensä 10" totalsRowFunction="sum" dataDxfId="87" totalsRowDxfId="86">
      <calculatedColumnFormula>BY5-AI5</calculatedColumnFormula>
    </tableColumn>
    <tableColumn id="38" name="Muu kuin työvoima-koulutus 11" totalsRowFunction="sum" dataDxfId="85" totalsRowDxfId="84">
      <calculatedColumnFormula>Opv.kohd.[[#This Row],[Tavoitteelliset opiskelijavuodet yhteensä 9]]-Opv.kohd.[[#This Row],[Työvoima-koulutus 9]]-Opv.kohd.[[#This Row],[Nuorisotyöt. väh. ja osaamistarp. vast., työvoima-koulutus 9]]-Opv.kohd.[[#This Row],[Muu kuin työvoima-koulutus 7e]]</calculatedColumnFormula>
    </tableColumn>
    <tableColumn id="39" name="Työvoima-koulutus 11" totalsRowFunction="sum" dataDxfId="83" totalsRowDxfId="82">
      <calculatedColumnFormula>(Opv.kohd.[[#This Row],[Työvoima-koulutus 9]]+Opv.kohd.[[#This Row],[Nuorisotyöt. väh. ja osaamistarp. vast., työvoima-koulutus 9]])-Opv.kohd.[[#This Row],[Työvoima-koulutus 7e]]</calculatedColumnFormula>
    </tableColumn>
    <tableColumn id="40" name="Yhteensä 11" totalsRowFunction="sum" dataDxfId="81" totalsRowDxfId="80">
      <calculatedColumnFormula>Opv.kohd.[[#This Row],[Tavoitteelliset opiskelijavuodet yhteensä 9]]-Opv.kohd.[[#This Row],[Yhteensä 7e]]</calculatedColumnFormula>
    </tableColumn>
    <tableColumn id="46" name="Järjestämisluvan mukaiset 12" totalsRowFunction="sum" dataDxfId="79" totalsRowDxfId="78">
      <calculatedColumnFormula>Opv.kohd.[[#This Row],[Järjestämisluvan mukaiset 4]]+Opv.kohd.[[#This Row],[Järjestämisluvan mukaiset 13]]</calculatedColumnFormula>
    </tableColumn>
    <tableColumn id="47" name="Kohdentamat-tomat 12" totalsRowFunction="sum" dataDxfId="77" totalsRowDxfId="76">
      <calculatedColumnFormula>Opv.kohd.[[#This Row],[Kohdentamat-tomat 4]]+Opv.kohd.[[#This Row],[Kohdentamat-tomat 13]]</calculatedColumnFormula>
    </tableColumn>
    <tableColumn id="48" name="Työvoima-koulutus 12" totalsRowFunction="sum" dataDxfId="75" totalsRowDxfId="74">
      <calculatedColumnFormula>Opv.kohd.[[#This Row],[Työvoima-koulutus 4]]+Opv.kohd.[[#This Row],[Työvoima-koulutus 13]]</calculatedColumnFormula>
    </tableColumn>
    <tableColumn id="49" name="Maahan-muuttajien koulutus 12" totalsRowFunction="sum" dataDxfId="73" totalsRowDxfId="72">
      <calculatedColumnFormula>Opv.kohd.[[#This Row],[Maahan-muuttajien koulutus 4]]+Opv.kohd.[[#This Row],[Maahan-muuttajien koulutus 13]]</calculatedColumnFormula>
    </tableColumn>
    <tableColumn id="50" name="Nuorisotyöt. väh. ja osaamistarp. vast., muu kuin työvoima-koulutus 12" totalsRowFunction="sum" dataDxfId="71" totalsRowDxfId="70">
      <calculatedColumnFormula>Opv.kohd.[[#This Row],[Nuorisotyöt. väh. ja osaamistarp. vast., muu kuin työvoima-koulutus 4]]+Opv.kohd.[[#This Row],[Nuorisotyöt. väh. ja osaamistarp. vast., muu kuin työvoima-koulutus 13]]</calculatedColumnFormula>
    </tableColumn>
    <tableColumn id="51" name="Nuorisotyöt. väh. ja osaamistarp. vast., työvoima-koulutus 12" totalsRowFunction="sum" dataDxfId="69" totalsRowDxfId="68">
      <calculatedColumnFormula>Opv.kohd.[[#This Row],[Nuorisotyöt. väh. ja osaamistarp. vast., työvoima-koulutus 4]]+Opv.kohd.[[#This Row],[Nuorisotyöt. väh. ja osaamistarp. vast., työvoima-koulutus 13]]</calculatedColumnFormula>
    </tableColumn>
    <tableColumn id="52" name="Yhteensä 12" totalsRowFunction="sum" dataDxfId="67" totalsRowDxfId="66">
      <calculatedColumnFormula>Opv.kohd.[[#This Row],[Yhteensä 4]]+Opv.kohd.[[#This Row],[Yhteensä 13]]</calculatedColumnFormula>
    </tableColumn>
    <tableColumn id="53" name="Tavoitteelliset opiskelijavuodet yhteensä 12" totalsRowFunction="sum" dataDxfId="65" totalsRowDxfId="64">
      <calculatedColumnFormula>Opv.kohd.[[#This Row],[Ensikertaisella suoritepäätöksellä jaetut tavoitteelliset opiskelijavuodet yhteensä 4]]+Opv.kohd.[[#This Row],[Tavoitteelliset opiskelijavuodet yhteensä 13]]</calculatedColumnFormula>
    </tableColumn>
    <tableColumn id="97" name="Järjestämisluvan mukaiset 13" totalsRowFunction="sum" dataDxfId="63" totalsRowDxfId="62"/>
    <tableColumn id="96" name="Kohdentamat-tomat 13" totalsRowFunction="sum" dataDxfId="61" totalsRowDxfId="60"/>
    <tableColumn id="95" name="Työvoima-koulutus 13" totalsRowFunction="sum" dataDxfId="59" totalsRowDxfId="58"/>
    <tableColumn id="94" name="Maahan-muuttajien koulutus 13" totalsRowFunction="sum" dataDxfId="57" totalsRowDxfId="56"/>
    <tableColumn id="93" name="Nuorisotyöt. väh. ja osaamistarp. vast., muu kuin työvoima-koulutus 13" totalsRowFunction="sum" dataDxfId="55" totalsRowDxfId="54"/>
    <tableColumn id="92" name="Nuorisotyöt. väh. ja osaamistarp. vast., työvoima-koulutus 13" totalsRowFunction="sum" dataDxfId="53" totalsRowDxfId="52"/>
    <tableColumn id="91" name="Yhteensä 13" totalsRowFunction="sum" dataDxfId="51" totalsRowDxfId="50"/>
    <tableColumn id="90" name="Tavoitteelliset opiskelijavuodet yhteensä 13" totalsRowFunction="sum" dataDxfId="49" totalsRowDxfId="48"/>
    <tableColumn id="89" name="Järjestämisluvan mukaiset 14" totalsRowFunction="custom" dataDxfId="47" totalsRowDxfId="46" dataCellStyle="Prosenttia">
      <calculatedColumnFormula>IFERROR(Opv.kohd.[[#This Row],[Järjestämisluvan mukaiset 13]]/Opv.kohd.[[#This Row],[Järjestämisluvan mukaiset 12]],0)</calculatedColumnFormula>
      <totalsRowFormula>IFERROR(Opv.kohd.[[#Totals],[Järjestämisluvan mukaiset 13]]/Opv.kohd.[[#Totals],[Järjestämisluvan mukaiset 12]],0)</totalsRowFormula>
    </tableColumn>
    <tableColumn id="88" name="Kohdentamat-tomat 14" totalsRowFunction="custom" dataDxfId="45" totalsRowDxfId="44" dataCellStyle="Prosenttia">
      <calculatedColumnFormula>IFERROR(Opv.kohd.[[#This Row],[Kohdentamat-tomat 13]]/Opv.kohd.[[#This Row],[Kohdentamat-tomat 12]],0)</calculatedColumnFormula>
      <totalsRowFormula>IFERROR(Opv.kohd.[[#Totals],[Kohdentamat-tomat 13]]/Opv.kohd.[[#Totals],[Kohdentamat-tomat 12]],0)</totalsRowFormula>
    </tableColumn>
    <tableColumn id="87" name="Työvoima-koulutus 14" totalsRowFunction="custom" dataDxfId="43" totalsRowDxfId="42" dataCellStyle="Prosenttia">
      <calculatedColumnFormula>IFERROR(Opv.kohd.[[#This Row],[Työvoima-koulutus 13]]/Opv.kohd.[[#This Row],[Työvoima-koulutus 12]],0)</calculatedColumnFormula>
      <totalsRowFormula>IFERROR(Opv.kohd.[[#Totals],[Työvoima-koulutus 13]]/Opv.kohd.[[#Totals],[Työvoima-koulutus 12]],0)</totalsRowFormula>
    </tableColumn>
    <tableColumn id="86" name="Maahan-muuttajien koulutus 14" totalsRowFunction="custom" dataDxfId="41" totalsRowDxfId="40" dataCellStyle="Prosenttia">
      <calculatedColumnFormula>IFERROR(Opv.kohd.[[#This Row],[Maahan-muuttajien koulutus 13]]/Opv.kohd.[[#This Row],[Maahan-muuttajien koulutus 12]],0)</calculatedColumnFormula>
      <totalsRowFormula>IFERROR(Opv.kohd.[[#Totals],[Maahan-muuttajien koulutus 13]]/Opv.kohd.[[#Totals],[Maahan-muuttajien koulutus 12]],0)</totalsRowFormula>
    </tableColumn>
    <tableColumn id="85" name="Nuorisotyöt. väh. ja osaamistarp. vast., muu kuin työvoima-koulutus 14" totalsRowFunction="custom" dataDxfId="39" totalsRowDxfId="38" dataCellStyle="Prosenttia">
      <calculatedColumnFormula>IFERROR(Opv.kohd.[[#This Row],[Nuorisotyöt. väh. ja osaamistarp. vast., muu kuin työvoima-koulutus 13]]/Opv.kohd.[[#This Row],[Nuorisotyöt. väh. ja osaamistarp. vast., muu kuin työvoima-koulutus 12]],0)</calculatedColumnFormula>
      <totalsRowFormula>IFERROR(Opv.kohd.[[#Totals],[Nuorisotyöt. väh. ja osaamistarp. vast., muu kuin työvoima-koulutus 13]]/Opv.kohd.[[#Totals],[Nuorisotyöt. väh. ja osaamistarp. vast., muu kuin työvoima-koulutus 12]],0)</totalsRowFormula>
    </tableColumn>
    <tableColumn id="84" name="Nuorisotyöt. väh. ja osaamistarp. vast., työvoima-koulutus 14" totalsRowFunction="custom" dataDxfId="37" totalsRowDxfId="36" dataCellStyle="Prosenttia">
      <calculatedColumnFormula>IFERROR(Opv.kohd.[[#This Row],[Nuorisotyöt. väh. ja osaamistarp. vast., työvoima-koulutus 13]]/Opv.kohd.[[#This Row],[Nuorisotyöt. väh. ja osaamistarp. vast., työvoima-koulutus 12]],0)</calculatedColumnFormula>
      <totalsRowFormula>IFERROR(Opv.kohd.[[#Totals],[Nuorisotyöt. väh. ja osaamistarp. vast., työvoima-koulutus 13]]/Opv.kohd.[[#Totals],[Nuorisotyöt. väh. ja osaamistarp. vast., työvoima-koulutus 12]],0)</totalsRowFormula>
    </tableColumn>
    <tableColumn id="83" name="Yhteensä 14" totalsRowFunction="custom" dataDxfId="35" totalsRowDxfId="34" dataCellStyle="Prosenttia">
      <calculatedColumnFormula>IFERROR(Opv.kohd.[[#This Row],[Yhteensä 13]]/Opv.kohd.[[#This Row],[Yhteensä 12]],0)</calculatedColumnFormula>
      <totalsRowFormula>IFERROR(Opv.kohd.[[#Totals],[Yhteensä 13]]/Opv.kohd.[[#Totals],[Yhteensä 12]],0)</totalsRowFormula>
    </tableColumn>
    <tableColumn id="82" name="Tavoitteelliset opiskelijavuodet yhteensä 14" totalsRowFunction="custom" dataDxfId="33" totalsRowDxfId="32" dataCellStyle="Prosenttia">
      <calculatedColumnFormula>IFERROR(Opv.kohd.[[#This Row],[Tavoitteelliset opiskelijavuodet yhteensä 13]]/Opv.kohd.[[#This Row],[Tavoitteelliset opiskelijavuodet yhteensä 12]],0)</calculatedColumnFormula>
      <totalsRowFormula>IFERROR(Opv.kohd.[[#Totals],[Tavoitteelliset opiskelijavuodet yhteensä 13]]/Opv.kohd.[[#Totals],[Tavoitteelliset opiskelijavuodet yhteensä 12]],0)</totalsRowFormula>
    </tableColumn>
    <tableColumn id="54" name="Järjestämisluvan mukaiset 15" totalsRowFunction="sum" dataDxfId="31" totalsRowDxfId="30">
      <calculatedColumnFormula>Opv.kohd.[[#This Row],[Järjestämisluvan mukaiset 12]]-Opv.kohd.[[#This Row],[Järjestämisluvan mukaiset 9]]</calculatedColumnFormula>
    </tableColumn>
    <tableColumn id="55" name="Kohdentamat-tomat 15" totalsRowFunction="sum" dataDxfId="29" totalsRowDxfId="28">
      <calculatedColumnFormula>Opv.kohd.[[#This Row],[Kohdentamat-tomat 12]]-Opv.kohd.[[#This Row],[Kohdentamat-tomat 9]]</calculatedColumnFormula>
    </tableColumn>
    <tableColumn id="56" name="Työvoima-koulutus 15" totalsRowFunction="sum" dataDxfId="27" totalsRowDxfId="26">
      <calculatedColumnFormula>Opv.kohd.[[#This Row],[Työvoima-koulutus 12]]-Opv.kohd.[[#This Row],[Työvoima-koulutus 9]]</calculatedColumnFormula>
    </tableColumn>
    <tableColumn id="57" name="Maahan-muuttajien koulutus 15" totalsRowFunction="sum" dataDxfId="25" totalsRowDxfId="24">
      <calculatedColumnFormula>Opv.kohd.[[#This Row],[Maahan-muuttajien koulutus 12]]-Opv.kohd.[[#This Row],[Maahan-muuttajien koulutus 9]]</calculatedColumnFormula>
    </tableColumn>
    <tableColumn id="58" name="Nuorisotyöt. väh. ja osaamistarp. vast., muu kuin työvoima-koulutus 15" totalsRowFunction="sum" dataDxfId="23" totalsRowDxfId="22">
      <calculatedColumnFormula>Opv.kohd.[[#This Row],[Nuorisotyöt. väh. ja osaamistarp. vast., muu kuin työvoima-koulutus 12]]-Opv.kohd.[[#This Row],[Nuorisotyöt. väh. ja osaamistarp. vast., muu kuin työvoima-koulutus 9]]</calculatedColumnFormula>
    </tableColumn>
    <tableColumn id="59" name="Nuorisotyöt. väh. ja osaamistarp. vast., työvoima-koulutus 15" totalsRowFunction="sum" dataDxfId="21" totalsRowDxfId="20">
      <calculatedColumnFormula>Opv.kohd.[[#This Row],[Nuorisotyöt. väh. ja osaamistarp. vast., työvoima-koulutus 12]]-Opv.kohd.[[#This Row],[Nuorisotyöt. väh. ja osaamistarp. vast., työvoima-koulutus 9]]</calculatedColumnFormula>
    </tableColumn>
    <tableColumn id="60" name="Yhteensä 15" totalsRowFunction="sum" dataDxfId="19" totalsRowDxfId="18">
      <calculatedColumnFormula>Opv.kohd.[[#This Row],[Yhteensä 12]]-Opv.kohd.[[#This Row],[Yhteensä 9]]</calculatedColumnFormula>
    </tableColumn>
    <tableColumn id="61" name="Tavoitteelliset opiskelijavuodet yhteensä 15" totalsRowFunction="sum" dataDxfId="17" totalsRowDxfId="16">
      <calculatedColumnFormula>Opv.kohd.[[#This Row],[Tavoitteelliset opiskelijavuodet yhteensä 12]]-Opv.kohd.[[#This Row],[Tavoitteelliset opiskelijavuodet yhteensä 9]]</calculatedColumnFormula>
    </tableColumn>
    <tableColumn id="62" name="Järjestämisluvan mukaiset 16" totalsRowFunction="custom" dataDxfId="15" totalsRowDxfId="14" dataCellStyle="Prosenttia">
      <calculatedColumnFormula>IFERROR(Opv.kohd.[[#This Row],[Järjestämisluvan mukaiset 15]]/Opv.kohd.[[#This Row],[Järjestämisluvan mukaiset 9]],0)</calculatedColumnFormula>
      <totalsRowFormula>IFERROR(Opv.kohd.[[#Totals],[Järjestämisluvan mukaiset 15]]/Opv.kohd.[[#Totals],[Järjestämisluvan mukaiset 9]],0)</totalsRowFormula>
    </tableColumn>
    <tableColumn id="63" name="Kohdentamat-tomat 16" totalsRowFunction="custom" dataDxfId="13" totalsRowDxfId="12" dataCellStyle="Prosenttia">
      <calculatedColumnFormula>IFERROR(DJ5/AC5,0)</calculatedColumnFormula>
      <totalsRowFormula>IFERROR(Opv.kohd.[[#Totals],[Kohdentamat-tomat 15]]/Opv.kohd.[[#Totals],[Kohdentamat-tomat 9]],0)</totalsRowFormula>
    </tableColumn>
    <tableColumn id="64" name="Työvoima-koulutus 16" totalsRowFunction="custom" dataDxfId="11" totalsRowDxfId="10" dataCellStyle="Prosenttia">
      <calculatedColumnFormula>IFERROR(DK5/AD5,0)</calculatedColumnFormula>
      <totalsRowFormula>IFERROR(Opv.kohd.[[#Totals],[Työvoima-koulutus 15]]/Opv.kohd.[[#Totals],[Työvoima-koulutus 9]],0)</totalsRowFormula>
    </tableColumn>
    <tableColumn id="65" name="Maahan-muuttajien koulutus 16" totalsRowFunction="custom" dataDxfId="9" totalsRowDxfId="8" dataCellStyle="Prosenttia">
      <calculatedColumnFormula>IFERROR(DL5/AE5,0)</calculatedColumnFormula>
      <totalsRowFormula>IFERROR(Opv.kohd.[[#Totals],[Maahan-muuttajien koulutus 15]]/Opv.kohd.[[#Totals],[Maahan-muuttajien koulutus 9]],0)</totalsRowFormula>
    </tableColumn>
    <tableColumn id="66" name="Nuorisotyöt. väh. ja osaamistarp. vast., muu kuin työvoima-koulutus 16" totalsRowFunction="custom" dataDxfId="7" totalsRowDxfId="6" dataCellStyle="Prosenttia">
      <calculatedColumnFormula>IFERROR(DM5/AF5,0)</calculatedColumnFormula>
      <totalsRowFormula>IFERROR(Opv.kohd.[[#Totals],[Nuorisotyöt. väh. ja osaamistarp. vast., muu kuin työvoima-koulutus 15]]/Opv.kohd.[[#Totals],[Nuorisotyöt. väh. ja osaamistarp. vast., muu kuin työvoima-koulutus 9]],0)</totalsRowFormula>
    </tableColumn>
    <tableColumn id="67" name="Nuorisotyöt. väh. ja osaamistarp. vast., työvoima-koulutus 16" totalsRowFunction="custom" dataDxfId="5" totalsRowDxfId="4" dataCellStyle="Prosenttia">
      <calculatedColumnFormula>IFERROR(DN5/AG5,0)</calculatedColumnFormula>
      <totalsRowFormula>IFERROR(Opv.kohd.[[#Totals],[Nuorisotyöt. väh. ja osaamistarp. vast., työvoima-koulutus 15]]/Opv.kohd.[[#Totals],[Nuorisotyöt. väh. ja osaamistarp. vast., työvoima-koulutus 9]],0)</totalsRowFormula>
    </tableColumn>
    <tableColumn id="68" name="Yhteensä 16" totalsRowFunction="custom" dataDxfId="3" totalsRowDxfId="2" dataCellStyle="Prosenttia">
      <calculatedColumnFormula>IFERROR(DO5/AH5,0)</calculatedColumnFormula>
      <totalsRowFormula>IFERROR(Opv.kohd.[[#Totals],[Yhteensä 15]]/Opv.kohd.[[#Totals],[Yhteensä 9]],0)</totalsRowFormula>
    </tableColumn>
    <tableColumn id="69" name="Tavoitteelliset opiskelijavuodet yhteensä 16" totalsRowFunction="custom" dataDxfId="1" totalsRowDxfId="0" dataCellStyle="Prosenttia">
      <calculatedColumnFormula>IFERROR(DP5/AI5,0)</calculatedColumnFormula>
      <totalsRowFormula>IFERROR(Opv.kohd.[[#Totals],[Tavoitteelliset opiskelijavuodet yhteensä 15]]/Opv.kohd.[[#Totals],[Tavoitteelliset opiskelijavuodet yhteensä 9]],0)</totalsRowFormula>
    </tableColumn>
  </tableColumns>
  <tableStyleInfo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vipunen.fi/fi-fi/_layouts/15/xlviewer.aspx?id=/fi-fi/Raportit/Rahoitusperusteraportti%20(ty%C3%B6llistyneet%20ja%20jatko-opiskelijat).xlsb"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vipunen.fi/fi-fi/_layouts/15/xlviewer.aspx?id=/fi-fi/Raportit/Ammatillinen%20koulutus%20-%20opiskelijapalaute%20-%20rahoitusmalli%20-%20aloituskysely.xlsb"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vipunen.fi/fi-fi/_layouts/15/xlviewer.aspx?id=/fi-fi/Raportit/Ammatillinenkoulutus%20-%20opiskelijapalaute%20-%20rahoitusmalli-%20p%C3%A4ttt%C3%B6kysely.xlsb" TargetMode="External"/></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vipunen.fi/fi-fi/_layouts/15/xlviewer.aspx?id=/fi-fi/Raportit/Koski%20opiskelijavuodet.xlsb"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vipunen.fi/fi-fi/_layouts/15/xlviewer.aspx?id=/fi-fi/Raportit/Koski%20tutkinnot%20ja%20tutkinnon%20osat%20painotetut.xls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5" x14ac:dyDescent="0.25"/>
  <cols>
    <col min="20" max="20" width="9.28515625"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K153"/>
  <sheetViews>
    <sheetView zoomScale="90" zoomScaleNormal="90" workbookViewId="0">
      <pane xSplit="2" ySplit="4" topLeftCell="C5" activePane="bottomRight" state="frozen"/>
      <selection pane="topRight" activeCell="C1" sqref="C1"/>
      <selection pane="bottomLeft" activeCell="A5" sqref="A5"/>
      <selection pane="bottomRight"/>
    </sheetView>
  </sheetViews>
  <sheetFormatPr defaultRowHeight="15" x14ac:dyDescent="0.25"/>
  <cols>
    <col min="1" max="1" width="12.5703125" customWidth="1"/>
    <col min="2" max="2" width="53.140625" customWidth="1"/>
    <col min="3" max="10" width="17.42578125" customWidth="1"/>
    <col min="13" max="13" width="9.140625" customWidth="1"/>
  </cols>
  <sheetData>
    <row r="1" spans="1:11" ht="19.5" x14ac:dyDescent="0.3">
      <c r="A1" s="6" t="s">
        <v>641</v>
      </c>
      <c r="C1" s="6"/>
    </row>
    <row r="2" spans="1:11" ht="15.75" x14ac:dyDescent="0.25">
      <c r="A2" s="7" t="s">
        <v>459</v>
      </c>
      <c r="C2" s="7"/>
    </row>
    <row r="3" spans="1:11" x14ac:dyDescent="0.25">
      <c r="A3" s="15" t="s">
        <v>857</v>
      </c>
    </row>
    <row r="4" spans="1:11" ht="54" customHeight="1" x14ac:dyDescent="0.25">
      <c r="A4" s="47"/>
      <c r="B4" s="244"/>
      <c r="C4" s="47" t="s">
        <v>13</v>
      </c>
      <c r="D4" s="47" t="s">
        <v>14</v>
      </c>
      <c r="E4" s="47" t="s">
        <v>15</v>
      </c>
      <c r="F4" s="47" t="s">
        <v>16</v>
      </c>
      <c r="G4" s="47" t="s">
        <v>17</v>
      </c>
      <c r="H4" s="47" t="s">
        <v>18</v>
      </c>
      <c r="I4" s="47" t="s">
        <v>19</v>
      </c>
      <c r="J4" s="47" t="s">
        <v>20</v>
      </c>
    </row>
    <row r="5" spans="1:11" x14ac:dyDescent="0.25">
      <c r="A5" s="104" t="s">
        <v>774</v>
      </c>
      <c r="B5" s="104" t="s">
        <v>775</v>
      </c>
      <c r="C5" s="309">
        <v>2148</v>
      </c>
      <c r="D5" s="309">
        <v>1856</v>
      </c>
      <c r="E5" s="309">
        <v>14</v>
      </c>
      <c r="F5" s="309">
        <v>1870</v>
      </c>
      <c r="G5" s="304">
        <v>4624.2137750557231</v>
      </c>
      <c r="H5" s="313">
        <v>46.238750000000017</v>
      </c>
      <c r="I5" s="304">
        <v>4670.4525250557235</v>
      </c>
      <c r="J5" s="310">
        <v>2.465546253418768E-2</v>
      </c>
    </row>
    <row r="6" spans="1:11" x14ac:dyDescent="0.25">
      <c r="A6" s="104" t="s">
        <v>409</v>
      </c>
      <c r="B6" s="104" t="s">
        <v>23</v>
      </c>
      <c r="C6" s="309">
        <v>126</v>
      </c>
      <c r="D6" s="309">
        <v>87</v>
      </c>
      <c r="E6" s="309">
        <v>5</v>
      </c>
      <c r="F6" s="309">
        <v>92</v>
      </c>
      <c r="G6" s="304">
        <v>313.21471999337416</v>
      </c>
      <c r="H6" s="313">
        <v>22.702705000000002</v>
      </c>
      <c r="I6" s="304">
        <v>335.91742499337414</v>
      </c>
      <c r="J6" s="310">
        <v>1.7733184187341934E-3</v>
      </c>
      <c r="K6" s="266"/>
    </row>
    <row r="7" spans="1:11" x14ac:dyDescent="0.25">
      <c r="A7" s="104" t="s">
        <v>406</v>
      </c>
      <c r="B7" s="104" t="s">
        <v>189</v>
      </c>
      <c r="C7" s="309">
        <v>13</v>
      </c>
      <c r="D7" s="309">
        <v>12</v>
      </c>
      <c r="E7" s="309">
        <v>0</v>
      </c>
      <c r="F7" s="309">
        <v>12</v>
      </c>
      <c r="G7" s="304">
        <v>32.499999999989996</v>
      </c>
      <c r="H7" s="313">
        <v>0</v>
      </c>
      <c r="I7" s="304">
        <v>32.499999999989996</v>
      </c>
      <c r="J7" s="310">
        <v>1.7156849963939898E-4</v>
      </c>
    </row>
    <row r="8" spans="1:11" x14ac:dyDescent="0.25">
      <c r="A8" s="104" t="s">
        <v>408</v>
      </c>
      <c r="B8" s="104" t="s">
        <v>24</v>
      </c>
      <c r="C8" s="309">
        <v>17</v>
      </c>
      <c r="D8" s="309">
        <v>0</v>
      </c>
      <c r="E8" s="309">
        <v>0</v>
      </c>
      <c r="F8" s="309">
        <v>0</v>
      </c>
      <c r="G8" s="304">
        <v>0</v>
      </c>
      <c r="H8" s="313">
        <v>0</v>
      </c>
      <c r="I8" s="304">
        <v>0</v>
      </c>
      <c r="J8" s="310">
        <v>0</v>
      </c>
    </row>
    <row r="9" spans="1:11" x14ac:dyDescent="0.25">
      <c r="A9" s="104" t="s">
        <v>407</v>
      </c>
      <c r="B9" s="104" t="s">
        <v>27</v>
      </c>
      <c r="C9" s="309">
        <v>179</v>
      </c>
      <c r="D9" s="309">
        <v>64</v>
      </c>
      <c r="E9" s="309">
        <v>1</v>
      </c>
      <c r="F9" s="309">
        <v>65</v>
      </c>
      <c r="G9" s="304">
        <v>408.3000996583994</v>
      </c>
      <c r="H9" s="313">
        <v>6.8846150000000002</v>
      </c>
      <c r="I9" s="304">
        <v>415.1847146583994</v>
      </c>
      <c r="J9" s="310">
        <v>2.1917728789900151E-3</v>
      </c>
    </row>
    <row r="10" spans="1:11" x14ac:dyDescent="0.25">
      <c r="A10" s="104" t="s">
        <v>405</v>
      </c>
      <c r="B10" s="104" t="s">
        <v>28</v>
      </c>
      <c r="C10" s="309">
        <v>62</v>
      </c>
      <c r="D10" s="309">
        <v>60</v>
      </c>
      <c r="E10" s="309">
        <v>0</v>
      </c>
      <c r="F10" s="309">
        <v>60</v>
      </c>
      <c r="G10" s="304">
        <v>124.57534316410526</v>
      </c>
      <c r="H10" s="313">
        <v>0</v>
      </c>
      <c r="I10" s="304">
        <v>124.57534316410526</v>
      </c>
      <c r="J10" s="310">
        <v>6.5763706826878091E-4</v>
      </c>
    </row>
    <row r="11" spans="1:11" x14ac:dyDescent="0.25">
      <c r="A11" s="104" t="s">
        <v>404</v>
      </c>
      <c r="B11" s="104" t="s">
        <v>29</v>
      </c>
      <c r="C11" s="309">
        <v>669</v>
      </c>
      <c r="D11" s="309">
        <v>493</v>
      </c>
      <c r="E11" s="309">
        <v>19</v>
      </c>
      <c r="F11" s="309">
        <v>512</v>
      </c>
      <c r="G11" s="304">
        <v>1689.9887264424624</v>
      </c>
      <c r="H11" s="313">
        <v>84.625641000000016</v>
      </c>
      <c r="I11" s="304">
        <v>1774.6143674424625</v>
      </c>
      <c r="J11" s="310">
        <v>9.3682438295605575E-3</v>
      </c>
    </row>
    <row r="12" spans="1:11" x14ac:dyDescent="0.25">
      <c r="A12" s="104" t="s">
        <v>239</v>
      </c>
      <c r="B12" s="104" t="s">
        <v>208</v>
      </c>
      <c r="C12" s="309">
        <v>1215</v>
      </c>
      <c r="D12" s="309">
        <v>970</v>
      </c>
      <c r="E12" s="309">
        <v>23</v>
      </c>
      <c r="F12" s="309">
        <v>993</v>
      </c>
      <c r="G12" s="304">
        <v>2838.8055628304292</v>
      </c>
      <c r="H12" s="313">
        <v>90.639428000000009</v>
      </c>
      <c r="I12" s="304">
        <v>2929.4449908304291</v>
      </c>
      <c r="J12" s="310">
        <v>1.5464630210864133E-2</v>
      </c>
    </row>
    <row r="13" spans="1:11" x14ac:dyDescent="0.25">
      <c r="A13" s="104" t="s">
        <v>401</v>
      </c>
      <c r="B13" s="104" t="s">
        <v>31</v>
      </c>
      <c r="C13" s="309">
        <v>2926</v>
      </c>
      <c r="D13" s="309">
        <v>2240</v>
      </c>
      <c r="E13" s="309">
        <v>63</v>
      </c>
      <c r="F13" s="309">
        <v>2303</v>
      </c>
      <c r="G13" s="304">
        <v>7201.2164056141146</v>
      </c>
      <c r="H13" s="313">
        <v>245.03996099999981</v>
      </c>
      <c r="I13" s="304">
        <v>7446.2563666141141</v>
      </c>
      <c r="J13" s="310">
        <v>3.9309016392329206E-2</v>
      </c>
    </row>
    <row r="14" spans="1:11" x14ac:dyDescent="0.25">
      <c r="A14" s="104" t="s">
        <v>400</v>
      </c>
      <c r="B14" s="104" t="s">
        <v>32</v>
      </c>
      <c r="C14" s="309">
        <v>1350</v>
      </c>
      <c r="D14" s="309">
        <v>857</v>
      </c>
      <c r="E14" s="309">
        <v>55</v>
      </c>
      <c r="F14" s="309">
        <v>912</v>
      </c>
      <c r="G14" s="304">
        <v>3208.4251161471598</v>
      </c>
      <c r="H14" s="313">
        <v>234</v>
      </c>
      <c r="I14" s="304">
        <v>3442.4251161471598</v>
      </c>
      <c r="J14" s="310">
        <v>1.8172668070724117E-2</v>
      </c>
    </row>
    <row r="15" spans="1:11" x14ac:dyDescent="0.25">
      <c r="A15" s="104" t="s">
        <v>398</v>
      </c>
      <c r="B15" s="104" t="s">
        <v>33</v>
      </c>
      <c r="C15" s="309">
        <v>1178</v>
      </c>
      <c r="D15" s="309">
        <v>829</v>
      </c>
      <c r="E15" s="309">
        <v>44</v>
      </c>
      <c r="F15" s="309">
        <v>873</v>
      </c>
      <c r="G15" s="304">
        <v>2922.4610777397384</v>
      </c>
      <c r="H15" s="313">
        <v>183.26898000000008</v>
      </c>
      <c r="I15" s="304">
        <v>3105.7300577397386</v>
      </c>
      <c r="J15" s="310">
        <v>1.6395244501278616E-2</v>
      </c>
    </row>
    <row r="16" spans="1:11" x14ac:dyDescent="0.25">
      <c r="A16" s="104" t="s">
        <v>397</v>
      </c>
      <c r="B16" s="104" t="s">
        <v>34</v>
      </c>
      <c r="C16" s="309">
        <v>25</v>
      </c>
      <c r="D16" s="309">
        <v>17</v>
      </c>
      <c r="E16" s="309">
        <v>0</v>
      </c>
      <c r="F16" s="309">
        <v>17</v>
      </c>
      <c r="G16" s="304">
        <v>62.543148077114978</v>
      </c>
      <c r="H16" s="313">
        <v>0</v>
      </c>
      <c r="I16" s="304">
        <v>62.543148077114978</v>
      </c>
      <c r="J16" s="310">
        <v>3.3016720240980558E-4</v>
      </c>
    </row>
    <row r="17" spans="1:10" x14ac:dyDescent="0.25">
      <c r="A17" s="104" t="s">
        <v>395</v>
      </c>
      <c r="B17" s="104" t="s">
        <v>35</v>
      </c>
      <c r="C17" s="309">
        <v>40</v>
      </c>
      <c r="D17" s="309">
        <v>32</v>
      </c>
      <c r="E17" s="309">
        <v>3</v>
      </c>
      <c r="F17" s="309">
        <v>35</v>
      </c>
      <c r="G17" s="304">
        <v>92.493434753584168</v>
      </c>
      <c r="H17" s="313">
        <v>10.81081</v>
      </c>
      <c r="I17" s="304">
        <v>103.30424475358417</v>
      </c>
      <c r="J17" s="310">
        <v>5.4534628550028145E-4</v>
      </c>
    </row>
    <row r="18" spans="1:10" x14ac:dyDescent="0.25">
      <c r="A18" s="104" t="s">
        <v>394</v>
      </c>
      <c r="B18" s="104" t="s">
        <v>169</v>
      </c>
      <c r="C18" s="309">
        <v>10</v>
      </c>
      <c r="D18" s="309">
        <v>3</v>
      </c>
      <c r="E18" s="309">
        <v>7</v>
      </c>
      <c r="F18" s="309">
        <v>10</v>
      </c>
      <c r="G18" s="304">
        <v>11.474962393192982</v>
      </c>
      <c r="H18" s="313">
        <v>28</v>
      </c>
      <c r="I18" s="304">
        <v>39.474962393192982</v>
      </c>
      <c r="J18" s="310">
        <v>2.0838954064996627E-4</v>
      </c>
    </row>
    <row r="19" spans="1:10" x14ac:dyDescent="0.25">
      <c r="A19" s="104" t="s">
        <v>393</v>
      </c>
      <c r="B19" s="104" t="s">
        <v>153</v>
      </c>
      <c r="C19" s="309">
        <v>19</v>
      </c>
      <c r="D19" s="309">
        <v>13</v>
      </c>
      <c r="E19" s="309">
        <v>2</v>
      </c>
      <c r="F19" s="309">
        <v>15</v>
      </c>
      <c r="G19" s="304">
        <v>34.26547590340239</v>
      </c>
      <c r="H19" s="313">
        <v>6.7058820000000008</v>
      </c>
      <c r="I19" s="304">
        <v>40.971357903402392</v>
      </c>
      <c r="J19" s="310">
        <v>2.1628905857469982E-4</v>
      </c>
    </row>
    <row r="20" spans="1:10" x14ac:dyDescent="0.25">
      <c r="A20" s="104" t="s">
        <v>392</v>
      </c>
      <c r="B20" s="104" t="s">
        <v>36</v>
      </c>
      <c r="C20" s="309">
        <v>53</v>
      </c>
      <c r="D20" s="309">
        <v>32</v>
      </c>
      <c r="E20" s="309">
        <v>3</v>
      </c>
      <c r="F20" s="309">
        <v>35</v>
      </c>
      <c r="G20" s="304">
        <v>144.13785876914912</v>
      </c>
      <c r="H20" s="313">
        <v>10.095238999999999</v>
      </c>
      <c r="I20" s="304">
        <v>154.23309776914911</v>
      </c>
      <c r="J20" s="310">
        <v>8.1420126704608595E-4</v>
      </c>
    </row>
    <row r="21" spans="1:10" x14ac:dyDescent="0.25">
      <c r="A21" s="104" t="s">
        <v>391</v>
      </c>
      <c r="B21" s="104" t="s">
        <v>37</v>
      </c>
      <c r="C21" s="309">
        <v>58</v>
      </c>
      <c r="D21" s="309">
        <v>41</v>
      </c>
      <c r="E21" s="309">
        <v>1</v>
      </c>
      <c r="F21" s="309">
        <v>42</v>
      </c>
      <c r="G21" s="304">
        <v>152.13597849610048</v>
      </c>
      <c r="H21" s="313">
        <v>4.3773580000000001</v>
      </c>
      <c r="I21" s="304">
        <v>156.51333649610046</v>
      </c>
      <c r="J21" s="310">
        <v>8.2623871742155725E-4</v>
      </c>
    </row>
    <row r="22" spans="1:10" x14ac:dyDescent="0.25">
      <c r="A22" s="104" t="s">
        <v>390</v>
      </c>
      <c r="B22" s="104" t="s">
        <v>170</v>
      </c>
      <c r="C22" s="309">
        <v>8</v>
      </c>
      <c r="D22" s="309">
        <v>8</v>
      </c>
      <c r="E22" s="309">
        <v>0</v>
      </c>
      <c r="F22" s="309">
        <v>8</v>
      </c>
      <c r="G22" s="304">
        <v>15.555714026740326</v>
      </c>
      <c r="H22" s="313">
        <v>0</v>
      </c>
      <c r="I22" s="304">
        <v>15.555714026740326</v>
      </c>
      <c r="J22" s="310">
        <v>8.211909281194501E-5</v>
      </c>
    </row>
    <row r="23" spans="1:10" x14ac:dyDescent="0.25">
      <c r="A23" s="104" t="s">
        <v>389</v>
      </c>
      <c r="B23" s="104" t="s">
        <v>38</v>
      </c>
      <c r="C23" s="309">
        <v>3658</v>
      </c>
      <c r="D23" s="309">
        <v>2913</v>
      </c>
      <c r="E23" s="309">
        <v>93</v>
      </c>
      <c r="F23" s="309">
        <v>3006</v>
      </c>
      <c r="G23" s="304">
        <v>8908.0588563219699</v>
      </c>
      <c r="H23" s="313">
        <v>327.77775199999957</v>
      </c>
      <c r="I23" s="304">
        <v>9235.8366083219698</v>
      </c>
      <c r="J23" s="310">
        <v>4.8756265532459188E-2</v>
      </c>
    </row>
    <row r="24" spans="1:10" x14ac:dyDescent="0.25">
      <c r="A24" s="104" t="s">
        <v>385</v>
      </c>
      <c r="B24" s="104" t="s">
        <v>39</v>
      </c>
      <c r="C24" s="309">
        <v>31</v>
      </c>
      <c r="D24" s="309">
        <v>20</v>
      </c>
      <c r="E24" s="309">
        <v>5</v>
      </c>
      <c r="F24" s="309">
        <v>25</v>
      </c>
      <c r="G24" s="304">
        <v>69.551990600288946</v>
      </c>
      <c r="H24" s="313">
        <v>23.846155000000003</v>
      </c>
      <c r="I24" s="304">
        <v>93.398145600288956</v>
      </c>
      <c r="J24" s="310">
        <v>4.9305168337688133E-4</v>
      </c>
    </row>
    <row r="25" spans="1:10" x14ac:dyDescent="0.25">
      <c r="A25" s="104" t="s">
        <v>388</v>
      </c>
      <c r="B25" s="104" t="s">
        <v>40</v>
      </c>
      <c r="C25" s="309">
        <v>676</v>
      </c>
      <c r="D25" s="309">
        <v>475</v>
      </c>
      <c r="E25" s="309">
        <v>39</v>
      </c>
      <c r="F25" s="309">
        <v>514</v>
      </c>
      <c r="G25" s="304">
        <v>1600.7753835337533</v>
      </c>
      <c r="H25" s="313">
        <v>153.94058799999996</v>
      </c>
      <c r="I25" s="304">
        <v>1754.7159715337532</v>
      </c>
      <c r="J25" s="310">
        <v>9.2631995855208937E-3</v>
      </c>
    </row>
    <row r="26" spans="1:10" x14ac:dyDescent="0.25">
      <c r="A26" s="104" t="s">
        <v>387</v>
      </c>
      <c r="B26" s="104" t="s">
        <v>41</v>
      </c>
      <c r="C26" s="309">
        <v>346</v>
      </c>
      <c r="D26" s="309">
        <v>116</v>
      </c>
      <c r="E26" s="309">
        <v>6</v>
      </c>
      <c r="F26" s="309">
        <v>122</v>
      </c>
      <c r="G26" s="304">
        <v>630.93054725809395</v>
      </c>
      <c r="H26" s="313">
        <v>35.078339999999997</v>
      </c>
      <c r="I26" s="304">
        <v>666.00888725809398</v>
      </c>
      <c r="J26" s="310">
        <v>3.5158814010280612E-3</v>
      </c>
    </row>
    <row r="27" spans="1:10" x14ac:dyDescent="0.25">
      <c r="A27" s="104" t="s">
        <v>386</v>
      </c>
      <c r="B27" s="104" t="s">
        <v>42</v>
      </c>
      <c r="C27" s="309">
        <v>124</v>
      </c>
      <c r="D27" s="309">
        <v>95</v>
      </c>
      <c r="E27" s="309">
        <v>10</v>
      </c>
      <c r="F27" s="309">
        <v>105</v>
      </c>
      <c r="G27" s="304">
        <v>308.61173373450532</v>
      </c>
      <c r="H27" s="313">
        <v>25.435896</v>
      </c>
      <c r="I27" s="304">
        <v>334.04762973450534</v>
      </c>
      <c r="J27" s="310">
        <v>1.7634477120512064E-3</v>
      </c>
    </row>
    <row r="28" spans="1:10" x14ac:dyDescent="0.25">
      <c r="A28" s="104" t="s">
        <v>383</v>
      </c>
      <c r="B28" s="104" t="s">
        <v>43</v>
      </c>
      <c r="C28" s="309">
        <v>1254</v>
      </c>
      <c r="D28" s="309">
        <v>890</v>
      </c>
      <c r="E28" s="309">
        <v>50</v>
      </c>
      <c r="F28" s="309">
        <v>940</v>
      </c>
      <c r="G28" s="304">
        <v>3127.4593966902589</v>
      </c>
      <c r="H28" s="313">
        <v>215.81520999999992</v>
      </c>
      <c r="I28" s="304">
        <v>3343.2746066902587</v>
      </c>
      <c r="J28" s="310">
        <v>1.7649249481616183E-2</v>
      </c>
    </row>
    <row r="29" spans="1:10" x14ac:dyDescent="0.25">
      <c r="A29" s="104" t="s">
        <v>382</v>
      </c>
      <c r="B29" s="104" t="s">
        <v>44</v>
      </c>
      <c r="C29" s="309">
        <v>237</v>
      </c>
      <c r="D29" s="309">
        <v>182</v>
      </c>
      <c r="E29" s="309">
        <v>4</v>
      </c>
      <c r="F29" s="309">
        <v>186</v>
      </c>
      <c r="G29" s="304">
        <v>523.55613662233816</v>
      </c>
      <c r="H29" s="313">
        <v>17.474656</v>
      </c>
      <c r="I29" s="304">
        <v>541.03079262233814</v>
      </c>
      <c r="J29" s="310">
        <v>2.8561181953525522E-3</v>
      </c>
    </row>
    <row r="30" spans="1:10" x14ac:dyDescent="0.25">
      <c r="A30" s="104" t="s">
        <v>381</v>
      </c>
      <c r="B30" s="104" t="s">
        <v>45</v>
      </c>
      <c r="C30" s="309">
        <v>218</v>
      </c>
      <c r="D30" s="309">
        <v>104</v>
      </c>
      <c r="E30" s="309">
        <v>6</v>
      </c>
      <c r="F30" s="309">
        <v>110</v>
      </c>
      <c r="G30" s="304">
        <v>464.75038382895946</v>
      </c>
      <c r="H30" s="313">
        <v>23.638553999999999</v>
      </c>
      <c r="I30" s="304">
        <v>488.38893782895946</v>
      </c>
      <c r="J30" s="310">
        <v>2.5782202247329254E-3</v>
      </c>
    </row>
    <row r="31" spans="1:10" x14ac:dyDescent="0.25">
      <c r="A31" s="104" t="s">
        <v>380</v>
      </c>
      <c r="B31" s="104" t="s">
        <v>46</v>
      </c>
      <c r="C31" s="309">
        <v>23</v>
      </c>
      <c r="D31" s="309">
        <v>10</v>
      </c>
      <c r="E31" s="309">
        <v>0</v>
      </c>
      <c r="F31" s="309">
        <v>10</v>
      </c>
      <c r="G31" s="304">
        <v>32.093032778202343</v>
      </c>
      <c r="H31" s="313">
        <v>0</v>
      </c>
      <c r="I31" s="304">
        <v>32.093032778202343</v>
      </c>
      <c r="J31" s="310">
        <v>1.6942010715802842E-4</v>
      </c>
    </row>
    <row r="32" spans="1:10" x14ac:dyDescent="0.25">
      <c r="A32" s="104" t="s">
        <v>379</v>
      </c>
      <c r="B32" s="104" t="s">
        <v>47</v>
      </c>
      <c r="C32" s="309">
        <v>950</v>
      </c>
      <c r="D32" s="309">
        <v>645</v>
      </c>
      <c r="E32" s="309">
        <v>50</v>
      </c>
      <c r="F32" s="309">
        <v>695</v>
      </c>
      <c r="G32" s="304">
        <v>2234.916328856254</v>
      </c>
      <c r="H32" s="313">
        <v>187.73811300000011</v>
      </c>
      <c r="I32" s="304">
        <v>2422.6544418562544</v>
      </c>
      <c r="J32" s="310">
        <v>1.2789267314896342E-2</v>
      </c>
    </row>
    <row r="33" spans="1:10" x14ac:dyDescent="0.25">
      <c r="A33" s="104" t="s">
        <v>378</v>
      </c>
      <c r="B33" s="104" t="s">
        <v>48</v>
      </c>
      <c r="C33" s="309">
        <v>37</v>
      </c>
      <c r="D33" s="309">
        <v>26</v>
      </c>
      <c r="E33" s="309">
        <v>4</v>
      </c>
      <c r="F33" s="309">
        <v>30</v>
      </c>
      <c r="G33" s="304">
        <v>87.623240881729473</v>
      </c>
      <c r="H33" s="313">
        <v>15.696968000000002</v>
      </c>
      <c r="I33" s="304">
        <v>103.32020888172947</v>
      </c>
      <c r="J33" s="310">
        <v>5.4543056062378726E-4</v>
      </c>
    </row>
    <row r="34" spans="1:10" x14ac:dyDescent="0.25">
      <c r="A34" s="104" t="s">
        <v>375</v>
      </c>
      <c r="B34" s="104" t="s">
        <v>49</v>
      </c>
      <c r="C34" s="309">
        <v>32</v>
      </c>
      <c r="D34" s="309">
        <v>16</v>
      </c>
      <c r="E34" s="309">
        <v>10</v>
      </c>
      <c r="F34" s="309">
        <v>26</v>
      </c>
      <c r="G34" s="304">
        <v>55.936208581815372</v>
      </c>
      <c r="H34" s="313">
        <v>39.724138000000004</v>
      </c>
      <c r="I34" s="304">
        <v>95.660346581815375</v>
      </c>
      <c r="J34" s="310">
        <v>5.0499391193944694E-4</v>
      </c>
    </row>
    <row r="35" spans="1:10" x14ac:dyDescent="0.25">
      <c r="A35" s="104" t="s">
        <v>374</v>
      </c>
      <c r="B35" s="104" t="s">
        <v>50</v>
      </c>
      <c r="C35" s="309">
        <v>1154</v>
      </c>
      <c r="D35" s="309">
        <v>818</v>
      </c>
      <c r="E35" s="309">
        <v>45</v>
      </c>
      <c r="F35" s="309">
        <v>863</v>
      </c>
      <c r="G35" s="304">
        <v>3028.599728560228</v>
      </c>
      <c r="H35" s="313">
        <v>192.89408200000005</v>
      </c>
      <c r="I35" s="304">
        <v>3221.4938105602282</v>
      </c>
      <c r="J35" s="310">
        <v>1.7006364913095345E-2</v>
      </c>
    </row>
    <row r="36" spans="1:10" x14ac:dyDescent="0.25">
      <c r="A36" s="104" t="s">
        <v>373</v>
      </c>
      <c r="B36" s="104" t="s">
        <v>51</v>
      </c>
      <c r="C36" s="309">
        <v>139</v>
      </c>
      <c r="D36" s="309">
        <v>137</v>
      </c>
      <c r="E36" s="309">
        <v>1</v>
      </c>
      <c r="F36" s="309">
        <v>138</v>
      </c>
      <c r="G36" s="304">
        <v>272.23908578847141</v>
      </c>
      <c r="H36" s="313">
        <v>2.0144929999999999</v>
      </c>
      <c r="I36" s="304">
        <v>274.25357878847143</v>
      </c>
      <c r="J36" s="310">
        <v>1.4477930779534839E-3</v>
      </c>
    </row>
    <row r="37" spans="1:10" x14ac:dyDescent="0.25">
      <c r="A37" s="104" t="s">
        <v>372</v>
      </c>
      <c r="B37" s="104" t="s">
        <v>52</v>
      </c>
      <c r="C37" s="309">
        <v>3244</v>
      </c>
      <c r="D37" s="309">
        <v>2285</v>
      </c>
      <c r="E37" s="309">
        <v>134</v>
      </c>
      <c r="F37" s="309">
        <v>2419</v>
      </c>
      <c r="G37" s="304">
        <v>8104.9762958770898</v>
      </c>
      <c r="H37" s="313">
        <v>533.32066499999951</v>
      </c>
      <c r="I37" s="304">
        <v>8638.2969608770891</v>
      </c>
      <c r="J37" s="310">
        <v>4.5601835354391336E-2</v>
      </c>
    </row>
    <row r="38" spans="1:10" x14ac:dyDescent="0.25">
      <c r="A38" s="104" t="s">
        <v>377</v>
      </c>
      <c r="B38" s="104" t="s">
        <v>53</v>
      </c>
      <c r="C38" s="309">
        <v>92</v>
      </c>
      <c r="D38" s="309">
        <v>58</v>
      </c>
      <c r="E38" s="309">
        <v>4</v>
      </c>
      <c r="F38" s="309">
        <v>62</v>
      </c>
      <c r="G38" s="304">
        <v>220.19506203328589</v>
      </c>
      <c r="H38" s="313">
        <v>18.632912000000001</v>
      </c>
      <c r="I38" s="304">
        <v>238.8279740332859</v>
      </c>
      <c r="J38" s="310">
        <v>1.2607802208252558E-3</v>
      </c>
    </row>
    <row r="39" spans="1:10" x14ac:dyDescent="0.25">
      <c r="A39" s="104" t="s">
        <v>376</v>
      </c>
      <c r="B39" s="104" t="s">
        <v>54</v>
      </c>
      <c r="C39" s="309">
        <v>68</v>
      </c>
      <c r="D39" s="309">
        <v>30</v>
      </c>
      <c r="E39" s="309">
        <v>0</v>
      </c>
      <c r="F39" s="309">
        <v>30</v>
      </c>
      <c r="G39" s="304">
        <v>149.28855597181123</v>
      </c>
      <c r="H39" s="313">
        <v>0</v>
      </c>
      <c r="I39" s="304">
        <v>149.28855597181123</v>
      </c>
      <c r="J39" s="310">
        <v>7.8809887881304544E-4</v>
      </c>
    </row>
    <row r="40" spans="1:10" x14ac:dyDescent="0.25">
      <c r="A40" s="104" t="s">
        <v>371</v>
      </c>
      <c r="B40" s="104" t="s">
        <v>55</v>
      </c>
      <c r="C40" s="309">
        <v>314</v>
      </c>
      <c r="D40" s="309">
        <v>229</v>
      </c>
      <c r="E40" s="309">
        <v>11</v>
      </c>
      <c r="F40" s="309">
        <v>240</v>
      </c>
      <c r="G40" s="304">
        <v>713.93160199928525</v>
      </c>
      <c r="H40" s="313">
        <v>43.310341000000001</v>
      </c>
      <c r="I40" s="304">
        <v>757.24194299928524</v>
      </c>
      <c r="J40" s="310">
        <v>3.9975035084446357E-3</v>
      </c>
    </row>
    <row r="41" spans="1:10" x14ac:dyDescent="0.25">
      <c r="A41" s="104" t="s">
        <v>370</v>
      </c>
      <c r="B41" s="104" t="s">
        <v>56</v>
      </c>
      <c r="C41" s="309">
        <v>1272</v>
      </c>
      <c r="D41" s="309">
        <v>844</v>
      </c>
      <c r="E41" s="309">
        <v>78</v>
      </c>
      <c r="F41" s="309">
        <v>922</v>
      </c>
      <c r="G41" s="304">
        <v>3100.3040265447498</v>
      </c>
      <c r="H41" s="313">
        <v>325.00439500000022</v>
      </c>
      <c r="I41" s="304">
        <v>3425.3084215447502</v>
      </c>
      <c r="J41" s="310">
        <v>1.8082308513440358E-2</v>
      </c>
    </row>
    <row r="42" spans="1:10" x14ac:dyDescent="0.25">
      <c r="A42" s="104" t="s">
        <v>369</v>
      </c>
      <c r="B42" s="104" t="s">
        <v>57</v>
      </c>
      <c r="C42" s="309">
        <v>43</v>
      </c>
      <c r="D42" s="309">
        <v>31</v>
      </c>
      <c r="E42" s="309">
        <v>2</v>
      </c>
      <c r="F42" s="309">
        <v>33</v>
      </c>
      <c r="G42" s="304">
        <v>91.984894453783156</v>
      </c>
      <c r="H42" s="313">
        <v>8.3902439999999991</v>
      </c>
      <c r="I42" s="304">
        <v>100.37513845378315</v>
      </c>
      <c r="J42" s="310">
        <v>5.2988344324977909E-4</v>
      </c>
    </row>
    <row r="43" spans="1:10" x14ac:dyDescent="0.25">
      <c r="A43" s="104" t="s">
        <v>368</v>
      </c>
      <c r="B43" s="104" t="s">
        <v>58</v>
      </c>
      <c r="C43" s="309">
        <v>41</v>
      </c>
      <c r="D43" s="309">
        <v>27</v>
      </c>
      <c r="E43" s="309">
        <v>3</v>
      </c>
      <c r="F43" s="309">
        <v>30</v>
      </c>
      <c r="G43" s="304">
        <v>99.653792983727456</v>
      </c>
      <c r="H43" s="313">
        <v>11.38889</v>
      </c>
      <c r="I43" s="304">
        <v>111.04268298372746</v>
      </c>
      <c r="J43" s="310">
        <v>5.8619773893715094E-4</v>
      </c>
    </row>
    <row r="44" spans="1:10" x14ac:dyDescent="0.25">
      <c r="A44" s="104" t="s">
        <v>367</v>
      </c>
      <c r="B44" s="104" t="s">
        <v>59</v>
      </c>
      <c r="C44" s="309">
        <v>10</v>
      </c>
      <c r="D44" s="309">
        <v>8</v>
      </c>
      <c r="E44" s="309">
        <v>0</v>
      </c>
      <c r="F44" s="309">
        <v>8</v>
      </c>
      <c r="G44" s="304">
        <v>35</v>
      </c>
      <c r="H44" s="313">
        <v>0</v>
      </c>
      <c r="I44" s="304">
        <v>35</v>
      </c>
      <c r="J44" s="310">
        <v>1.8476607653479423E-4</v>
      </c>
    </row>
    <row r="45" spans="1:10" x14ac:dyDescent="0.25">
      <c r="A45" s="104" t="s">
        <v>366</v>
      </c>
      <c r="B45" s="104" t="s">
        <v>60</v>
      </c>
      <c r="C45" s="309">
        <v>13</v>
      </c>
      <c r="D45" s="309">
        <v>8</v>
      </c>
      <c r="E45" s="309">
        <v>0</v>
      </c>
      <c r="F45" s="309">
        <v>8</v>
      </c>
      <c r="G45" s="304">
        <v>31.922688976314404</v>
      </c>
      <c r="H45" s="313">
        <v>0</v>
      </c>
      <c r="I45" s="304">
        <v>31.922688976314404</v>
      </c>
      <c r="J45" s="310">
        <v>1.6852085698840398E-4</v>
      </c>
    </row>
    <row r="46" spans="1:10" x14ac:dyDescent="0.25">
      <c r="A46" s="104" t="s">
        <v>365</v>
      </c>
      <c r="B46" s="104" t="s">
        <v>61</v>
      </c>
      <c r="C46" s="309">
        <v>279</v>
      </c>
      <c r="D46" s="309">
        <v>206</v>
      </c>
      <c r="E46" s="309">
        <v>12</v>
      </c>
      <c r="F46" s="309">
        <v>218</v>
      </c>
      <c r="G46" s="304">
        <v>740.17960523058127</v>
      </c>
      <c r="H46" s="313">
        <v>47.441297000000006</v>
      </c>
      <c r="I46" s="304">
        <v>787.62090223058124</v>
      </c>
      <c r="J46" s="310">
        <v>4.1578749686268365E-3</v>
      </c>
    </row>
    <row r="47" spans="1:10" x14ac:dyDescent="0.25">
      <c r="A47" s="104" t="s">
        <v>364</v>
      </c>
      <c r="B47" s="104" t="s">
        <v>62</v>
      </c>
      <c r="C47" s="309">
        <v>34</v>
      </c>
      <c r="D47" s="309">
        <v>23</v>
      </c>
      <c r="E47" s="309">
        <v>2</v>
      </c>
      <c r="F47" s="309">
        <v>25</v>
      </c>
      <c r="G47" s="304">
        <v>78.225437951361357</v>
      </c>
      <c r="H47" s="313">
        <v>9.7142859999999995</v>
      </c>
      <c r="I47" s="304">
        <v>87.939723951361358</v>
      </c>
      <c r="J47" s="310">
        <v>4.6423650760131176E-4</v>
      </c>
    </row>
    <row r="48" spans="1:10" x14ac:dyDescent="0.25">
      <c r="A48" s="104" t="s">
        <v>363</v>
      </c>
      <c r="B48" s="104" t="s">
        <v>63</v>
      </c>
      <c r="C48" s="309">
        <v>19</v>
      </c>
      <c r="D48" s="309">
        <v>14</v>
      </c>
      <c r="E48" s="309">
        <v>1</v>
      </c>
      <c r="F48" s="309">
        <v>15</v>
      </c>
      <c r="G48" s="304">
        <v>41.049800903876481</v>
      </c>
      <c r="H48" s="313">
        <v>4.2222220000000004</v>
      </c>
      <c r="I48" s="304">
        <v>45.272022903876483</v>
      </c>
      <c r="J48" s="310">
        <v>2.3899240139264573E-4</v>
      </c>
    </row>
    <row r="49" spans="1:10" x14ac:dyDescent="0.25">
      <c r="A49" s="104" t="s">
        <v>362</v>
      </c>
      <c r="B49" s="104" t="s">
        <v>64</v>
      </c>
      <c r="C49" s="309">
        <v>1065</v>
      </c>
      <c r="D49" s="309">
        <v>659</v>
      </c>
      <c r="E49" s="309">
        <v>40</v>
      </c>
      <c r="F49" s="309">
        <v>699</v>
      </c>
      <c r="G49" s="304">
        <v>2518.3341727111219</v>
      </c>
      <c r="H49" s="313">
        <v>177.50000699999993</v>
      </c>
      <c r="I49" s="304">
        <v>2695.834179711122</v>
      </c>
      <c r="J49" s="310">
        <v>1.4231391553531984E-2</v>
      </c>
    </row>
    <row r="50" spans="1:10" x14ac:dyDescent="0.25">
      <c r="A50" s="104" t="s">
        <v>348</v>
      </c>
      <c r="B50" s="104" t="s">
        <v>65</v>
      </c>
      <c r="C50" s="309">
        <v>18</v>
      </c>
      <c r="D50" s="309">
        <v>12</v>
      </c>
      <c r="E50" s="309">
        <v>4</v>
      </c>
      <c r="F50" s="309">
        <v>16</v>
      </c>
      <c r="G50" s="304">
        <v>45.473610989020585</v>
      </c>
      <c r="H50" s="313">
        <v>16.941175999999999</v>
      </c>
      <c r="I50" s="304">
        <v>62.414786989020584</v>
      </c>
      <c r="J50" s="310">
        <v>3.2948958027760735E-4</v>
      </c>
    </row>
    <row r="51" spans="1:10" x14ac:dyDescent="0.25">
      <c r="A51" s="104" t="s">
        <v>347</v>
      </c>
      <c r="B51" s="104" t="s">
        <v>66</v>
      </c>
      <c r="C51" s="309">
        <v>1119</v>
      </c>
      <c r="D51" s="309">
        <v>810</v>
      </c>
      <c r="E51" s="309">
        <v>50</v>
      </c>
      <c r="F51" s="309">
        <v>860</v>
      </c>
      <c r="G51" s="304">
        <v>2784.7977311829532</v>
      </c>
      <c r="H51" s="313">
        <v>215.494472</v>
      </c>
      <c r="I51" s="304">
        <v>3000.292203182953</v>
      </c>
      <c r="J51" s="310">
        <v>1.5838634824001371E-2</v>
      </c>
    </row>
    <row r="52" spans="1:10" x14ac:dyDescent="0.25">
      <c r="A52" s="104" t="s">
        <v>341</v>
      </c>
      <c r="B52" s="104" t="s">
        <v>67</v>
      </c>
      <c r="C52" s="309">
        <v>2021</v>
      </c>
      <c r="D52" s="309">
        <v>1493</v>
      </c>
      <c r="E52" s="309">
        <v>47</v>
      </c>
      <c r="F52" s="309">
        <v>1540</v>
      </c>
      <c r="G52" s="304">
        <v>5113.5588815453748</v>
      </c>
      <c r="H52" s="313">
        <v>191.17568200000002</v>
      </c>
      <c r="I52" s="304">
        <v>5304.7345635453748</v>
      </c>
      <c r="J52" s="310">
        <v>2.8003856924708373E-2</v>
      </c>
    </row>
    <row r="53" spans="1:10" x14ac:dyDescent="0.25">
      <c r="A53" s="104" t="s">
        <v>361</v>
      </c>
      <c r="B53" s="104" t="s">
        <v>68</v>
      </c>
      <c r="C53" s="309">
        <v>55</v>
      </c>
      <c r="D53" s="309">
        <v>51</v>
      </c>
      <c r="E53" s="309">
        <v>1</v>
      </c>
      <c r="F53" s="309">
        <v>52</v>
      </c>
      <c r="G53" s="304">
        <v>112.77892669386733</v>
      </c>
      <c r="H53" s="313">
        <v>4</v>
      </c>
      <c r="I53" s="304">
        <v>116.77892669386733</v>
      </c>
      <c r="J53" s="310">
        <v>6.1647954591914904E-4</v>
      </c>
    </row>
    <row r="54" spans="1:10" x14ac:dyDescent="0.25">
      <c r="A54" s="104" t="s">
        <v>360</v>
      </c>
      <c r="B54" s="104" t="s">
        <v>69</v>
      </c>
      <c r="C54" s="309">
        <v>163</v>
      </c>
      <c r="D54" s="309">
        <v>54</v>
      </c>
      <c r="E54" s="309">
        <v>2</v>
      </c>
      <c r="F54" s="309">
        <v>56</v>
      </c>
      <c r="G54" s="304">
        <v>285.628387862956</v>
      </c>
      <c r="H54" s="313">
        <v>12.538462000000001</v>
      </c>
      <c r="I54" s="304">
        <v>298.16684986295598</v>
      </c>
      <c r="J54" s="310">
        <v>1.5740319714833552E-3</v>
      </c>
    </row>
    <row r="55" spans="1:10" x14ac:dyDescent="0.25">
      <c r="A55" s="104" t="s">
        <v>359</v>
      </c>
      <c r="B55" s="104" t="s">
        <v>70</v>
      </c>
      <c r="C55" s="309">
        <v>684</v>
      </c>
      <c r="D55" s="309">
        <v>548</v>
      </c>
      <c r="E55" s="309">
        <v>15</v>
      </c>
      <c r="F55" s="309">
        <v>563</v>
      </c>
      <c r="G55" s="304">
        <v>1590.1423822692987</v>
      </c>
      <c r="H55" s="313">
        <v>58.258673000000016</v>
      </c>
      <c r="I55" s="304">
        <v>1648.4010552692987</v>
      </c>
      <c r="J55" s="310">
        <v>8.7019598725120804E-3</v>
      </c>
    </row>
    <row r="56" spans="1:10" x14ac:dyDescent="0.25">
      <c r="A56" s="104" t="s">
        <v>358</v>
      </c>
      <c r="B56" s="104" t="s">
        <v>71</v>
      </c>
      <c r="C56" s="309">
        <v>59</v>
      </c>
      <c r="D56" s="309">
        <v>52</v>
      </c>
      <c r="E56" s="309">
        <v>4</v>
      </c>
      <c r="F56" s="309">
        <v>56</v>
      </c>
      <c r="G56" s="304">
        <v>154.97721233215907</v>
      </c>
      <c r="H56" s="313">
        <v>16.561404</v>
      </c>
      <c r="I56" s="304">
        <v>171.53861633215908</v>
      </c>
      <c r="J56" s="310">
        <v>9.0555763182572605E-4</v>
      </c>
    </row>
    <row r="57" spans="1:10" x14ac:dyDescent="0.25">
      <c r="A57" s="104" t="s">
        <v>357</v>
      </c>
      <c r="B57" s="104" t="s">
        <v>72</v>
      </c>
      <c r="C57" s="309">
        <v>11</v>
      </c>
      <c r="D57" s="309">
        <v>7</v>
      </c>
      <c r="E57" s="309">
        <v>0</v>
      </c>
      <c r="F57" s="309">
        <v>7</v>
      </c>
      <c r="G57" s="304">
        <v>25.557311967916988</v>
      </c>
      <c r="H57" s="313">
        <v>0</v>
      </c>
      <c r="I57" s="304">
        <v>25.557311967916988</v>
      </c>
      <c r="J57" s="310">
        <v>1.3491783597393609E-4</v>
      </c>
    </row>
    <row r="58" spans="1:10" x14ac:dyDescent="0.25">
      <c r="A58" s="104" t="s">
        <v>356</v>
      </c>
      <c r="B58" s="104" t="s">
        <v>154</v>
      </c>
      <c r="C58" s="309">
        <v>15</v>
      </c>
      <c r="D58" s="309">
        <v>14</v>
      </c>
      <c r="E58" s="309">
        <v>0</v>
      </c>
      <c r="F58" s="309">
        <v>14</v>
      </c>
      <c r="G58" s="304">
        <v>44.722677826878439</v>
      </c>
      <c r="H58" s="313">
        <v>0</v>
      </c>
      <c r="I58" s="304">
        <v>44.722677826878439</v>
      </c>
      <c r="J58" s="310">
        <v>2.3609239183434191E-4</v>
      </c>
    </row>
    <row r="59" spans="1:10" x14ac:dyDescent="0.25">
      <c r="A59" s="104" t="s">
        <v>354</v>
      </c>
      <c r="B59" s="104" t="s">
        <v>73</v>
      </c>
      <c r="C59" s="309">
        <v>49</v>
      </c>
      <c r="D59" s="309">
        <v>31</v>
      </c>
      <c r="E59" s="309">
        <v>2</v>
      </c>
      <c r="F59" s="309">
        <v>33</v>
      </c>
      <c r="G59" s="304">
        <v>118.16763653732966</v>
      </c>
      <c r="H59" s="313">
        <v>6.8372099999999998</v>
      </c>
      <c r="I59" s="304">
        <v>125.00484653732966</v>
      </c>
      <c r="J59" s="310">
        <v>6.5990442978675599E-4</v>
      </c>
    </row>
    <row r="60" spans="1:10" x14ac:dyDescent="0.25">
      <c r="A60" s="104" t="s">
        <v>353</v>
      </c>
      <c r="B60" s="104" t="s">
        <v>74</v>
      </c>
      <c r="C60" s="309">
        <v>893</v>
      </c>
      <c r="D60" s="309">
        <v>549</v>
      </c>
      <c r="E60" s="309">
        <v>42</v>
      </c>
      <c r="F60" s="309">
        <v>591</v>
      </c>
      <c r="G60" s="304">
        <v>2231.3986871994862</v>
      </c>
      <c r="H60" s="313">
        <v>194.08020100000005</v>
      </c>
      <c r="I60" s="304">
        <v>2425.4788881994864</v>
      </c>
      <c r="J60" s="310">
        <v>1.2804177654016971E-2</v>
      </c>
    </row>
    <row r="61" spans="1:10" x14ac:dyDescent="0.25">
      <c r="A61" s="104" t="s">
        <v>352</v>
      </c>
      <c r="B61" s="104" t="s">
        <v>75</v>
      </c>
      <c r="C61" s="309">
        <v>2232</v>
      </c>
      <c r="D61" s="309">
        <v>1618</v>
      </c>
      <c r="E61" s="309">
        <v>85</v>
      </c>
      <c r="F61" s="309">
        <v>1703</v>
      </c>
      <c r="G61" s="304">
        <v>5846.2189701241314</v>
      </c>
      <c r="H61" s="313">
        <v>356.22943599999991</v>
      </c>
      <c r="I61" s="304">
        <v>6202.448406124131</v>
      </c>
      <c r="J61" s="310">
        <v>3.2742915911686966E-2</v>
      </c>
    </row>
    <row r="62" spans="1:10" x14ac:dyDescent="0.25">
      <c r="A62" s="104" t="s">
        <v>351</v>
      </c>
      <c r="B62" s="104" t="s">
        <v>76</v>
      </c>
      <c r="C62" s="309">
        <v>957</v>
      </c>
      <c r="D62" s="309">
        <v>675</v>
      </c>
      <c r="E62" s="309">
        <v>42</v>
      </c>
      <c r="F62" s="309">
        <v>717</v>
      </c>
      <c r="G62" s="304">
        <v>2455.9041053333426</v>
      </c>
      <c r="H62" s="313">
        <v>167.41843999999998</v>
      </c>
      <c r="I62" s="304">
        <v>2623.3225453333425</v>
      </c>
      <c r="J62" s="310">
        <v>1.3848600405328903E-2</v>
      </c>
    </row>
    <row r="63" spans="1:10" x14ac:dyDescent="0.25">
      <c r="A63" s="104" t="s">
        <v>350</v>
      </c>
      <c r="B63" s="104" t="s">
        <v>77</v>
      </c>
      <c r="C63" s="309">
        <v>156</v>
      </c>
      <c r="D63" s="309">
        <v>82</v>
      </c>
      <c r="E63" s="309">
        <v>4</v>
      </c>
      <c r="F63" s="309">
        <v>86</v>
      </c>
      <c r="G63" s="304">
        <v>316.6890341521302</v>
      </c>
      <c r="H63" s="313">
        <v>13.565218000000002</v>
      </c>
      <c r="I63" s="304">
        <v>330.25425215213022</v>
      </c>
      <c r="J63" s="310">
        <v>1.7434223551166209E-3</v>
      </c>
    </row>
    <row r="64" spans="1:10" x14ac:dyDescent="0.25">
      <c r="A64" s="104" t="s">
        <v>349</v>
      </c>
      <c r="B64" s="104" t="s">
        <v>78</v>
      </c>
      <c r="C64" s="309">
        <v>898</v>
      </c>
      <c r="D64" s="309">
        <v>593</v>
      </c>
      <c r="E64" s="309">
        <v>33</v>
      </c>
      <c r="F64" s="309">
        <v>626</v>
      </c>
      <c r="G64" s="304">
        <v>2222.5425074823502</v>
      </c>
      <c r="H64" s="313">
        <v>141.435</v>
      </c>
      <c r="I64" s="304">
        <v>2363.9775074823501</v>
      </c>
      <c r="J64" s="310">
        <v>1.2479509973543315E-2</v>
      </c>
    </row>
    <row r="65" spans="1:10" x14ac:dyDescent="0.25">
      <c r="A65" s="104" t="s">
        <v>345</v>
      </c>
      <c r="B65" s="104" t="s">
        <v>79</v>
      </c>
      <c r="C65" s="309">
        <v>52</v>
      </c>
      <c r="D65" s="309">
        <v>40</v>
      </c>
      <c r="E65" s="309">
        <v>0</v>
      </c>
      <c r="F65" s="309">
        <v>40</v>
      </c>
      <c r="G65" s="304">
        <v>110.39283831026663</v>
      </c>
      <c r="H65" s="313">
        <v>0</v>
      </c>
      <c r="I65" s="304">
        <v>110.39283831026663</v>
      </c>
      <c r="J65" s="310">
        <v>5.8276718891793965E-4</v>
      </c>
    </row>
    <row r="66" spans="1:10" x14ac:dyDescent="0.25">
      <c r="A66" s="104" t="s">
        <v>344</v>
      </c>
      <c r="B66" s="104" t="s">
        <v>80</v>
      </c>
      <c r="C66" s="309">
        <v>30</v>
      </c>
      <c r="D66" s="309">
        <v>15</v>
      </c>
      <c r="E66" s="309">
        <v>10</v>
      </c>
      <c r="F66" s="309">
        <v>25</v>
      </c>
      <c r="G66" s="304">
        <v>62.378406692730451</v>
      </c>
      <c r="H66" s="313">
        <v>37.241380000000007</v>
      </c>
      <c r="I66" s="304">
        <v>99.619786692730457</v>
      </c>
      <c r="J66" s="310">
        <v>5.2589591806996897E-4</v>
      </c>
    </row>
    <row r="67" spans="1:10" x14ac:dyDescent="0.25">
      <c r="A67" s="104" t="s">
        <v>343</v>
      </c>
      <c r="B67" s="104" t="s">
        <v>81</v>
      </c>
      <c r="C67" s="309">
        <v>42</v>
      </c>
      <c r="D67" s="309">
        <v>21</v>
      </c>
      <c r="E67" s="309">
        <v>0</v>
      </c>
      <c r="F67" s="309">
        <v>21</v>
      </c>
      <c r="G67" s="304">
        <v>94.066637292700236</v>
      </c>
      <c r="H67" s="313">
        <v>0</v>
      </c>
      <c r="I67" s="304">
        <v>94.066637292700236</v>
      </c>
      <c r="J67" s="310">
        <v>4.9658067158267949E-4</v>
      </c>
    </row>
    <row r="68" spans="1:10" x14ac:dyDescent="0.25">
      <c r="A68" s="104" t="s">
        <v>342</v>
      </c>
      <c r="B68" s="104" t="s">
        <v>82</v>
      </c>
      <c r="C68" s="309">
        <v>74</v>
      </c>
      <c r="D68" s="309">
        <v>59</v>
      </c>
      <c r="E68" s="309">
        <v>7</v>
      </c>
      <c r="F68" s="309">
        <v>66</v>
      </c>
      <c r="G68" s="304">
        <v>178.35964939617949</v>
      </c>
      <c r="H68" s="313">
        <v>19.304349000000002</v>
      </c>
      <c r="I68" s="304">
        <v>197.66399839617949</v>
      </c>
      <c r="J68" s="310">
        <v>1.04347432730977E-3</v>
      </c>
    </row>
    <row r="69" spans="1:10" x14ac:dyDescent="0.25">
      <c r="A69" s="104" t="s">
        <v>340</v>
      </c>
      <c r="B69" s="104" t="s">
        <v>172</v>
      </c>
      <c r="C69" s="309">
        <v>12</v>
      </c>
      <c r="D69" s="309">
        <v>8</v>
      </c>
      <c r="E69" s="309">
        <v>0</v>
      </c>
      <c r="F69" s="309">
        <v>8</v>
      </c>
      <c r="G69" s="304">
        <v>34.424887179578946</v>
      </c>
      <c r="H69" s="313">
        <v>0</v>
      </c>
      <c r="I69" s="304">
        <v>34.424887179578946</v>
      </c>
      <c r="J69" s="310">
        <v>1.8173003826639259E-4</v>
      </c>
    </row>
    <row r="70" spans="1:10" x14ac:dyDescent="0.25">
      <c r="A70" s="104" t="s">
        <v>384</v>
      </c>
      <c r="B70" s="104" t="s">
        <v>83</v>
      </c>
      <c r="C70" s="309">
        <v>41</v>
      </c>
      <c r="D70" s="309">
        <v>28</v>
      </c>
      <c r="E70" s="309">
        <v>1</v>
      </c>
      <c r="F70" s="309">
        <v>29</v>
      </c>
      <c r="G70" s="304">
        <v>88.341740807256528</v>
      </c>
      <c r="H70" s="313">
        <v>4.4324320000000004</v>
      </c>
      <c r="I70" s="304">
        <v>92.774172807256534</v>
      </c>
      <c r="J70" s="310">
        <v>4.8975771181022248E-4</v>
      </c>
    </row>
    <row r="71" spans="1:10" x14ac:dyDescent="0.25">
      <c r="A71" s="104" t="s">
        <v>338</v>
      </c>
      <c r="B71" s="104" t="s">
        <v>84</v>
      </c>
      <c r="C71" s="309">
        <v>30</v>
      </c>
      <c r="D71" s="309">
        <v>27</v>
      </c>
      <c r="E71" s="309">
        <v>1</v>
      </c>
      <c r="F71" s="309">
        <v>28</v>
      </c>
      <c r="G71" s="304">
        <v>85.386797635890247</v>
      </c>
      <c r="H71" s="313">
        <v>4.137931</v>
      </c>
      <c r="I71" s="304">
        <v>89.524728635890241</v>
      </c>
      <c r="J71" s="310">
        <v>4.7260379608273092E-4</v>
      </c>
    </row>
    <row r="72" spans="1:10" x14ac:dyDescent="0.25">
      <c r="A72" s="104" t="s">
        <v>337</v>
      </c>
      <c r="B72" s="104" t="s">
        <v>85</v>
      </c>
      <c r="C72" s="309">
        <v>22</v>
      </c>
      <c r="D72" s="309">
        <v>11</v>
      </c>
      <c r="E72" s="309">
        <v>9</v>
      </c>
      <c r="F72" s="309">
        <v>20</v>
      </c>
      <c r="G72" s="304">
        <v>37.143256971637015</v>
      </c>
      <c r="H72" s="313">
        <v>34</v>
      </c>
      <c r="I72" s="304">
        <v>71.143256971637015</v>
      </c>
      <c r="J72" s="310">
        <v>3.7556744178731484E-4</v>
      </c>
    </row>
    <row r="73" spans="1:10" x14ac:dyDescent="0.25">
      <c r="A73" s="104" t="s">
        <v>335</v>
      </c>
      <c r="B73" s="104" t="s">
        <v>86</v>
      </c>
      <c r="C73" s="309">
        <v>546</v>
      </c>
      <c r="D73" s="309">
        <v>401</v>
      </c>
      <c r="E73" s="309">
        <v>15</v>
      </c>
      <c r="F73" s="309">
        <v>416</v>
      </c>
      <c r="G73" s="304">
        <v>1370.7158637879888</v>
      </c>
      <c r="H73" s="313">
        <v>66.857144000000005</v>
      </c>
      <c r="I73" s="304">
        <v>1437.5730077879889</v>
      </c>
      <c r="J73" s="310">
        <v>7.5889921251802838E-3</v>
      </c>
    </row>
    <row r="74" spans="1:10" x14ac:dyDescent="0.25">
      <c r="A74" s="104" t="s">
        <v>333</v>
      </c>
      <c r="B74" s="104" t="s">
        <v>87</v>
      </c>
      <c r="C74" s="309">
        <v>680</v>
      </c>
      <c r="D74" s="309">
        <v>509</v>
      </c>
      <c r="E74" s="309">
        <v>25</v>
      </c>
      <c r="F74" s="309">
        <v>534</v>
      </c>
      <c r="G74" s="304">
        <v>1854.7167048364579</v>
      </c>
      <c r="H74" s="313">
        <v>110.69766899999996</v>
      </c>
      <c r="I74" s="304">
        <v>1965.4143738364578</v>
      </c>
      <c r="J74" s="310">
        <v>1.0375482931967191E-2</v>
      </c>
    </row>
    <row r="75" spans="1:10" x14ac:dyDescent="0.25">
      <c r="A75" s="104" t="s">
        <v>332</v>
      </c>
      <c r="B75" s="104" t="s">
        <v>88</v>
      </c>
      <c r="C75" s="309">
        <v>817</v>
      </c>
      <c r="D75" s="309">
        <v>629</v>
      </c>
      <c r="E75" s="309">
        <v>13</v>
      </c>
      <c r="F75" s="309">
        <v>642</v>
      </c>
      <c r="G75" s="304">
        <v>2199.6377930502108</v>
      </c>
      <c r="H75" s="313">
        <v>55.128202999999999</v>
      </c>
      <c r="I75" s="304">
        <v>2254.765996050211</v>
      </c>
      <c r="J75" s="310">
        <v>1.1902979045550424E-2</v>
      </c>
    </row>
    <row r="76" spans="1:10" x14ac:dyDescent="0.25">
      <c r="A76" s="104" t="s">
        <v>331</v>
      </c>
      <c r="B76" s="104" t="s">
        <v>89</v>
      </c>
      <c r="C76" s="309">
        <v>2004</v>
      </c>
      <c r="D76" s="309">
        <v>1461</v>
      </c>
      <c r="E76" s="309">
        <v>61</v>
      </c>
      <c r="F76" s="309">
        <v>1522</v>
      </c>
      <c r="G76" s="304">
        <v>5156.1591360514894</v>
      </c>
      <c r="H76" s="313">
        <v>241.843132</v>
      </c>
      <c r="I76" s="304">
        <v>5398.0022680514894</v>
      </c>
      <c r="J76" s="310">
        <v>2.8496220005536983E-2</v>
      </c>
    </row>
    <row r="77" spans="1:10" x14ac:dyDescent="0.25">
      <c r="A77" s="104" t="s">
        <v>329</v>
      </c>
      <c r="B77" s="104" t="s">
        <v>90</v>
      </c>
      <c r="C77" s="309">
        <v>92</v>
      </c>
      <c r="D77" s="309">
        <v>54</v>
      </c>
      <c r="E77" s="309">
        <v>3</v>
      </c>
      <c r="F77" s="309">
        <v>57</v>
      </c>
      <c r="G77" s="304">
        <v>190.50699126251598</v>
      </c>
      <c r="H77" s="313">
        <v>9.5584409999999984</v>
      </c>
      <c r="I77" s="304">
        <v>200.06543226251597</v>
      </c>
      <c r="J77" s="310">
        <v>1.0561515705537919E-3</v>
      </c>
    </row>
    <row r="78" spans="1:10" x14ac:dyDescent="0.25">
      <c r="A78" s="104" t="s">
        <v>325</v>
      </c>
      <c r="B78" s="104" t="s">
        <v>91</v>
      </c>
      <c r="C78" s="309">
        <v>89</v>
      </c>
      <c r="D78" s="309">
        <v>89</v>
      </c>
      <c r="E78" s="309">
        <v>0</v>
      </c>
      <c r="F78" s="309">
        <v>89</v>
      </c>
      <c r="G78" s="304">
        <v>175.00178280082869</v>
      </c>
      <c r="H78" s="313">
        <v>0</v>
      </c>
      <c r="I78" s="304">
        <v>175.00178280082869</v>
      </c>
      <c r="J78" s="310">
        <v>9.2383979413438149E-4</v>
      </c>
    </row>
    <row r="79" spans="1:10" x14ac:dyDescent="0.25">
      <c r="A79" s="104" t="s">
        <v>328</v>
      </c>
      <c r="B79" s="104" t="s">
        <v>92</v>
      </c>
      <c r="C79" s="309">
        <v>933</v>
      </c>
      <c r="D79" s="309">
        <v>887</v>
      </c>
      <c r="E79" s="309">
        <v>6</v>
      </c>
      <c r="F79" s="309">
        <v>893</v>
      </c>
      <c r="G79" s="304">
        <v>1832.0101116166265</v>
      </c>
      <c r="H79" s="313">
        <v>14.259826</v>
      </c>
      <c r="I79" s="304">
        <v>1846.2699376166265</v>
      </c>
      <c r="J79" s="310">
        <v>9.7465157885018115E-3</v>
      </c>
    </row>
    <row r="80" spans="1:10" x14ac:dyDescent="0.25">
      <c r="A80" s="104" t="s">
        <v>327</v>
      </c>
      <c r="B80" s="104" t="s">
        <v>93</v>
      </c>
      <c r="C80" s="309">
        <v>106</v>
      </c>
      <c r="D80" s="309">
        <v>73</v>
      </c>
      <c r="E80" s="309">
        <v>1</v>
      </c>
      <c r="F80" s="309">
        <v>74</v>
      </c>
      <c r="G80" s="304">
        <v>234.22402049986729</v>
      </c>
      <c r="H80" s="313">
        <v>4.4166670000000003</v>
      </c>
      <c r="I80" s="304">
        <v>238.64068749986728</v>
      </c>
      <c r="J80" s="310">
        <v>1.259791529454754E-3</v>
      </c>
    </row>
    <row r="81" spans="1:10" x14ac:dyDescent="0.25">
      <c r="A81" s="104" t="s">
        <v>321</v>
      </c>
      <c r="B81" s="104" t="s">
        <v>94</v>
      </c>
      <c r="C81" s="309">
        <v>508</v>
      </c>
      <c r="D81" s="309">
        <v>412</v>
      </c>
      <c r="E81" s="309">
        <v>32</v>
      </c>
      <c r="F81" s="309">
        <v>444</v>
      </c>
      <c r="G81" s="304">
        <v>1313.0109688454754</v>
      </c>
      <c r="H81" s="313">
        <v>133.90794899999997</v>
      </c>
      <c r="I81" s="304">
        <v>1446.9189178454753</v>
      </c>
      <c r="J81" s="310">
        <v>7.6383294718365361E-3</v>
      </c>
    </row>
    <row r="82" spans="1:10" x14ac:dyDescent="0.25">
      <c r="A82" s="104" t="s">
        <v>320</v>
      </c>
      <c r="B82" s="104" t="s">
        <v>95</v>
      </c>
      <c r="C82" s="309">
        <v>11</v>
      </c>
      <c r="D82" s="309">
        <v>6</v>
      </c>
      <c r="E82" s="309">
        <v>4</v>
      </c>
      <c r="F82" s="309">
        <v>10</v>
      </c>
      <c r="G82" s="304">
        <v>18.357180126270642</v>
      </c>
      <c r="H82" s="313">
        <v>12</v>
      </c>
      <c r="I82" s="304">
        <v>30.357180126270642</v>
      </c>
      <c r="J82" s="310">
        <v>1.6025648761688733E-4</v>
      </c>
    </row>
    <row r="83" spans="1:10" x14ac:dyDescent="0.25">
      <c r="A83" s="104" t="s">
        <v>319</v>
      </c>
      <c r="B83" s="104" t="s">
        <v>96</v>
      </c>
      <c r="C83" s="309">
        <v>3195</v>
      </c>
      <c r="D83" s="309">
        <v>2231</v>
      </c>
      <c r="E83" s="309">
        <v>122</v>
      </c>
      <c r="F83" s="309">
        <v>2353</v>
      </c>
      <c r="G83" s="304">
        <v>8151.6674344602934</v>
      </c>
      <c r="H83" s="313">
        <v>500.26095299999974</v>
      </c>
      <c r="I83" s="304">
        <v>8651.9283874602934</v>
      </c>
      <c r="J83" s="310">
        <v>4.5673796074601355E-2</v>
      </c>
    </row>
    <row r="84" spans="1:10" x14ac:dyDescent="0.25">
      <c r="A84" s="104" t="s">
        <v>316</v>
      </c>
      <c r="B84" s="104" t="s">
        <v>97</v>
      </c>
      <c r="C84" s="309">
        <v>14</v>
      </c>
      <c r="D84" s="309">
        <v>6</v>
      </c>
      <c r="E84" s="309">
        <v>2</v>
      </c>
      <c r="F84" s="309">
        <v>8</v>
      </c>
      <c r="G84" s="304">
        <v>27.222499546780011</v>
      </c>
      <c r="H84" s="313">
        <v>9.3333340000000007</v>
      </c>
      <c r="I84" s="304">
        <v>36.555833546780008</v>
      </c>
      <c r="J84" s="310">
        <v>1.9297936968278725E-4</v>
      </c>
    </row>
    <row r="85" spans="1:10" x14ac:dyDescent="0.25">
      <c r="A85" s="104" t="s">
        <v>315</v>
      </c>
      <c r="B85" s="104" t="s">
        <v>98</v>
      </c>
      <c r="C85" s="309">
        <v>81</v>
      </c>
      <c r="D85" s="309">
        <v>72</v>
      </c>
      <c r="E85" s="309">
        <v>0</v>
      </c>
      <c r="F85" s="309">
        <v>72</v>
      </c>
      <c r="G85" s="304">
        <v>159.47037457725511</v>
      </c>
      <c r="H85" s="313">
        <v>0</v>
      </c>
      <c r="I85" s="304">
        <v>159.47037457725511</v>
      </c>
      <c r="J85" s="310">
        <v>8.4184901240495498E-4</v>
      </c>
    </row>
    <row r="86" spans="1:10" x14ac:dyDescent="0.25">
      <c r="A86" s="104" t="s">
        <v>314</v>
      </c>
      <c r="B86" s="104" t="s">
        <v>99</v>
      </c>
      <c r="C86" s="309">
        <v>96</v>
      </c>
      <c r="D86" s="309">
        <v>88</v>
      </c>
      <c r="E86" s="309">
        <v>1</v>
      </c>
      <c r="F86" s="309">
        <v>89</v>
      </c>
      <c r="G86" s="304">
        <v>202.38802670570567</v>
      </c>
      <c r="H86" s="313">
        <v>4.0421050000000003</v>
      </c>
      <c r="I86" s="304">
        <v>206.43013170570566</v>
      </c>
      <c r="J86" s="310">
        <v>1.0897510146806876E-3</v>
      </c>
    </row>
    <row r="87" spans="1:10" x14ac:dyDescent="0.25">
      <c r="A87" s="104" t="s">
        <v>313</v>
      </c>
      <c r="B87" s="104" t="s">
        <v>100</v>
      </c>
      <c r="C87" s="309">
        <v>326</v>
      </c>
      <c r="D87" s="309">
        <v>217</v>
      </c>
      <c r="E87" s="309">
        <v>10</v>
      </c>
      <c r="F87" s="309">
        <v>227</v>
      </c>
      <c r="G87" s="304">
        <v>712.69033518052106</v>
      </c>
      <c r="H87" s="313">
        <v>35.972416000000003</v>
      </c>
      <c r="I87" s="304">
        <v>748.66275118052101</v>
      </c>
      <c r="J87" s="310">
        <v>3.9522136909534216E-3</v>
      </c>
    </row>
    <row r="88" spans="1:10" x14ac:dyDescent="0.25">
      <c r="A88" s="104" t="s">
        <v>312</v>
      </c>
      <c r="B88" s="104" t="s">
        <v>101</v>
      </c>
      <c r="C88" s="309">
        <v>554</v>
      </c>
      <c r="D88" s="309">
        <v>441</v>
      </c>
      <c r="E88" s="309">
        <v>19</v>
      </c>
      <c r="F88" s="309">
        <v>460</v>
      </c>
      <c r="G88" s="304">
        <v>1503.7740175322429</v>
      </c>
      <c r="H88" s="313">
        <v>69.389903000000004</v>
      </c>
      <c r="I88" s="304">
        <v>1573.1639205322429</v>
      </c>
      <c r="J88" s="310">
        <v>8.3047807240810671E-3</v>
      </c>
    </row>
    <row r="89" spans="1:10" x14ac:dyDescent="0.25">
      <c r="A89" s="104" t="s">
        <v>311</v>
      </c>
      <c r="B89" s="104" t="s">
        <v>102</v>
      </c>
      <c r="C89" s="309">
        <v>27</v>
      </c>
      <c r="D89" s="309">
        <v>11</v>
      </c>
      <c r="E89" s="309">
        <v>3</v>
      </c>
      <c r="F89" s="309">
        <v>14</v>
      </c>
      <c r="G89" s="304">
        <v>42.322923313173838</v>
      </c>
      <c r="H89" s="313">
        <v>15.428571000000002</v>
      </c>
      <c r="I89" s="304">
        <v>57.751494313173836</v>
      </c>
      <c r="J89" s="310">
        <v>3.0487191480761748E-4</v>
      </c>
    </row>
    <row r="90" spans="1:10" x14ac:dyDescent="0.25">
      <c r="A90" s="104" t="s">
        <v>318</v>
      </c>
      <c r="B90" s="104" t="s">
        <v>103</v>
      </c>
      <c r="C90" s="309">
        <v>2171</v>
      </c>
      <c r="D90" s="309">
        <v>1371</v>
      </c>
      <c r="E90" s="309">
        <v>88</v>
      </c>
      <c r="F90" s="309">
        <v>1459</v>
      </c>
      <c r="G90" s="304">
        <v>5370.7909863918403</v>
      </c>
      <c r="H90" s="313">
        <v>374.07293800000014</v>
      </c>
      <c r="I90" s="304">
        <v>5744.8639243918406</v>
      </c>
      <c r="J90" s="310">
        <v>3.0327313358176036E-2</v>
      </c>
    </row>
    <row r="91" spans="1:10" x14ac:dyDescent="0.25">
      <c r="A91" s="104" t="s">
        <v>308</v>
      </c>
      <c r="B91" s="104" t="s">
        <v>104</v>
      </c>
      <c r="C91" s="309">
        <v>67</v>
      </c>
      <c r="D91" s="309">
        <v>50</v>
      </c>
      <c r="E91" s="309">
        <v>1</v>
      </c>
      <c r="F91" s="309">
        <v>51</v>
      </c>
      <c r="G91" s="304">
        <v>160.0496532390957</v>
      </c>
      <c r="H91" s="313">
        <v>2.09375</v>
      </c>
      <c r="I91" s="304">
        <v>162.1434032390957</v>
      </c>
      <c r="J91" s="310">
        <v>8.5596001292819325E-4</v>
      </c>
    </row>
    <row r="92" spans="1:10" x14ac:dyDescent="0.25">
      <c r="A92" s="104" t="s">
        <v>307</v>
      </c>
      <c r="B92" s="104" t="s">
        <v>105</v>
      </c>
      <c r="C92" s="309">
        <v>23</v>
      </c>
      <c r="D92" s="309">
        <v>19</v>
      </c>
      <c r="E92" s="309">
        <v>3</v>
      </c>
      <c r="F92" s="309">
        <v>22</v>
      </c>
      <c r="G92" s="304">
        <v>65.141329049786606</v>
      </c>
      <c r="H92" s="313">
        <v>12.545453999999999</v>
      </c>
      <c r="I92" s="304">
        <v>77.686783049786612</v>
      </c>
      <c r="J92" s="310">
        <v>4.1011091722053801E-4</v>
      </c>
    </row>
    <row r="93" spans="1:10" x14ac:dyDescent="0.25">
      <c r="A93" s="104" t="s">
        <v>306</v>
      </c>
      <c r="B93" s="104" t="s">
        <v>106</v>
      </c>
      <c r="C93" s="309">
        <v>126</v>
      </c>
      <c r="D93" s="309">
        <v>102</v>
      </c>
      <c r="E93" s="309">
        <v>1</v>
      </c>
      <c r="F93" s="309">
        <v>103</v>
      </c>
      <c r="G93" s="304">
        <v>290.70550822888498</v>
      </c>
      <c r="H93" s="313">
        <v>2.0655739999999998</v>
      </c>
      <c r="I93" s="304">
        <v>292.77108222888501</v>
      </c>
      <c r="J93" s="310">
        <v>1.5455475481793344E-3</v>
      </c>
    </row>
    <row r="94" spans="1:10" x14ac:dyDescent="0.25">
      <c r="A94" s="104" t="s">
        <v>310</v>
      </c>
      <c r="B94" s="104" t="s">
        <v>107</v>
      </c>
      <c r="C94" s="309">
        <v>58</v>
      </c>
      <c r="D94" s="309">
        <v>50</v>
      </c>
      <c r="E94" s="309">
        <v>3</v>
      </c>
      <c r="F94" s="309">
        <v>53</v>
      </c>
      <c r="G94" s="304">
        <v>152.46040090095838</v>
      </c>
      <c r="H94" s="313">
        <v>12.888889000000001</v>
      </c>
      <c r="I94" s="304">
        <v>165.34928990095838</v>
      </c>
      <c r="J94" s="310">
        <v>8.7288398722326741E-4</v>
      </c>
    </row>
    <row r="95" spans="1:10" x14ac:dyDescent="0.25">
      <c r="A95" s="104" t="s">
        <v>309</v>
      </c>
      <c r="B95" s="104" t="s">
        <v>108</v>
      </c>
      <c r="C95" s="309">
        <v>32</v>
      </c>
      <c r="D95" s="309">
        <v>27</v>
      </c>
      <c r="E95" s="309">
        <v>0</v>
      </c>
      <c r="F95" s="309">
        <v>27</v>
      </c>
      <c r="G95" s="304">
        <v>105.05447811599846</v>
      </c>
      <c r="H95" s="313">
        <v>0</v>
      </c>
      <c r="I95" s="304">
        <v>105.05447811599846</v>
      </c>
      <c r="J95" s="310">
        <v>5.5458582125438396E-4</v>
      </c>
    </row>
    <row r="96" spans="1:10" x14ac:dyDescent="0.25">
      <c r="A96" s="104" t="s">
        <v>305</v>
      </c>
      <c r="B96" s="104" t="s">
        <v>109</v>
      </c>
      <c r="C96" s="309">
        <v>348</v>
      </c>
      <c r="D96" s="309">
        <v>187</v>
      </c>
      <c r="E96" s="309">
        <v>20</v>
      </c>
      <c r="F96" s="309">
        <v>207</v>
      </c>
      <c r="G96" s="304">
        <v>779.3029474582313</v>
      </c>
      <c r="H96" s="313">
        <v>97.342659000000012</v>
      </c>
      <c r="I96" s="304">
        <v>876.64560645823133</v>
      </c>
      <c r="J96" s="310">
        <v>4.6278391204786478E-3</v>
      </c>
    </row>
    <row r="97" spans="1:10" x14ac:dyDescent="0.25">
      <c r="A97" s="104" t="s">
        <v>304</v>
      </c>
      <c r="B97" s="104" t="s">
        <v>110</v>
      </c>
      <c r="C97" s="309">
        <v>82</v>
      </c>
      <c r="D97" s="309">
        <v>46</v>
      </c>
      <c r="E97" s="309">
        <v>3</v>
      </c>
      <c r="F97" s="309">
        <v>49</v>
      </c>
      <c r="G97" s="304">
        <v>198.13202618329998</v>
      </c>
      <c r="H97" s="313">
        <v>15.138461999999999</v>
      </c>
      <c r="I97" s="304">
        <v>213.27048818329999</v>
      </c>
      <c r="J97" s="310">
        <v>1.1258614669225296E-3</v>
      </c>
    </row>
    <row r="98" spans="1:10" x14ac:dyDescent="0.25">
      <c r="A98" s="104" t="s">
        <v>303</v>
      </c>
      <c r="B98" s="104" t="s">
        <v>111</v>
      </c>
      <c r="C98" s="309">
        <v>858</v>
      </c>
      <c r="D98" s="309">
        <v>629</v>
      </c>
      <c r="E98" s="309">
        <v>30</v>
      </c>
      <c r="F98" s="309">
        <v>659</v>
      </c>
      <c r="G98" s="304">
        <v>2115.6985240930253</v>
      </c>
      <c r="H98" s="313">
        <v>123.67566700000003</v>
      </c>
      <c r="I98" s="304">
        <v>2239.3741910930253</v>
      </c>
      <c r="J98" s="310">
        <v>1.1821725233758197E-2</v>
      </c>
    </row>
    <row r="99" spans="1:10" x14ac:dyDescent="0.25">
      <c r="A99" s="104" t="s">
        <v>302</v>
      </c>
      <c r="B99" s="104" t="s">
        <v>112</v>
      </c>
      <c r="C99" s="309">
        <v>58</v>
      </c>
      <c r="D99" s="309">
        <v>57</v>
      </c>
      <c r="E99" s="309">
        <v>0</v>
      </c>
      <c r="F99" s="309">
        <v>57</v>
      </c>
      <c r="G99" s="304">
        <v>112.77892669386735</v>
      </c>
      <c r="H99" s="313">
        <v>0</v>
      </c>
      <c r="I99" s="304">
        <v>112.77892669386735</v>
      </c>
      <c r="J99" s="310">
        <v>5.9536342288660129E-4</v>
      </c>
    </row>
    <row r="100" spans="1:10" x14ac:dyDescent="0.25">
      <c r="A100" s="104" t="s">
        <v>301</v>
      </c>
      <c r="B100" s="104" t="s">
        <v>114</v>
      </c>
      <c r="C100" s="309">
        <v>27</v>
      </c>
      <c r="D100" s="309">
        <v>25</v>
      </c>
      <c r="E100" s="309">
        <v>0</v>
      </c>
      <c r="F100" s="309">
        <v>25</v>
      </c>
      <c r="G100" s="304">
        <v>67.309660462992383</v>
      </c>
      <c r="H100" s="313">
        <v>0</v>
      </c>
      <c r="I100" s="304">
        <v>67.309660462992383</v>
      </c>
      <c r="J100" s="310">
        <v>3.5532976790389329E-4</v>
      </c>
    </row>
    <row r="101" spans="1:10" x14ac:dyDescent="0.25">
      <c r="A101" s="104" t="s">
        <v>298</v>
      </c>
      <c r="B101" s="104" t="s">
        <v>115</v>
      </c>
      <c r="C101" s="309">
        <v>32</v>
      </c>
      <c r="D101" s="309">
        <v>18</v>
      </c>
      <c r="E101" s="309">
        <v>3</v>
      </c>
      <c r="F101" s="309">
        <v>21</v>
      </c>
      <c r="G101" s="304">
        <v>56.754878006180846</v>
      </c>
      <c r="H101" s="313">
        <v>13.241379</v>
      </c>
      <c r="I101" s="304">
        <v>69.996257006180841</v>
      </c>
      <c r="J101" s="310">
        <v>3.6951239369008965E-4</v>
      </c>
    </row>
    <row r="102" spans="1:10" x14ac:dyDescent="0.25">
      <c r="A102" s="104" t="s">
        <v>297</v>
      </c>
      <c r="B102" s="104" t="s">
        <v>116</v>
      </c>
      <c r="C102" s="309">
        <v>1451</v>
      </c>
      <c r="D102" s="309">
        <v>983</v>
      </c>
      <c r="E102" s="309">
        <v>90</v>
      </c>
      <c r="F102" s="309">
        <v>1073</v>
      </c>
      <c r="G102" s="304">
        <v>3602.4749839016849</v>
      </c>
      <c r="H102" s="313">
        <v>385.89239800000018</v>
      </c>
      <c r="I102" s="304">
        <v>3988.3673819016849</v>
      </c>
      <c r="J102" s="310">
        <v>2.1054714083809246E-2</v>
      </c>
    </row>
    <row r="103" spans="1:10" x14ac:dyDescent="0.25">
      <c r="A103" s="104" t="s">
        <v>295</v>
      </c>
      <c r="B103" s="104" t="s">
        <v>117</v>
      </c>
      <c r="C103" s="309">
        <v>834</v>
      </c>
      <c r="D103" s="309">
        <v>534</v>
      </c>
      <c r="E103" s="309">
        <v>32</v>
      </c>
      <c r="F103" s="309">
        <v>566</v>
      </c>
      <c r="G103" s="304">
        <v>1950.9489312400187</v>
      </c>
      <c r="H103" s="313">
        <v>135.74068599999998</v>
      </c>
      <c r="I103" s="304">
        <v>2086.6896172400188</v>
      </c>
      <c r="J103" s="310">
        <v>1.1015698672095137E-2</v>
      </c>
    </row>
    <row r="104" spans="1:10" x14ac:dyDescent="0.25">
      <c r="A104" s="104" t="s">
        <v>293</v>
      </c>
      <c r="B104" s="104" t="s">
        <v>118</v>
      </c>
      <c r="C104" s="309">
        <v>1255</v>
      </c>
      <c r="D104" s="309">
        <v>846</v>
      </c>
      <c r="E104" s="309">
        <v>37</v>
      </c>
      <c r="F104" s="309">
        <v>883</v>
      </c>
      <c r="G104" s="304">
        <v>3160.3580495524106</v>
      </c>
      <c r="H104" s="313">
        <v>156.72880800000001</v>
      </c>
      <c r="I104" s="304">
        <v>3317.0868575524105</v>
      </c>
      <c r="J104" s="310">
        <v>1.751100354843111E-2</v>
      </c>
    </row>
    <row r="105" spans="1:10" x14ac:dyDescent="0.25">
      <c r="A105" s="104" t="s">
        <v>292</v>
      </c>
      <c r="B105" s="104" t="s">
        <v>119</v>
      </c>
      <c r="C105" s="309">
        <v>927</v>
      </c>
      <c r="D105" s="309">
        <v>639</v>
      </c>
      <c r="E105" s="309">
        <v>20</v>
      </c>
      <c r="F105" s="309">
        <v>659</v>
      </c>
      <c r="G105" s="304">
        <v>2336.57317818003</v>
      </c>
      <c r="H105" s="313">
        <v>79.522062999999989</v>
      </c>
      <c r="I105" s="304">
        <v>2416.0952411800299</v>
      </c>
      <c r="J105" s="310">
        <v>1.2754641092777758E-2</v>
      </c>
    </row>
    <row r="106" spans="1:10" x14ac:dyDescent="0.25">
      <c r="A106" s="104" t="s">
        <v>291</v>
      </c>
      <c r="B106" s="104" t="s">
        <v>120</v>
      </c>
      <c r="C106" s="309">
        <v>2441</v>
      </c>
      <c r="D106" s="309">
        <v>1742</v>
      </c>
      <c r="E106" s="309">
        <v>105</v>
      </c>
      <c r="F106" s="309">
        <v>1847</v>
      </c>
      <c r="G106" s="304">
        <v>6093.5353616486163</v>
      </c>
      <c r="H106" s="313">
        <v>421.73766600000033</v>
      </c>
      <c r="I106" s="304">
        <v>6515.2730276486163</v>
      </c>
      <c r="J106" s="310">
        <v>3.4394326710617283E-2</v>
      </c>
    </row>
    <row r="107" spans="1:10" x14ac:dyDescent="0.25">
      <c r="A107" s="104" t="s">
        <v>290</v>
      </c>
      <c r="B107" s="104" t="s">
        <v>121</v>
      </c>
      <c r="C107" s="309">
        <v>2007</v>
      </c>
      <c r="D107" s="309">
        <v>1425</v>
      </c>
      <c r="E107" s="309">
        <v>78</v>
      </c>
      <c r="F107" s="309">
        <v>1503</v>
      </c>
      <c r="G107" s="304">
        <v>4854.5527575818069</v>
      </c>
      <c r="H107" s="313">
        <v>328.86870300000004</v>
      </c>
      <c r="I107" s="304">
        <v>5183.421460581807</v>
      </c>
      <c r="J107" s="310">
        <v>2.7363441322798662E-2</v>
      </c>
    </row>
    <row r="108" spans="1:10" x14ac:dyDescent="0.25">
      <c r="A108" s="104" t="s">
        <v>289</v>
      </c>
      <c r="B108" s="104" t="s">
        <v>122</v>
      </c>
      <c r="C108" s="309">
        <v>630</v>
      </c>
      <c r="D108" s="309">
        <v>497</v>
      </c>
      <c r="E108" s="309">
        <v>22</v>
      </c>
      <c r="F108" s="309">
        <v>519</v>
      </c>
      <c r="G108" s="304">
        <v>1575.9058847802953</v>
      </c>
      <c r="H108" s="313">
        <v>85.423721</v>
      </c>
      <c r="I108" s="304">
        <v>1661.3296057802954</v>
      </c>
      <c r="J108" s="310">
        <v>8.7702100883177599E-3</v>
      </c>
    </row>
    <row r="109" spans="1:10" x14ac:dyDescent="0.25">
      <c r="A109" s="104" t="s">
        <v>286</v>
      </c>
      <c r="B109" s="104" t="s">
        <v>123</v>
      </c>
      <c r="C109" s="309">
        <v>9</v>
      </c>
      <c r="D109" s="309">
        <v>5</v>
      </c>
      <c r="E109" s="309">
        <v>0</v>
      </c>
      <c r="F109" s="309">
        <v>5</v>
      </c>
      <c r="G109" s="304">
        <v>22.500229217244403</v>
      </c>
      <c r="H109" s="313">
        <v>0</v>
      </c>
      <c r="I109" s="304">
        <v>22.500229217244403</v>
      </c>
      <c r="J109" s="310">
        <v>1.1877940210296552E-4</v>
      </c>
    </row>
    <row r="110" spans="1:10" x14ac:dyDescent="0.25">
      <c r="A110" s="104" t="s">
        <v>285</v>
      </c>
      <c r="B110" s="104" t="s">
        <v>155</v>
      </c>
      <c r="C110" s="309">
        <v>15</v>
      </c>
      <c r="D110" s="309">
        <v>12</v>
      </c>
      <c r="E110" s="309">
        <v>0</v>
      </c>
      <c r="F110" s="309">
        <v>12</v>
      </c>
      <c r="G110" s="304">
        <v>33.333672914425783</v>
      </c>
      <c r="H110" s="313">
        <v>0</v>
      </c>
      <c r="I110" s="304">
        <v>33.333672914425783</v>
      </c>
      <c r="J110" s="310">
        <v>1.7596948459693121E-4</v>
      </c>
    </row>
    <row r="111" spans="1:10" x14ac:dyDescent="0.25">
      <c r="A111" s="104" t="s">
        <v>284</v>
      </c>
      <c r="B111" s="104" t="s">
        <v>124</v>
      </c>
      <c r="C111" s="309">
        <v>36</v>
      </c>
      <c r="D111" s="309">
        <v>20</v>
      </c>
      <c r="E111" s="309">
        <v>4</v>
      </c>
      <c r="F111" s="309">
        <v>24</v>
      </c>
      <c r="G111" s="304">
        <v>85.258262933469041</v>
      </c>
      <c r="H111" s="313">
        <v>18.580643999999999</v>
      </c>
      <c r="I111" s="304">
        <v>103.83890693346905</v>
      </c>
      <c r="J111" s="310">
        <v>5.4816878359310623E-4</v>
      </c>
    </row>
    <row r="112" spans="1:10" x14ac:dyDescent="0.25">
      <c r="A112" s="104" t="s">
        <v>283</v>
      </c>
      <c r="B112" s="104" t="s">
        <v>125</v>
      </c>
      <c r="C112" s="309">
        <v>105</v>
      </c>
      <c r="D112" s="309">
        <v>88</v>
      </c>
      <c r="E112" s="309">
        <v>2</v>
      </c>
      <c r="F112" s="309">
        <v>90</v>
      </c>
      <c r="G112" s="304">
        <v>240.91912098914077</v>
      </c>
      <c r="H112" s="313">
        <v>6.3000000000000007</v>
      </c>
      <c r="I112" s="304">
        <v>247.21912098914078</v>
      </c>
      <c r="J112" s="310">
        <v>1.3050773437012612E-3</v>
      </c>
    </row>
    <row r="113" spans="1:10" x14ac:dyDescent="0.25">
      <c r="A113" s="104" t="s">
        <v>282</v>
      </c>
      <c r="B113" s="104" t="s">
        <v>126</v>
      </c>
      <c r="C113" s="309">
        <v>107</v>
      </c>
      <c r="D113" s="309">
        <v>101</v>
      </c>
      <c r="E113" s="309">
        <v>0</v>
      </c>
      <c r="F113" s="309">
        <v>101</v>
      </c>
      <c r="G113" s="304">
        <v>211.98329161908524</v>
      </c>
      <c r="H113" s="313">
        <v>0</v>
      </c>
      <c r="I113" s="304">
        <v>211.98329161908524</v>
      </c>
      <c r="J113" s="310">
        <v>1.1190663166682716E-3</v>
      </c>
    </row>
    <row r="114" spans="1:10" x14ac:dyDescent="0.25">
      <c r="A114" s="104" t="s">
        <v>281</v>
      </c>
      <c r="B114" s="104" t="s">
        <v>127</v>
      </c>
      <c r="C114" s="309">
        <v>413</v>
      </c>
      <c r="D114" s="309">
        <v>333</v>
      </c>
      <c r="E114" s="309">
        <v>2</v>
      </c>
      <c r="F114" s="309">
        <v>335</v>
      </c>
      <c r="G114" s="304">
        <v>859.77880513385867</v>
      </c>
      <c r="H114" s="313">
        <v>4.4053339999999999</v>
      </c>
      <c r="I114" s="304">
        <v>864.18413913385871</v>
      </c>
      <c r="J114" s="310">
        <v>4.5620546511817659E-3</v>
      </c>
    </row>
    <row r="115" spans="1:10" x14ac:dyDescent="0.25">
      <c r="A115" s="104" t="s">
        <v>280</v>
      </c>
      <c r="B115" s="104" t="s">
        <v>128</v>
      </c>
      <c r="C115" s="309">
        <v>302</v>
      </c>
      <c r="D115" s="309">
        <v>182</v>
      </c>
      <c r="E115" s="309">
        <v>20</v>
      </c>
      <c r="F115" s="309">
        <v>202</v>
      </c>
      <c r="G115" s="304">
        <v>674.63097811446903</v>
      </c>
      <c r="H115" s="313">
        <v>92.740165000000005</v>
      </c>
      <c r="I115" s="304">
        <v>767.37114311446908</v>
      </c>
      <c r="J115" s="310">
        <v>4.0509758674080153E-3</v>
      </c>
    </row>
    <row r="116" spans="1:10" x14ac:dyDescent="0.25">
      <c r="A116" s="104" t="s">
        <v>279</v>
      </c>
      <c r="B116" s="104" t="s">
        <v>129</v>
      </c>
      <c r="C116" s="309">
        <v>379</v>
      </c>
      <c r="D116" s="309">
        <v>267</v>
      </c>
      <c r="E116" s="309">
        <v>21</v>
      </c>
      <c r="F116" s="309">
        <v>288</v>
      </c>
      <c r="G116" s="304">
        <v>1066.5205268314617</v>
      </c>
      <c r="H116" s="313">
        <v>96.515534000000002</v>
      </c>
      <c r="I116" s="304">
        <v>1163.0360608314618</v>
      </c>
      <c r="J116" s="310">
        <v>6.1397031379517566E-3</v>
      </c>
    </row>
    <row r="117" spans="1:10" x14ac:dyDescent="0.25">
      <c r="A117" s="104" t="s">
        <v>278</v>
      </c>
      <c r="B117" s="104" t="s">
        <v>130</v>
      </c>
      <c r="C117" s="309">
        <v>598</v>
      </c>
      <c r="D117" s="309">
        <v>488</v>
      </c>
      <c r="E117" s="309">
        <v>26</v>
      </c>
      <c r="F117" s="309">
        <v>514</v>
      </c>
      <c r="G117" s="304">
        <v>1596.203042156721</v>
      </c>
      <c r="H117" s="313">
        <v>111.85611299999999</v>
      </c>
      <c r="I117" s="304">
        <v>1708.0591551567211</v>
      </c>
      <c r="J117" s="310">
        <v>9.016896816789792E-3</v>
      </c>
    </row>
    <row r="118" spans="1:10" x14ac:dyDescent="0.25">
      <c r="A118" s="104" t="s">
        <v>277</v>
      </c>
      <c r="B118" s="104" t="s">
        <v>131</v>
      </c>
      <c r="C118" s="309">
        <v>764</v>
      </c>
      <c r="D118" s="309">
        <v>593</v>
      </c>
      <c r="E118" s="309">
        <v>12</v>
      </c>
      <c r="F118" s="309">
        <v>605</v>
      </c>
      <c r="G118" s="304">
        <v>1976.9406291320047</v>
      </c>
      <c r="H118" s="313">
        <v>44.690805000000012</v>
      </c>
      <c r="I118" s="304">
        <v>2021.6314341320046</v>
      </c>
      <c r="J118" s="310">
        <v>1.0672254522399423E-2</v>
      </c>
    </row>
    <row r="119" spans="1:10" x14ac:dyDescent="0.25">
      <c r="A119" s="104" t="s">
        <v>276</v>
      </c>
      <c r="B119" s="104" t="s">
        <v>132</v>
      </c>
      <c r="C119" s="309">
        <v>3926</v>
      </c>
      <c r="D119" s="309">
        <v>2894</v>
      </c>
      <c r="E119" s="309">
        <v>145</v>
      </c>
      <c r="F119" s="309">
        <v>3039</v>
      </c>
      <c r="G119" s="304">
        <v>10134.16243409239</v>
      </c>
      <c r="H119" s="313">
        <v>607.71277700000007</v>
      </c>
      <c r="I119" s="304">
        <v>10741.875211092391</v>
      </c>
      <c r="J119" s="310">
        <v>5.6706689639425878E-2</v>
      </c>
    </row>
    <row r="120" spans="1:10" x14ac:dyDescent="0.25">
      <c r="A120" s="104" t="s">
        <v>275</v>
      </c>
      <c r="B120" s="104" t="s">
        <v>133</v>
      </c>
      <c r="C120" s="309">
        <v>24</v>
      </c>
      <c r="D120" s="309">
        <v>16</v>
      </c>
      <c r="E120" s="309">
        <v>6</v>
      </c>
      <c r="F120" s="309">
        <v>22</v>
      </c>
      <c r="G120" s="304">
        <v>42.922017184282282</v>
      </c>
      <c r="H120" s="313">
        <v>20</v>
      </c>
      <c r="I120" s="304">
        <v>62.922017184282282</v>
      </c>
      <c r="J120" s="310">
        <v>3.321672640798497E-4</v>
      </c>
    </row>
    <row r="121" spans="1:10" x14ac:dyDescent="0.25">
      <c r="A121" s="104" t="s">
        <v>273</v>
      </c>
      <c r="B121" s="104" t="s">
        <v>134</v>
      </c>
      <c r="C121" s="309">
        <v>26</v>
      </c>
      <c r="D121" s="309">
        <v>20</v>
      </c>
      <c r="E121" s="309">
        <v>4</v>
      </c>
      <c r="F121" s="309">
        <v>24</v>
      </c>
      <c r="G121" s="304">
        <v>79.534907319899403</v>
      </c>
      <c r="H121" s="313">
        <v>13</v>
      </c>
      <c r="I121" s="304">
        <v>92.534907319899403</v>
      </c>
      <c r="J121" s="310">
        <v>4.8849462194310359E-4</v>
      </c>
    </row>
    <row r="122" spans="1:10" x14ac:dyDescent="0.25">
      <c r="A122" s="104" t="s">
        <v>268</v>
      </c>
      <c r="B122" s="104" t="s">
        <v>135</v>
      </c>
      <c r="C122" s="309">
        <v>71</v>
      </c>
      <c r="D122" s="309">
        <v>30</v>
      </c>
      <c r="E122" s="309">
        <v>11</v>
      </c>
      <c r="F122" s="309">
        <v>41</v>
      </c>
      <c r="G122" s="304">
        <v>129.73448422263493</v>
      </c>
      <c r="H122" s="313">
        <v>54.218177999999995</v>
      </c>
      <c r="I122" s="304">
        <v>183.95266222263493</v>
      </c>
      <c r="J122" s="310">
        <v>9.7109176191447193E-4</v>
      </c>
    </row>
    <row r="123" spans="1:10" x14ac:dyDescent="0.25">
      <c r="A123" s="104" t="s">
        <v>270</v>
      </c>
      <c r="B123" s="104" t="s">
        <v>177</v>
      </c>
      <c r="C123" s="309">
        <v>37</v>
      </c>
      <c r="D123" s="309">
        <v>37</v>
      </c>
      <c r="E123" s="309">
        <v>0</v>
      </c>
      <c r="F123" s="309">
        <v>37</v>
      </c>
      <c r="G123" s="304">
        <v>83.611962893729256</v>
      </c>
      <c r="H123" s="313">
        <v>0</v>
      </c>
      <c r="I123" s="304">
        <v>83.611962893729256</v>
      </c>
      <c r="J123" s="310">
        <v>4.4139012386420448E-4</v>
      </c>
    </row>
    <row r="124" spans="1:10" x14ac:dyDescent="0.25">
      <c r="A124" s="104" t="s">
        <v>267</v>
      </c>
      <c r="B124" s="104" t="s">
        <v>178</v>
      </c>
      <c r="C124" s="309">
        <v>8</v>
      </c>
      <c r="D124" s="309">
        <v>8</v>
      </c>
      <c r="E124" s="309">
        <v>0</v>
      </c>
      <c r="F124" s="309">
        <v>8</v>
      </c>
      <c r="G124" s="304">
        <v>17.500178280082867</v>
      </c>
      <c r="H124" s="313">
        <v>0</v>
      </c>
      <c r="I124" s="304">
        <v>17.500178280082867</v>
      </c>
      <c r="J124" s="310">
        <v>9.2383979413438141E-5</v>
      </c>
    </row>
    <row r="125" spans="1:10" x14ac:dyDescent="0.25">
      <c r="A125" s="104" t="s">
        <v>266</v>
      </c>
      <c r="B125" s="104" t="s">
        <v>137</v>
      </c>
      <c r="C125" s="309">
        <v>657</v>
      </c>
      <c r="D125" s="309">
        <v>515</v>
      </c>
      <c r="E125" s="309">
        <v>9</v>
      </c>
      <c r="F125" s="309">
        <v>524</v>
      </c>
      <c r="G125" s="304">
        <v>1482.7629619098295</v>
      </c>
      <c r="H125" s="313">
        <v>32.048780999999991</v>
      </c>
      <c r="I125" s="304">
        <v>1514.8117429098295</v>
      </c>
      <c r="J125" s="310">
        <v>7.9967377836080746E-3</v>
      </c>
    </row>
    <row r="126" spans="1:10" x14ac:dyDescent="0.25">
      <c r="A126" s="104" t="s">
        <v>265</v>
      </c>
      <c r="B126" s="104" t="s">
        <v>138</v>
      </c>
      <c r="C126" s="309">
        <v>115</v>
      </c>
      <c r="D126" s="309">
        <v>69</v>
      </c>
      <c r="E126" s="309">
        <v>3</v>
      </c>
      <c r="F126" s="309">
        <v>72</v>
      </c>
      <c r="G126" s="304">
        <v>257.3219980954687</v>
      </c>
      <c r="H126" s="313">
        <v>13.663364999999999</v>
      </c>
      <c r="I126" s="304">
        <v>270.9853630954687</v>
      </c>
      <c r="J126" s="310">
        <v>1.4305400667858966E-3</v>
      </c>
    </row>
    <row r="127" spans="1:10" x14ac:dyDescent="0.25">
      <c r="A127" s="104" t="s">
        <v>264</v>
      </c>
      <c r="B127" s="104" t="s">
        <v>139</v>
      </c>
      <c r="C127" s="309">
        <v>1914</v>
      </c>
      <c r="D127" s="309">
        <v>1349</v>
      </c>
      <c r="E127" s="309">
        <v>63</v>
      </c>
      <c r="F127" s="309">
        <v>1412</v>
      </c>
      <c r="G127" s="304">
        <v>4825.6346153314034</v>
      </c>
      <c r="H127" s="313">
        <v>264.70213100000001</v>
      </c>
      <c r="I127" s="304">
        <v>5090.3367463314034</v>
      </c>
      <c r="J127" s="310">
        <v>2.6872044253158388E-2</v>
      </c>
    </row>
    <row r="128" spans="1:10" x14ac:dyDescent="0.25">
      <c r="A128" s="104" t="s">
        <v>263</v>
      </c>
      <c r="B128" s="104" t="s">
        <v>141</v>
      </c>
      <c r="C128" s="309">
        <v>96</v>
      </c>
      <c r="D128" s="309">
        <v>75</v>
      </c>
      <c r="E128" s="309">
        <v>5</v>
      </c>
      <c r="F128" s="309">
        <v>80</v>
      </c>
      <c r="G128" s="304">
        <v>222.9636395318588</v>
      </c>
      <c r="H128" s="313">
        <v>14.451611999999997</v>
      </c>
      <c r="I128" s="304">
        <v>237.41525153185881</v>
      </c>
      <c r="J128" s="310">
        <v>1.25332241528751E-3</v>
      </c>
    </row>
    <row r="129" spans="1:10" x14ac:dyDescent="0.25">
      <c r="A129" s="104" t="s">
        <v>776</v>
      </c>
      <c r="B129" s="104" t="s">
        <v>777</v>
      </c>
      <c r="C129" s="309">
        <v>34</v>
      </c>
      <c r="D129" s="309">
        <v>21</v>
      </c>
      <c r="E129" s="309">
        <v>7</v>
      </c>
      <c r="F129" s="309">
        <v>28</v>
      </c>
      <c r="G129" s="304">
        <v>59.756476272547019</v>
      </c>
      <c r="H129" s="313">
        <v>26.787877999999999</v>
      </c>
      <c r="I129" s="304">
        <v>86.544354272547025</v>
      </c>
      <c r="J129" s="310">
        <v>4.5687030814787918E-4</v>
      </c>
    </row>
    <row r="130" spans="1:10" x14ac:dyDescent="0.25">
      <c r="A130" s="104" t="s">
        <v>262</v>
      </c>
      <c r="B130" s="104" t="s">
        <v>142</v>
      </c>
      <c r="C130" s="309">
        <v>535</v>
      </c>
      <c r="D130" s="309">
        <v>451</v>
      </c>
      <c r="E130" s="309">
        <v>6</v>
      </c>
      <c r="F130" s="309">
        <v>457</v>
      </c>
      <c r="G130" s="304">
        <v>1243.8673139994767</v>
      </c>
      <c r="H130" s="313">
        <v>23.033268</v>
      </c>
      <c r="I130" s="304">
        <v>1266.9005819994766</v>
      </c>
      <c r="J130" s="310">
        <v>6.6880071398768759E-3</v>
      </c>
    </row>
    <row r="131" spans="1:10" x14ac:dyDescent="0.25">
      <c r="A131" s="104" t="s">
        <v>259</v>
      </c>
      <c r="B131" s="104" t="s">
        <v>143</v>
      </c>
      <c r="C131" s="309">
        <v>1244</v>
      </c>
      <c r="D131" s="309">
        <v>933</v>
      </c>
      <c r="E131" s="309">
        <v>51</v>
      </c>
      <c r="F131" s="309">
        <v>984</v>
      </c>
      <c r="G131" s="304">
        <v>2944.7975618597125</v>
      </c>
      <c r="H131" s="313">
        <v>219.33391500000002</v>
      </c>
      <c r="I131" s="304">
        <v>3164.1314768597126</v>
      </c>
      <c r="J131" s="310">
        <v>1.6703547389131806E-2</v>
      </c>
    </row>
    <row r="132" spans="1:10" x14ac:dyDescent="0.25">
      <c r="A132" s="104" t="s">
        <v>258</v>
      </c>
      <c r="B132" s="104" t="s">
        <v>144</v>
      </c>
      <c r="C132" s="309">
        <v>376</v>
      </c>
      <c r="D132" s="309">
        <v>253</v>
      </c>
      <c r="E132" s="309">
        <v>13</v>
      </c>
      <c r="F132" s="309">
        <v>266</v>
      </c>
      <c r="G132" s="304">
        <v>1040.9796929568172</v>
      </c>
      <c r="H132" s="313">
        <v>59.248487000000004</v>
      </c>
      <c r="I132" s="304">
        <v>1100.2281799568173</v>
      </c>
      <c r="J132" s="310">
        <v>5.8081384029611046E-3</v>
      </c>
    </row>
    <row r="133" spans="1:10" x14ac:dyDescent="0.25">
      <c r="A133" s="104" t="s">
        <v>257</v>
      </c>
      <c r="B133" s="104" t="s">
        <v>145</v>
      </c>
      <c r="C133" s="309">
        <v>17</v>
      </c>
      <c r="D133" s="309">
        <v>13</v>
      </c>
      <c r="E133" s="309">
        <v>1</v>
      </c>
      <c r="F133" s="309">
        <v>14</v>
      </c>
      <c r="G133" s="304">
        <v>49.236536144055435</v>
      </c>
      <c r="H133" s="313">
        <v>4.25</v>
      </c>
      <c r="I133" s="304">
        <v>53.486536144055435</v>
      </c>
      <c r="J133" s="310">
        <v>2.8235706945067384E-4</v>
      </c>
    </row>
    <row r="134" spans="1:10" x14ac:dyDescent="0.25">
      <c r="A134" s="104" t="s">
        <v>253</v>
      </c>
      <c r="B134" s="104" t="s">
        <v>146</v>
      </c>
      <c r="C134" s="309">
        <v>34</v>
      </c>
      <c r="D134" s="309">
        <v>27</v>
      </c>
      <c r="E134" s="309">
        <v>2</v>
      </c>
      <c r="F134" s="309">
        <v>29</v>
      </c>
      <c r="G134" s="304">
        <v>85.305528533707189</v>
      </c>
      <c r="H134" s="313">
        <v>8.7741939999999996</v>
      </c>
      <c r="I134" s="304">
        <v>94.079722533707184</v>
      </c>
      <c r="J134" s="310">
        <v>4.9664974897243284E-4</v>
      </c>
    </row>
    <row r="135" spans="1:10" x14ac:dyDescent="0.25">
      <c r="A135" s="104" t="s">
        <v>251</v>
      </c>
      <c r="B135" s="104" t="s">
        <v>147</v>
      </c>
      <c r="C135" s="309">
        <v>1067</v>
      </c>
      <c r="D135" s="309">
        <v>814</v>
      </c>
      <c r="E135" s="309">
        <v>19</v>
      </c>
      <c r="F135" s="309">
        <v>833</v>
      </c>
      <c r="G135" s="304">
        <v>2801.8832131714348</v>
      </c>
      <c r="H135" s="313">
        <v>80.61280099999999</v>
      </c>
      <c r="I135" s="304">
        <v>2882.4960141714346</v>
      </c>
      <c r="J135" s="310">
        <v>1.5216785119018247E-2</v>
      </c>
    </row>
    <row r="136" spans="1:10" x14ac:dyDescent="0.25">
      <c r="A136" s="104" t="s">
        <v>250</v>
      </c>
      <c r="B136" s="104" t="s">
        <v>148</v>
      </c>
      <c r="C136" s="309">
        <v>40</v>
      </c>
      <c r="D136" s="309">
        <v>30</v>
      </c>
      <c r="E136" s="309">
        <v>1</v>
      </c>
      <c r="F136" s="309">
        <v>31</v>
      </c>
      <c r="G136" s="304">
        <v>102.77925203309846</v>
      </c>
      <c r="H136" s="313">
        <v>4.5714290000000002</v>
      </c>
      <c r="I136" s="304">
        <v>107.35068103309845</v>
      </c>
      <c r="J136" s="310">
        <v>5.6670754708067867E-4</v>
      </c>
    </row>
    <row r="137" spans="1:10" x14ac:dyDescent="0.25">
      <c r="A137" s="104" t="s">
        <v>243</v>
      </c>
      <c r="B137" s="104" t="s">
        <v>149</v>
      </c>
      <c r="C137" s="309">
        <v>691</v>
      </c>
      <c r="D137" s="309">
        <v>490</v>
      </c>
      <c r="E137" s="309">
        <v>15</v>
      </c>
      <c r="F137" s="309">
        <v>505</v>
      </c>
      <c r="G137" s="304">
        <v>1652.458091175389</v>
      </c>
      <c r="H137" s="313">
        <v>66.135311999999999</v>
      </c>
      <c r="I137" s="304">
        <v>1718.5934031753891</v>
      </c>
      <c r="J137" s="310">
        <v>9.0725074360941838E-3</v>
      </c>
    </row>
    <row r="138" spans="1:10" x14ac:dyDescent="0.25">
      <c r="A138" s="104" t="s">
        <v>241</v>
      </c>
      <c r="B138" s="104" t="s">
        <v>150</v>
      </c>
      <c r="C138" s="309">
        <v>670</v>
      </c>
      <c r="D138" s="309">
        <v>446</v>
      </c>
      <c r="E138" s="309">
        <v>24</v>
      </c>
      <c r="F138" s="309">
        <v>470</v>
      </c>
      <c r="G138" s="304">
        <v>1609.507475650938</v>
      </c>
      <c r="H138" s="313">
        <v>91.262457000000026</v>
      </c>
      <c r="I138" s="304">
        <v>1700.769932650938</v>
      </c>
      <c r="J138" s="310">
        <v>8.9784167869788583E-3</v>
      </c>
    </row>
    <row r="139" spans="1:10" x14ac:dyDescent="0.25">
      <c r="A139" s="48" t="s">
        <v>21</v>
      </c>
      <c r="B139" s="48"/>
      <c r="C139" s="311">
        <v>72918</v>
      </c>
      <c r="D139" s="311">
        <v>52695</v>
      </c>
      <c r="E139" s="311">
        <v>2534</v>
      </c>
      <c r="F139" s="311">
        <v>55229</v>
      </c>
      <c r="G139" s="306">
        <v>179012.70119612449</v>
      </c>
      <c r="H139" s="314">
        <v>10416.011348999938</v>
      </c>
      <c r="I139" s="306">
        <v>189428.71254512444</v>
      </c>
      <c r="J139" s="312">
        <v>1</v>
      </c>
    </row>
    <row r="141" spans="1:10" x14ac:dyDescent="0.25">
      <c r="A141" t="s">
        <v>854</v>
      </c>
    </row>
    <row r="142" spans="1:10" x14ac:dyDescent="0.25">
      <c r="A142" s="308" t="s">
        <v>859</v>
      </c>
    </row>
    <row r="153" spans="10:10" x14ac:dyDescent="0.25">
      <c r="J153" s="11"/>
    </row>
  </sheetData>
  <hyperlinks>
    <hyperlink ref="A142" r:id="rId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K141"/>
  <sheetViews>
    <sheetView zoomScale="90" zoomScaleNormal="90"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12" customWidth="1"/>
    <col min="2" max="2" width="51.42578125" customWidth="1"/>
    <col min="3" max="11" width="17.42578125" customWidth="1"/>
  </cols>
  <sheetData>
    <row r="1" spans="1:11" ht="19.5" x14ac:dyDescent="0.3">
      <c r="A1" s="6" t="s">
        <v>642</v>
      </c>
      <c r="B1" s="6"/>
    </row>
    <row r="2" spans="1:11" ht="15.75" x14ac:dyDescent="0.25">
      <c r="A2" s="7" t="s">
        <v>458</v>
      </c>
      <c r="B2" s="7"/>
    </row>
    <row r="3" spans="1:11" x14ac:dyDescent="0.25">
      <c r="A3" s="15" t="s">
        <v>857</v>
      </c>
      <c r="B3" s="1"/>
      <c r="C3" s="2" t="s">
        <v>12</v>
      </c>
      <c r="D3" s="2"/>
      <c r="E3" s="2"/>
      <c r="F3" s="2"/>
      <c r="G3" s="2"/>
      <c r="H3" s="2"/>
      <c r="I3" s="2"/>
      <c r="J3" s="2"/>
    </row>
    <row r="4" spans="1:11" x14ac:dyDescent="0.25">
      <c r="A4" s="315"/>
      <c r="B4" s="132"/>
      <c r="C4" s="317" t="s">
        <v>12</v>
      </c>
      <c r="D4" s="317"/>
      <c r="E4" s="317"/>
      <c r="F4" s="317"/>
      <c r="G4" s="317"/>
      <c r="H4" s="317"/>
      <c r="I4" s="317"/>
      <c r="J4" s="317"/>
      <c r="K4" s="317"/>
    </row>
    <row r="5" spans="1:11" ht="15" customHeight="1" x14ac:dyDescent="0.25">
      <c r="A5" s="316"/>
      <c r="B5" s="133"/>
      <c r="C5" s="481" t="s">
        <v>22</v>
      </c>
      <c r="D5" s="481"/>
      <c r="E5" s="481"/>
      <c r="F5" s="481"/>
      <c r="G5" s="481"/>
      <c r="H5" s="481"/>
      <c r="I5" s="481"/>
      <c r="J5" s="481"/>
      <c r="K5" s="481"/>
    </row>
    <row r="6" spans="1:11" ht="24" x14ac:dyDescent="0.25">
      <c r="A6" s="247" t="s">
        <v>12</v>
      </c>
      <c r="B6" s="134"/>
      <c r="C6" s="247" t="s">
        <v>810</v>
      </c>
      <c r="D6" s="247" t="s">
        <v>811</v>
      </c>
      <c r="E6" s="247" t="s">
        <v>812</v>
      </c>
      <c r="F6" s="247" t="s">
        <v>813</v>
      </c>
      <c r="G6" s="247" t="s">
        <v>814</v>
      </c>
      <c r="H6" s="247" t="s">
        <v>815</v>
      </c>
      <c r="I6" s="247" t="s">
        <v>816</v>
      </c>
      <c r="J6" s="247" t="s">
        <v>817</v>
      </c>
      <c r="K6" s="247" t="s">
        <v>818</v>
      </c>
    </row>
    <row r="7" spans="1:11" ht="15" customHeight="1" x14ac:dyDescent="0.25">
      <c r="A7" s="104" t="s">
        <v>363</v>
      </c>
      <c r="B7" s="130" t="str">
        <f>VLOOKUP(A7,'0 Järjestäjätiedot'!A:H,2,FALSE)</f>
        <v>Kellosepäntaidon Edistämissäätiö sr</v>
      </c>
      <c r="C7" s="309">
        <v>30</v>
      </c>
      <c r="D7" s="309">
        <v>26</v>
      </c>
      <c r="E7" s="318">
        <v>0.8666666666666667</v>
      </c>
      <c r="F7" s="319"/>
      <c r="G7" s="313">
        <v>4.0576923076923075</v>
      </c>
      <c r="H7" s="313">
        <v>1.158803453475602</v>
      </c>
      <c r="I7" s="309">
        <v>422</v>
      </c>
      <c r="J7" s="309">
        <v>486.92307692307691</v>
      </c>
      <c r="K7" s="310">
        <v>3.9109112965293714E-4</v>
      </c>
    </row>
    <row r="8" spans="1:11" ht="15" customHeight="1" x14ac:dyDescent="0.25">
      <c r="A8" s="104" t="s">
        <v>286</v>
      </c>
      <c r="B8" s="130" t="str">
        <f>VLOOKUP(A8,'0 Järjestäjätiedot'!A:H,2,FALSE)</f>
        <v>Suomen kansallisooppera ja -baletti sr</v>
      </c>
      <c r="C8" s="309">
        <v>11</v>
      </c>
      <c r="D8" s="309">
        <v>7</v>
      </c>
      <c r="E8" s="318">
        <v>0.63636363636363635</v>
      </c>
      <c r="F8" s="319"/>
      <c r="G8" s="313">
        <v>4.4642857142857144</v>
      </c>
      <c r="H8" s="313">
        <v>1.1489791387246715</v>
      </c>
      <c r="I8" s="309">
        <v>125</v>
      </c>
      <c r="J8" s="309">
        <v>160.02711776859505</v>
      </c>
      <c r="K8" s="310">
        <v>1.2853197810772587E-4</v>
      </c>
    </row>
    <row r="9" spans="1:11" ht="15" customHeight="1" x14ac:dyDescent="0.25">
      <c r="A9" s="104" t="s">
        <v>251</v>
      </c>
      <c r="B9" s="130" t="str">
        <f>VLOOKUP(A9,'0 Järjestäjätiedot'!A:H,2,FALSE)</f>
        <v>Vantaan kaupunki</v>
      </c>
      <c r="C9" s="309">
        <v>2103</v>
      </c>
      <c r="D9" s="309">
        <v>1266</v>
      </c>
      <c r="E9" s="318">
        <v>0.60199714693295292</v>
      </c>
      <c r="F9" s="319"/>
      <c r="G9" s="313">
        <v>4.0918246445497628</v>
      </c>
      <c r="H9" s="313">
        <v>1.102766657550011</v>
      </c>
      <c r="I9" s="309">
        <v>20721</v>
      </c>
      <c r="J9" s="309">
        <v>26548.716681488233</v>
      </c>
      <c r="K9" s="310">
        <v>2.1323630137659894E-2</v>
      </c>
    </row>
    <row r="10" spans="1:11" ht="15" customHeight="1" x14ac:dyDescent="0.25">
      <c r="A10" s="104" t="s">
        <v>358</v>
      </c>
      <c r="B10" s="130" t="str">
        <f>VLOOKUP(A10,'0 Järjestäjätiedot'!A:H,2,FALSE)</f>
        <v>Kisakalliosäätiö sr</v>
      </c>
      <c r="C10" s="309">
        <v>72</v>
      </c>
      <c r="D10" s="309">
        <v>57</v>
      </c>
      <c r="E10" s="318">
        <v>0.79166666666666663</v>
      </c>
      <c r="F10" s="319"/>
      <c r="G10" s="313">
        <v>4.3245614035087723</v>
      </c>
      <c r="H10" s="313">
        <v>0.8785515794809956</v>
      </c>
      <c r="I10" s="309">
        <v>986</v>
      </c>
      <c r="J10" s="309">
        <v>1235.0142144097224</v>
      </c>
      <c r="K10" s="310">
        <v>9.9194950320096831E-4</v>
      </c>
    </row>
    <row r="11" spans="1:11" ht="15" customHeight="1" x14ac:dyDescent="0.25">
      <c r="A11" s="104" t="s">
        <v>295</v>
      </c>
      <c r="B11" s="130" t="str">
        <f>VLOOKUP(A11,'0 Järjestäjätiedot'!A:H,2,FALSE)</f>
        <v>Salon Seudun Koulutuskuntayhtymä</v>
      </c>
      <c r="C11" s="309">
        <v>1084</v>
      </c>
      <c r="D11" s="309">
        <v>368</v>
      </c>
      <c r="E11" s="318">
        <v>0.33948339483394835</v>
      </c>
      <c r="F11" s="319"/>
      <c r="G11" s="313">
        <v>4.4130434782608692</v>
      </c>
      <c r="H11" s="313">
        <v>0.91294642341305388</v>
      </c>
      <c r="I11" s="309">
        <v>6496</v>
      </c>
      <c r="J11" s="309">
        <v>7978.5653245462345</v>
      </c>
      <c r="K11" s="310">
        <v>6.4082937812361797E-3</v>
      </c>
    </row>
    <row r="12" spans="1:11" ht="15" customHeight="1" x14ac:dyDescent="0.25">
      <c r="A12" s="104" t="s">
        <v>266</v>
      </c>
      <c r="B12" s="130" t="str">
        <f>VLOOKUP(A12,'0 Järjestäjätiedot'!A:H,2,FALSE)</f>
        <v>Turun Aikuiskoulutussäätiö sr</v>
      </c>
      <c r="C12" s="309">
        <v>1654</v>
      </c>
      <c r="D12" s="309">
        <v>541</v>
      </c>
      <c r="E12" s="318">
        <v>0.3270858524788392</v>
      </c>
      <c r="F12" s="319"/>
      <c r="G12" s="313">
        <v>4.1925493716337519</v>
      </c>
      <c r="H12" s="313">
        <v>1.0375352992132911</v>
      </c>
      <c r="I12" s="309">
        <v>9072.6768402154394</v>
      </c>
      <c r="J12" s="309">
        <v>11096.43570679551</v>
      </c>
      <c r="K12" s="310">
        <v>8.9125321459706114E-3</v>
      </c>
    </row>
    <row r="13" spans="1:11" ht="15" customHeight="1" x14ac:dyDescent="0.25">
      <c r="A13" s="104" t="s">
        <v>360</v>
      </c>
      <c r="B13" s="130" t="str">
        <f>VLOOKUP(A13,'0 Järjestäjätiedot'!A:H,2,FALSE)</f>
        <v>Kiipulasäätiö sr</v>
      </c>
      <c r="C13" s="309">
        <v>368</v>
      </c>
      <c r="D13" s="309">
        <v>285</v>
      </c>
      <c r="E13" s="318">
        <v>0.77445652173913049</v>
      </c>
      <c r="F13" s="319"/>
      <c r="G13" s="313">
        <v>4.2526315789473683</v>
      </c>
      <c r="H13" s="313">
        <v>1.00317133328014</v>
      </c>
      <c r="I13" s="309">
        <v>4848</v>
      </c>
      <c r="J13" s="309">
        <v>6096.2271421609166</v>
      </c>
      <c r="K13" s="310">
        <v>4.8964209597838742E-3</v>
      </c>
    </row>
    <row r="14" spans="1:11" ht="15" customHeight="1" x14ac:dyDescent="0.25">
      <c r="A14" s="104" t="s">
        <v>337</v>
      </c>
      <c r="B14" s="130" t="str">
        <f>VLOOKUP(A14,'0 Järjestäjätiedot'!A:H,2,FALSE)</f>
        <v>Lahden Konservatorio Oy</v>
      </c>
      <c r="C14" s="309">
        <v>18</v>
      </c>
      <c r="D14" s="309">
        <v>14</v>
      </c>
      <c r="E14" s="318">
        <v>0.77777777777777779</v>
      </c>
      <c r="F14" s="319"/>
      <c r="G14" s="313">
        <v>4.375</v>
      </c>
      <c r="H14" s="313">
        <v>0.85695682505013049</v>
      </c>
      <c r="I14" s="309">
        <v>245</v>
      </c>
      <c r="J14" s="309">
        <v>307.85686728395058</v>
      </c>
      <c r="K14" s="310">
        <v>2.4726716745141066E-4</v>
      </c>
    </row>
    <row r="15" spans="1:11" ht="15" customHeight="1" x14ac:dyDescent="0.25">
      <c r="A15" s="104" t="s">
        <v>338</v>
      </c>
      <c r="B15" s="130" t="str">
        <f>VLOOKUP(A15,'0 Järjestäjätiedot'!A:H,2,FALSE)</f>
        <v>Lahden kansanopiston säätiö sr</v>
      </c>
      <c r="C15" s="309">
        <v>27</v>
      </c>
      <c r="D15" s="309">
        <v>24</v>
      </c>
      <c r="E15" s="318">
        <v>0.88888888888888884</v>
      </c>
      <c r="F15" s="319"/>
      <c r="G15" s="313">
        <v>3.875</v>
      </c>
      <c r="H15" s="313">
        <v>1.3482241406136193</v>
      </c>
      <c r="I15" s="309">
        <v>372</v>
      </c>
      <c r="J15" s="309">
        <v>418.5</v>
      </c>
      <c r="K15" s="310">
        <v>3.3613448513061681E-4</v>
      </c>
    </row>
    <row r="16" spans="1:11" ht="15" customHeight="1" x14ac:dyDescent="0.25">
      <c r="A16" s="104" t="s">
        <v>408</v>
      </c>
      <c r="B16" s="130" t="str">
        <f>VLOOKUP(A16,'0 Järjestäjätiedot'!A:H,2,FALSE)</f>
        <v>Aitoon Emäntäkoulu Oy</v>
      </c>
      <c r="C16" s="309">
        <v>21</v>
      </c>
      <c r="D16" s="309">
        <v>21</v>
      </c>
      <c r="E16" s="318">
        <v>1</v>
      </c>
      <c r="F16" s="319"/>
      <c r="G16" s="313">
        <v>4.7023809523809526</v>
      </c>
      <c r="H16" s="313">
        <v>0.66868317476112304</v>
      </c>
      <c r="I16" s="309">
        <v>395</v>
      </c>
      <c r="J16" s="309">
        <v>395</v>
      </c>
      <c r="K16" s="310">
        <v>3.1725954988433367E-4</v>
      </c>
    </row>
    <row r="17" spans="1:11" ht="15" customHeight="1" x14ac:dyDescent="0.25">
      <c r="A17" s="104" t="s">
        <v>314</v>
      </c>
      <c r="B17" s="130" t="str">
        <f>VLOOKUP(A17,'0 Järjestäjätiedot'!A:H,2,FALSE)</f>
        <v>Palloilu Säätiö sr</v>
      </c>
      <c r="C17" s="309">
        <v>93</v>
      </c>
      <c r="D17" s="309">
        <v>78</v>
      </c>
      <c r="E17" s="318">
        <v>0.83870967741935487</v>
      </c>
      <c r="F17" s="319"/>
      <c r="G17" s="313">
        <v>4.1474358974358978</v>
      </c>
      <c r="H17" s="313">
        <v>1.1536146491404187</v>
      </c>
      <c r="I17" s="309">
        <v>1294</v>
      </c>
      <c r="J17" s="309">
        <v>1542.8461538461538</v>
      </c>
      <c r="K17" s="310">
        <v>1.2391966488860917E-3</v>
      </c>
    </row>
    <row r="18" spans="1:11" ht="15" customHeight="1" x14ac:dyDescent="0.25">
      <c r="A18" s="104" t="s">
        <v>409</v>
      </c>
      <c r="B18" s="130" t="str">
        <f>VLOOKUP(A18,'0 Järjestäjätiedot'!A:H,2,FALSE)</f>
        <v>Ahlmanin koulun Säätiö sr</v>
      </c>
      <c r="C18" s="309">
        <v>216</v>
      </c>
      <c r="D18" s="309">
        <v>107</v>
      </c>
      <c r="E18" s="318">
        <v>0.49537037037037035</v>
      </c>
      <c r="F18" s="319"/>
      <c r="G18" s="313">
        <v>4.303719008264463</v>
      </c>
      <c r="H18" s="313">
        <v>0.9117611984654288</v>
      </c>
      <c r="I18" s="309">
        <v>1841.9917355371902</v>
      </c>
      <c r="J18" s="309">
        <v>2344.2980474584424</v>
      </c>
      <c r="K18" s="310">
        <v>1.8829137805857917E-3</v>
      </c>
    </row>
    <row r="19" spans="1:11" ht="15" customHeight="1" x14ac:dyDescent="0.25">
      <c r="A19" s="104" t="s">
        <v>277</v>
      </c>
      <c r="B19" s="130" t="str">
        <f>VLOOKUP(A19,'0 Järjestäjätiedot'!A:H,2,FALSE)</f>
        <v>Tampereen Aikuiskoulutussäätiö sr</v>
      </c>
      <c r="C19" s="309">
        <v>2253</v>
      </c>
      <c r="D19" s="309">
        <v>940</v>
      </c>
      <c r="E19" s="318">
        <v>0.4172214824678207</v>
      </c>
      <c r="F19" s="319"/>
      <c r="G19" s="313">
        <v>4.2566137566137563</v>
      </c>
      <c r="H19" s="313">
        <v>1.029342608325043</v>
      </c>
      <c r="I19" s="309">
        <v>16004.867724867723</v>
      </c>
      <c r="J19" s="309">
        <v>20088.509894028408</v>
      </c>
      <c r="K19" s="310">
        <v>1.6134864827408699E-2</v>
      </c>
    </row>
    <row r="20" spans="1:11" ht="15" customHeight="1" x14ac:dyDescent="0.25">
      <c r="A20" s="104" t="s">
        <v>250</v>
      </c>
      <c r="B20" s="130" t="str">
        <f>VLOOKUP(A20,'0 Järjestäjätiedot'!A:H,2,FALSE)</f>
        <v>Varalan Säätiö sr</v>
      </c>
      <c r="C20" s="309">
        <v>149</v>
      </c>
      <c r="D20" s="309">
        <v>120</v>
      </c>
      <c r="E20" s="318">
        <v>0.80536912751677847</v>
      </c>
      <c r="F20" s="319"/>
      <c r="G20" s="313">
        <v>4.5645833333333332</v>
      </c>
      <c r="H20" s="313">
        <v>0.79319753301992191</v>
      </c>
      <c r="I20" s="309">
        <v>2191</v>
      </c>
      <c r="J20" s="309">
        <v>2720.4916666666668</v>
      </c>
      <c r="K20" s="310">
        <v>2.1850682572930316E-3</v>
      </c>
    </row>
    <row r="21" spans="1:11" ht="15" customHeight="1" x14ac:dyDescent="0.25">
      <c r="A21" s="104" t="s">
        <v>350</v>
      </c>
      <c r="B21" s="130" t="str">
        <f>VLOOKUP(A21,'0 Järjestäjätiedot'!A:H,2,FALSE)</f>
        <v>Kouvolan Aikuiskoulutussäätiö sr</v>
      </c>
      <c r="C21" s="309">
        <v>513</v>
      </c>
      <c r="D21" s="309">
        <v>218</v>
      </c>
      <c r="E21" s="318">
        <v>0.42495126705653019</v>
      </c>
      <c r="F21" s="319"/>
      <c r="G21" s="313">
        <v>4.306192660550459</v>
      </c>
      <c r="H21" s="313">
        <v>0.99034708008288763</v>
      </c>
      <c r="I21" s="309">
        <v>3755</v>
      </c>
      <c r="J21" s="309">
        <v>4721.202397508825</v>
      </c>
      <c r="K21" s="310">
        <v>3.7920165760670552E-3</v>
      </c>
    </row>
    <row r="22" spans="1:11" ht="15" customHeight="1" x14ac:dyDescent="0.25">
      <c r="A22" s="104" t="s">
        <v>349</v>
      </c>
      <c r="B22" s="130" t="str">
        <f>VLOOKUP(A22,'0 Järjestäjätiedot'!A:H,2,FALSE)</f>
        <v>Kouvolan kaupunki</v>
      </c>
      <c r="C22" s="309">
        <v>801</v>
      </c>
      <c r="D22" s="309">
        <v>720</v>
      </c>
      <c r="E22" s="318">
        <v>0.898876404494382</v>
      </c>
      <c r="F22" s="319"/>
      <c r="G22" s="313">
        <v>4.2225694444444448</v>
      </c>
      <c r="H22" s="313">
        <v>0.999710545974695</v>
      </c>
      <c r="I22" s="309">
        <v>12161</v>
      </c>
      <c r="J22" s="309">
        <v>13529.112500000001</v>
      </c>
      <c r="K22" s="310">
        <v>1.0866430739454463E-2</v>
      </c>
    </row>
    <row r="23" spans="1:11" ht="15" customHeight="1" x14ac:dyDescent="0.25">
      <c r="A23" s="104" t="s">
        <v>257</v>
      </c>
      <c r="B23" s="130" t="str">
        <f>VLOOKUP(A23,'0 Järjestäjätiedot'!A:H,2,FALSE)</f>
        <v>Valkealan Kristillisen Kansanopiston kannatusyhdistys r.y.</v>
      </c>
      <c r="C23" s="309">
        <v>16</v>
      </c>
      <c r="D23" s="309">
        <v>15</v>
      </c>
      <c r="E23" s="318">
        <v>0.9375</v>
      </c>
      <c r="F23" s="319"/>
      <c r="G23" s="313">
        <v>4</v>
      </c>
      <c r="H23" s="313">
        <v>1.6329931618554525</v>
      </c>
      <c r="I23" s="309">
        <v>240</v>
      </c>
      <c r="J23" s="309">
        <v>256</v>
      </c>
      <c r="K23" s="310">
        <v>2.0561631587440361E-4</v>
      </c>
    </row>
    <row r="24" spans="1:11" ht="15" customHeight="1" x14ac:dyDescent="0.25">
      <c r="A24" s="104" t="s">
        <v>273</v>
      </c>
      <c r="B24" s="130" t="str">
        <f>VLOOKUP(A24,'0 Järjestäjätiedot'!A:H,2,FALSE)</f>
        <v>Tanhuvaaran Säätiö sr</v>
      </c>
      <c r="C24" s="309">
        <v>30</v>
      </c>
      <c r="D24" s="309">
        <v>29</v>
      </c>
      <c r="E24" s="318">
        <v>0.96666666666666667</v>
      </c>
      <c r="F24" s="319"/>
      <c r="G24" s="313">
        <v>4.4827586206896548</v>
      </c>
      <c r="H24" s="313">
        <v>0.77105792327579237</v>
      </c>
      <c r="I24" s="309">
        <v>520</v>
      </c>
      <c r="J24" s="309">
        <v>537.93103448275861</v>
      </c>
      <c r="K24" s="310">
        <v>4.3206014650332651E-4</v>
      </c>
    </row>
    <row r="25" spans="1:11" ht="15" customHeight="1" x14ac:dyDescent="0.25">
      <c r="A25" s="104" t="s">
        <v>378</v>
      </c>
      <c r="B25" s="130" t="str">
        <f>VLOOKUP(A25,'0 Järjestäjätiedot'!A:H,2,FALSE)</f>
        <v>Itä-Suomen Liikuntaopisto Oy</v>
      </c>
      <c r="C25" s="309">
        <v>90</v>
      </c>
      <c r="D25" s="309">
        <v>63</v>
      </c>
      <c r="E25" s="318">
        <v>0.7</v>
      </c>
      <c r="F25" s="319"/>
      <c r="G25" s="313">
        <v>4.4404761904761907</v>
      </c>
      <c r="H25" s="313">
        <v>0.90874748718489073</v>
      </c>
      <c r="I25" s="309">
        <v>1119</v>
      </c>
      <c r="J25" s="309">
        <v>1424.9765625</v>
      </c>
      <c r="K25" s="310">
        <v>1.144525121049304E-3</v>
      </c>
    </row>
    <row r="26" spans="1:11" ht="15" customHeight="1" x14ac:dyDescent="0.25">
      <c r="A26" s="104" t="s">
        <v>268</v>
      </c>
      <c r="B26" s="130" t="str">
        <f>VLOOKUP(A26,'0 Järjestäjätiedot'!A:H,2,FALSE)</f>
        <v>Tohtori Matthias Ingmanin säätiö sr</v>
      </c>
      <c r="C26" s="309">
        <v>92</v>
      </c>
      <c r="D26" s="309">
        <v>68</v>
      </c>
      <c r="E26" s="318">
        <v>0.73913043478260865</v>
      </c>
      <c r="F26" s="319"/>
      <c r="G26" s="313">
        <v>4.1470588235294121</v>
      </c>
      <c r="H26" s="313">
        <v>0.98912774828236572</v>
      </c>
      <c r="I26" s="309">
        <v>1128</v>
      </c>
      <c r="J26" s="309">
        <v>1428.1913988657845</v>
      </c>
      <c r="K26" s="310">
        <v>1.147107241399584E-3</v>
      </c>
    </row>
    <row r="27" spans="1:11" ht="15" customHeight="1" x14ac:dyDescent="0.25">
      <c r="A27" s="104" t="s">
        <v>364</v>
      </c>
      <c r="B27" s="130" t="str">
        <f>VLOOKUP(A27,'0 Järjestäjätiedot'!A:H,2,FALSE)</f>
        <v>Kaustisen Evankelisen Opiston Kannatusyhdistys ry</v>
      </c>
      <c r="C27" s="309">
        <v>37</v>
      </c>
      <c r="D27" s="309">
        <v>21</v>
      </c>
      <c r="E27" s="318">
        <v>0.56756756756756754</v>
      </c>
      <c r="F27" s="319"/>
      <c r="G27" s="313">
        <v>3.7738095238095237</v>
      </c>
      <c r="H27" s="313">
        <v>1.061795317870706</v>
      </c>
      <c r="I27" s="309">
        <v>317</v>
      </c>
      <c r="J27" s="309">
        <v>405.89574963476986</v>
      </c>
      <c r="K27" s="310">
        <v>3.2601089323820579E-4</v>
      </c>
    </row>
    <row r="28" spans="1:11" ht="15" customHeight="1" x14ac:dyDescent="0.25">
      <c r="A28" s="104" t="s">
        <v>342</v>
      </c>
      <c r="B28" s="130" t="str">
        <f>VLOOKUP(A28,'0 Järjestäjätiedot'!A:H,2,FALSE)</f>
        <v>Kuortaneen Urheiluopistosäätiö sr</v>
      </c>
      <c r="C28" s="309">
        <v>90</v>
      </c>
      <c r="D28" s="309">
        <v>65</v>
      </c>
      <c r="E28" s="318">
        <v>0.72222222222222221</v>
      </c>
      <c r="F28" s="319"/>
      <c r="G28" s="313">
        <v>4.3884615384615389</v>
      </c>
      <c r="H28" s="313">
        <v>0.84527051795310271</v>
      </c>
      <c r="I28" s="309">
        <v>1141</v>
      </c>
      <c r="J28" s="309">
        <v>1448.5901813271607</v>
      </c>
      <c r="K28" s="310">
        <v>1.1634913136575199E-3</v>
      </c>
    </row>
    <row r="29" spans="1:11" ht="15" customHeight="1" x14ac:dyDescent="0.25">
      <c r="A29" s="104" t="s">
        <v>320</v>
      </c>
      <c r="B29" s="130" t="str">
        <f>VLOOKUP(A29,'0 Järjestäjätiedot'!A:H,2,FALSE)</f>
        <v>Oulun kaupunki</v>
      </c>
      <c r="C29" s="309">
        <v>22</v>
      </c>
      <c r="D29" s="309">
        <v>22</v>
      </c>
      <c r="E29" s="318">
        <v>1</v>
      </c>
      <c r="F29" s="319"/>
      <c r="G29" s="313">
        <v>4.8068181818181817</v>
      </c>
      <c r="H29" s="313">
        <v>0.42259895413152854</v>
      </c>
      <c r="I29" s="309">
        <v>423</v>
      </c>
      <c r="J29" s="309">
        <v>423</v>
      </c>
      <c r="K29" s="310">
        <v>3.3974883443309658E-4</v>
      </c>
    </row>
    <row r="30" spans="1:11" ht="15" customHeight="1" x14ac:dyDescent="0.25">
      <c r="A30" s="104" t="s">
        <v>327</v>
      </c>
      <c r="B30" s="130" t="str">
        <f>VLOOKUP(A30,'0 Järjestäjätiedot'!A:H,2,FALSE)</f>
        <v>Marttayhdistysten liitto ry</v>
      </c>
      <c r="C30" s="309">
        <v>150</v>
      </c>
      <c r="D30" s="309">
        <v>125</v>
      </c>
      <c r="E30" s="318">
        <v>0.83333333333333337</v>
      </c>
      <c r="F30" s="319"/>
      <c r="G30" s="313">
        <v>4.4480000000000004</v>
      </c>
      <c r="H30" s="313">
        <v>0.83862745006349193</v>
      </c>
      <c r="I30" s="309">
        <v>2224</v>
      </c>
      <c r="J30" s="309">
        <v>2668.7999999999997</v>
      </c>
      <c r="K30" s="310">
        <v>2.1435500929906574E-3</v>
      </c>
    </row>
    <row r="31" spans="1:11" ht="15" customHeight="1" x14ac:dyDescent="0.25">
      <c r="A31" s="104" t="s">
        <v>304</v>
      </c>
      <c r="B31" s="130" t="str">
        <f>VLOOKUP(A31,'0 Järjestäjätiedot'!A:H,2,FALSE)</f>
        <v>Raahen Porvari- ja Kauppakoulurahasto sr</v>
      </c>
      <c r="C31" s="309">
        <v>186</v>
      </c>
      <c r="D31" s="309">
        <v>71</v>
      </c>
      <c r="E31" s="318">
        <v>0.38172043010752688</v>
      </c>
      <c r="F31" s="319"/>
      <c r="G31" s="313">
        <v>4.25</v>
      </c>
      <c r="H31" s="313">
        <v>1.0374916331657278</v>
      </c>
      <c r="I31" s="309">
        <v>1207</v>
      </c>
      <c r="J31" s="309">
        <v>1501.5400886301884</v>
      </c>
      <c r="K31" s="310">
        <v>1.2060200826635344E-3</v>
      </c>
    </row>
    <row r="32" spans="1:11" ht="15" customHeight="1" x14ac:dyDescent="0.25">
      <c r="A32" s="104" t="s">
        <v>311</v>
      </c>
      <c r="B32" s="130" t="str">
        <f>VLOOKUP(A32,'0 Järjestäjätiedot'!A:H,2,FALSE)</f>
        <v>Peräpohjolan Kansanopiston kannatusyhdistys ry</v>
      </c>
      <c r="C32" s="309">
        <v>25</v>
      </c>
      <c r="D32" s="309">
        <v>16</v>
      </c>
      <c r="E32" s="318">
        <v>0.64</v>
      </c>
      <c r="F32" s="319"/>
      <c r="G32" s="313">
        <v>4.21875</v>
      </c>
      <c r="H32" s="313">
        <v>1.0226917607470982</v>
      </c>
      <c r="I32" s="309">
        <v>270</v>
      </c>
      <c r="J32" s="309">
        <v>345.6</v>
      </c>
      <c r="K32" s="310">
        <v>2.7758202643044487E-4</v>
      </c>
    </row>
    <row r="33" spans="1:11" ht="15" customHeight="1" x14ac:dyDescent="0.25">
      <c r="A33" s="104" t="s">
        <v>301</v>
      </c>
      <c r="B33" s="130" t="str">
        <f>VLOOKUP(A33,'0 Järjestäjätiedot'!A:H,2,FALSE)</f>
        <v>Raudaskylän Kristillinen Opisto r.y.</v>
      </c>
      <c r="C33" s="309">
        <v>15</v>
      </c>
      <c r="D33" s="309">
        <v>10</v>
      </c>
      <c r="E33" s="318">
        <v>0.66666666666666663</v>
      </c>
      <c r="F33" s="319"/>
      <c r="G33" s="313">
        <v>4.4749999999999996</v>
      </c>
      <c r="H33" s="313">
        <v>0.80583807306431154</v>
      </c>
      <c r="I33" s="309">
        <v>179</v>
      </c>
      <c r="J33" s="309">
        <v>228.72222222222226</v>
      </c>
      <c r="K33" s="310">
        <v>1.8370711207789058E-4</v>
      </c>
    </row>
    <row r="34" spans="1:11" ht="15" customHeight="1" x14ac:dyDescent="0.25">
      <c r="A34" s="104" t="s">
        <v>384</v>
      </c>
      <c r="B34" s="130" t="str">
        <f>VLOOKUP(A34,'0 Järjestäjätiedot'!A:H,2,FALSE)</f>
        <v>Laajasalon opiston säätiö sr</v>
      </c>
      <c r="C34" s="309">
        <v>0</v>
      </c>
      <c r="D34" s="309">
        <v>0</v>
      </c>
      <c r="E34" s="318"/>
      <c r="F34" s="319"/>
      <c r="G34" s="313"/>
      <c r="H34" s="313"/>
      <c r="I34" s="309">
        <v>0</v>
      </c>
      <c r="J34" s="309">
        <v>0</v>
      </c>
      <c r="K34" s="310">
        <v>0</v>
      </c>
    </row>
    <row r="35" spans="1:11" ht="15" customHeight="1" x14ac:dyDescent="0.25">
      <c r="A35" s="104" t="s">
        <v>385</v>
      </c>
      <c r="B35" s="130" t="str">
        <f>VLOOKUP(A35,'0 Järjestäjätiedot'!A:H,2,FALSE)</f>
        <v>Helsingin Konservatorion Säätiö sr</v>
      </c>
      <c r="C35" s="309">
        <v>41</v>
      </c>
      <c r="D35" s="309">
        <v>27</v>
      </c>
      <c r="E35" s="318">
        <v>0.65853658536585369</v>
      </c>
      <c r="F35" s="319"/>
      <c r="G35" s="313">
        <v>4.2314814814814818</v>
      </c>
      <c r="H35" s="313">
        <v>1.1353452850669381</v>
      </c>
      <c r="I35" s="309">
        <v>457</v>
      </c>
      <c r="J35" s="309">
        <v>584.30787105889351</v>
      </c>
      <c r="K35" s="310">
        <v>4.6930949915447551E-4</v>
      </c>
    </row>
    <row r="36" spans="1:11" ht="15" customHeight="1" x14ac:dyDescent="0.25">
      <c r="A36" s="104" t="s">
        <v>389</v>
      </c>
      <c r="B36" s="130" t="str">
        <f>VLOOKUP(A36,'0 Järjestäjätiedot'!A:H,2,FALSE)</f>
        <v>Helsingin kaupunki</v>
      </c>
      <c r="C36" s="309">
        <v>5970</v>
      </c>
      <c r="D36" s="309">
        <v>1691</v>
      </c>
      <c r="E36" s="318">
        <v>0.28324958123953098</v>
      </c>
      <c r="F36" s="319"/>
      <c r="G36" s="313">
        <v>4.0385866351271433</v>
      </c>
      <c r="H36" s="313">
        <v>1.1281653601616624</v>
      </c>
      <c r="I36" s="309">
        <v>27317</v>
      </c>
      <c r="J36" s="309">
        <v>32858.70529484297</v>
      </c>
      <c r="K36" s="310">
        <v>2.6391741902845198E-2</v>
      </c>
    </row>
    <row r="37" spans="1:11" ht="15" customHeight="1" x14ac:dyDescent="0.25">
      <c r="A37" s="104" t="s">
        <v>381</v>
      </c>
      <c r="B37" s="130" t="str">
        <f>VLOOKUP(A37,'0 Järjestäjätiedot'!A:H,2,FALSE)</f>
        <v>Invalidisäätiö sr</v>
      </c>
      <c r="C37" s="309">
        <v>439</v>
      </c>
      <c r="D37" s="309">
        <v>323</v>
      </c>
      <c r="E37" s="318">
        <v>0.73576309794988615</v>
      </c>
      <c r="F37" s="319"/>
      <c r="G37" s="313">
        <v>4.3537151702786376</v>
      </c>
      <c r="H37" s="313">
        <v>0.94153889215236153</v>
      </c>
      <c r="I37" s="309">
        <v>5625</v>
      </c>
      <c r="J37" s="309">
        <v>7126.0329253493383</v>
      </c>
      <c r="K37" s="310">
        <v>5.7235493629298039E-3</v>
      </c>
    </row>
    <row r="38" spans="1:11" ht="15" customHeight="1" x14ac:dyDescent="0.25">
      <c r="A38" s="104" t="s">
        <v>387</v>
      </c>
      <c r="B38" s="130" t="str">
        <f>VLOOKUP(A38,'0 Järjestäjätiedot'!A:H,2,FALSE)</f>
        <v>Hengitysliitto ry</v>
      </c>
      <c r="C38" s="309">
        <v>637</v>
      </c>
      <c r="D38" s="309">
        <v>537</v>
      </c>
      <c r="E38" s="318">
        <v>0.84301412872841441</v>
      </c>
      <c r="F38" s="319"/>
      <c r="G38" s="313">
        <v>4.2593109869646186</v>
      </c>
      <c r="H38" s="313">
        <v>0.97848450549595978</v>
      </c>
      <c r="I38" s="309">
        <v>9149</v>
      </c>
      <c r="J38" s="309">
        <v>10852.724394785848</v>
      </c>
      <c r="K38" s="310">
        <v>8.7167859658442669E-3</v>
      </c>
    </row>
    <row r="39" spans="1:11" ht="15" customHeight="1" x14ac:dyDescent="0.25">
      <c r="A39" s="104" t="s">
        <v>328</v>
      </c>
      <c r="B39" s="130" t="str">
        <f>VLOOKUP(A39,'0 Järjestäjätiedot'!A:H,2,FALSE)</f>
        <v>Markkinointi-instituutin Kannatusyhdistys ry</v>
      </c>
      <c r="C39" s="309">
        <v>1608</v>
      </c>
      <c r="D39" s="309">
        <v>533</v>
      </c>
      <c r="E39" s="318">
        <v>0.33146766169154229</v>
      </c>
      <c r="F39" s="319"/>
      <c r="G39" s="313">
        <v>4.2091932457786116</v>
      </c>
      <c r="H39" s="313">
        <v>1.0593769214580711</v>
      </c>
      <c r="I39" s="309">
        <v>8974</v>
      </c>
      <c r="J39" s="309">
        <v>10992.381484045298</v>
      </c>
      <c r="K39" s="310">
        <v>8.8289569665445447E-3</v>
      </c>
    </row>
    <row r="40" spans="1:11" ht="15" customHeight="1" x14ac:dyDescent="0.25">
      <c r="A40" s="104" t="s">
        <v>262</v>
      </c>
      <c r="B40" s="130" t="str">
        <f>VLOOKUP(A40,'0 Järjestäjätiedot'!A:H,2,FALSE)</f>
        <v>Työtehoseura ry</v>
      </c>
      <c r="C40" s="309">
        <v>1439</v>
      </c>
      <c r="D40" s="309">
        <v>598</v>
      </c>
      <c r="E40" s="318">
        <v>0.41556636553161919</v>
      </c>
      <c r="F40" s="319"/>
      <c r="G40" s="313">
        <v>4.1183774834437088</v>
      </c>
      <c r="H40" s="313">
        <v>1.0918390903553983</v>
      </c>
      <c r="I40" s="309">
        <v>9851.1589403973503</v>
      </c>
      <c r="J40" s="309">
        <v>12360.004648127471</v>
      </c>
      <c r="K40" s="310">
        <v>9.9274164841346678E-3</v>
      </c>
    </row>
    <row r="41" spans="1:11" ht="15" customHeight="1" x14ac:dyDescent="0.25">
      <c r="A41" s="104" t="s">
        <v>283</v>
      </c>
      <c r="B41" s="130" t="str">
        <f>VLOOKUP(A41,'0 Järjestäjätiedot'!A:H,2,FALSE)</f>
        <v>Suomen Urheiluopiston Kannatusosakeyhtiö</v>
      </c>
      <c r="C41" s="309">
        <v>210</v>
      </c>
      <c r="D41" s="309">
        <v>155</v>
      </c>
      <c r="E41" s="318">
        <v>0.73809523809523814</v>
      </c>
      <c r="F41" s="319"/>
      <c r="G41" s="313">
        <v>4.4096774193548391</v>
      </c>
      <c r="H41" s="313">
        <v>0.90691068618465387</v>
      </c>
      <c r="I41" s="309">
        <v>2734</v>
      </c>
      <c r="J41" s="309">
        <v>3462.2045422335605</v>
      </c>
      <c r="K41" s="310">
        <v>2.7808036827253542E-3</v>
      </c>
    </row>
    <row r="42" spans="1:11" ht="15" customHeight="1" x14ac:dyDescent="0.25">
      <c r="A42" s="104" t="s">
        <v>332</v>
      </c>
      <c r="B42" s="130" t="str">
        <f>VLOOKUP(A42,'0 Järjestäjätiedot'!A:H,2,FALSE)</f>
        <v>Luksia, Länsi-Uudenmaan koulutuskuntayhtymä</v>
      </c>
      <c r="C42" s="309">
        <v>924</v>
      </c>
      <c r="D42" s="309">
        <v>601</v>
      </c>
      <c r="E42" s="318">
        <v>0.65043290043290047</v>
      </c>
      <c r="F42" s="319"/>
      <c r="G42" s="313">
        <v>4.0445091514143092</v>
      </c>
      <c r="H42" s="313">
        <v>1.1227190818595254</v>
      </c>
      <c r="I42" s="309">
        <v>9723</v>
      </c>
      <c r="J42" s="309">
        <v>12438.273256868604</v>
      </c>
      <c r="K42" s="310">
        <v>9.9902809488923508E-3</v>
      </c>
    </row>
    <row r="43" spans="1:11" ht="15" customHeight="1" x14ac:dyDescent="0.25">
      <c r="A43" s="104" t="s">
        <v>397</v>
      </c>
      <c r="B43" s="130" t="str">
        <f>VLOOKUP(A43,'0 Järjestäjätiedot'!A:H,2,FALSE)</f>
        <v>Eurajoen kristillisen opiston kannatusyhdistys r.y.</v>
      </c>
      <c r="C43" s="309">
        <v>30</v>
      </c>
      <c r="D43" s="309">
        <v>26</v>
      </c>
      <c r="E43" s="318">
        <v>0.8666666666666667</v>
      </c>
      <c r="F43" s="319"/>
      <c r="G43" s="313">
        <v>4.3173076923076925</v>
      </c>
      <c r="H43" s="313">
        <v>1.1116898353141604</v>
      </c>
      <c r="I43" s="309">
        <v>449</v>
      </c>
      <c r="J43" s="309">
        <v>518.07692307692298</v>
      </c>
      <c r="K43" s="310">
        <v>4.1611354790087378E-4</v>
      </c>
    </row>
    <row r="44" spans="1:11" ht="15" customHeight="1" x14ac:dyDescent="0.25">
      <c r="A44" s="104" t="s">
        <v>292</v>
      </c>
      <c r="B44" s="130" t="str">
        <f>VLOOKUP(A44,'0 Järjestäjätiedot'!A:H,2,FALSE)</f>
        <v>Satakunnan koulutuskuntayhtymä</v>
      </c>
      <c r="C44" s="309">
        <v>1619</v>
      </c>
      <c r="D44" s="309">
        <v>1333</v>
      </c>
      <c r="E44" s="318">
        <v>0.82334774552192713</v>
      </c>
      <c r="F44" s="319"/>
      <c r="G44" s="313">
        <v>4.2104276069017255</v>
      </c>
      <c r="H44" s="313">
        <v>1.0526197291860042</v>
      </c>
      <c r="I44" s="309">
        <v>22450</v>
      </c>
      <c r="J44" s="309">
        <v>27266.72918229557</v>
      </c>
      <c r="K44" s="310">
        <v>2.1900329689096502E-2</v>
      </c>
    </row>
    <row r="45" spans="1:11" ht="15" customHeight="1" x14ac:dyDescent="0.25">
      <c r="A45" s="104" t="s">
        <v>333</v>
      </c>
      <c r="B45" s="130" t="str">
        <f>VLOOKUP(A45,'0 Järjestäjätiedot'!A:H,2,FALSE)</f>
        <v>Lounais-Suomen koulutuskuntayhtymä</v>
      </c>
      <c r="C45" s="309">
        <v>949</v>
      </c>
      <c r="D45" s="309">
        <v>748</v>
      </c>
      <c r="E45" s="318">
        <v>0.78819810326659645</v>
      </c>
      <c r="F45" s="319"/>
      <c r="G45" s="313">
        <v>4.0564839572192515</v>
      </c>
      <c r="H45" s="313">
        <v>1.1492054641971079</v>
      </c>
      <c r="I45" s="309">
        <v>12137</v>
      </c>
      <c r="J45" s="309">
        <v>15214.691678945503</v>
      </c>
      <c r="K45" s="310">
        <v>1.2220268946053587E-2</v>
      </c>
    </row>
    <row r="46" spans="1:11" ht="15" customHeight="1" x14ac:dyDescent="0.25">
      <c r="A46" s="104" t="s">
        <v>303</v>
      </c>
      <c r="B46" s="130" t="str">
        <f>VLOOKUP(A46,'0 Järjestäjätiedot'!A:H,2,FALSE)</f>
        <v>Raision Seudun Koulutuskuntayhtymä</v>
      </c>
      <c r="C46" s="309">
        <v>1095</v>
      </c>
      <c r="D46" s="309">
        <v>787</v>
      </c>
      <c r="E46" s="318">
        <v>0.71872146118721458</v>
      </c>
      <c r="F46" s="319"/>
      <c r="G46" s="313">
        <v>4.3151207115628969</v>
      </c>
      <c r="H46" s="313">
        <v>1.0181641696735928</v>
      </c>
      <c r="I46" s="309">
        <v>13584</v>
      </c>
      <c r="J46" s="309">
        <v>17254.919090511037</v>
      </c>
      <c r="K46" s="310">
        <v>1.3858956617585134E-2</v>
      </c>
    </row>
    <row r="47" spans="1:11" ht="15" customHeight="1" x14ac:dyDescent="0.25">
      <c r="A47" s="104" t="s">
        <v>264</v>
      </c>
      <c r="B47" s="130" t="str">
        <f>VLOOKUP(A47,'0 Järjestäjätiedot'!A:H,2,FALSE)</f>
        <v>Turun kaupunki</v>
      </c>
      <c r="C47" s="309">
        <v>2612</v>
      </c>
      <c r="D47" s="309">
        <v>1729</v>
      </c>
      <c r="E47" s="318">
        <v>0.66194486983154666</v>
      </c>
      <c r="F47" s="319"/>
      <c r="G47" s="313">
        <v>4.0637651821862351</v>
      </c>
      <c r="H47" s="313">
        <v>1.1400536471969061</v>
      </c>
      <c r="I47" s="309">
        <v>28105</v>
      </c>
      <c r="J47" s="309">
        <v>35925.278456499327</v>
      </c>
      <c r="K47" s="310">
        <v>2.8854778917919814E-2</v>
      </c>
    </row>
    <row r="48" spans="1:11" ht="15" customHeight="1" x14ac:dyDescent="0.25">
      <c r="A48" s="104" t="s">
        <v>293</v>
      </c>
      <c r="B48" s="130" t="str">
        <f>VLOOKUP(A48,'0 Järjestäjätiedot'!A:H,2,FALSE)</f>
        <v>SASKY koulutuskuntayhtymä</v>
      </c>
      <c r="C48" s="309">
        <v>2667</v>
      </c>
      <c r="D48" s="309">
        <v>993</v>
      </c>
      <c r="E48" s="318">
        <v>0.37232845894263217</v>
      </c>
      <c r="F48" s="319"/>
      <c r="G48" s="313">
        <v>3.9705438066465257</v>
      </c>
      <c r="H48" s="313">
        <v>1.1841468798998913</v>
      </c>
      <c r="I48" s="309">
        <v>15771</v>
      </c>
      <c r="J48" s="309">
        <v>19567.938103117282</v>
      </c>
      <c r="K48" s="310">
        <v>1.5716747429770864E-2</v>
      </c>
    </row>
    <row r="49" spans="1:11" ht="15" customHeight="1" x14ac:dyDescent="0.25">
      <c r="A49" s="104" t="s">
        <v>351</v>
      </c>
      <c r="B49" s="130" t="str">
        <f>VLOOKUP(A49,'0 Järjestäjätiedot'!A:H,2,FALSE)</f>
        <v>Koulutuskuntayhtymä Tavastia</v>
      </c>
      <c r="C49" s="309">
        <v>1279</v>
      </c>
      <c r="D49" s="309">
        <v>821</v>
      </c>
      <c r="E49" s="318">
        <v>0.64190774042220489</v>
      </c>
      <c r="F49" s="319"/>
      <c r="G49" s="313">
        <v>4.1801336573511545</v>
      </c>
      <c r="H49" s="313">
        <v>1.048950864684377</v>
      </c>
      <c r="I49" s="309">
        <v>13727.558930741192</v>
      </c>
      <c r="J49" s="309">
        <v>17569.599610557449</v>
      </c>
      <c r="K49" s="310">
        <v>1.4111704466059293E-2</v>
      </c>
    </row>
    <row r="50" spans="1:11" ht="15" customHeight="1" x14ac:dyDescent="0.25">
      <c r="A50" s="104" t="s">
        <v>275</v>
      </c>
      <c r="B50" s="130" t="str">
        <f>VLOOKUP(A50,'0 Järjestäjätiedot'!A:H,2,FALSE)</f>
        <v>Tampereen Musiikkiopiston Säätiö sr</v>
      </c>
      <c r="C50" s="309">
        <v>36</v>
      </c>
      <c r="D50" s="309">
        <v>31</v>
      </c>
      <c r="E50" s="318">
        <v>0.86111111111111116</v>
      </c>
      <c r="F50" s="319"/>
      <c r="G50" s="313">
        <v>4.387096774193548</v>
      </c>
      <c r="H50" s="313">
        <v>0.83963968289163848</v>
      </c>
      <c r="I50" s="309">
        <v>544</v>
      </c>
      <c r="J50" s="309">
        <v>631.74193548387086</v>
      </c>
      <c r="K50" s="310">
        <v>5.0740800530296368E-4</v>
      </c>
    </row>
    <row r="51" spans="1:11" ht="15" customHeight="1" x14ac:dyDescent="0.25">
      <c r="A51" s="104" t="s">
        <v>258</v>
      </c>
      <c r="B51" s="130" t="str">
        <f>VLOOKUP(A51,'0 Järjestäjätiedot'!A:H,2,FALSE)</f>
        <v>Valkeakosken seudun koulutuskuntayhtymä</v>
      </c>
      <c r="C51" s="309">
        <v>655</v>
      </c>
      <c r="D51" s="309">
        <v>424</v>
      </c>
      <c r="E51" s="318">
        <v>0.64732824427480917</v>
      </c>
      <c r="F51" s="319"/>
      <c r="G51" s="313">
        <v>4.307511737089202</v>
      </c>
      <c r="H51" s="313">
        <v>0.97830451498531013</v>
      </c>
      <c r="I51" s="309">
        <v>7305.5399061032867</v>
      </c>
      <c r="J51" s="309">
        <v>9347.4385227121329</v>
      </c>
      <c r="K51" s="310">
        <v>7.507757312119322E-3</v>
      </c>
    </row>
    <row r="52" spans="1:11" ht="15" customHeight="1" x14ac:dyDescent="0.25">
      <c r="A52" s="104" t="s">
        <v>284</v>
      </c>
      <c r="B52" s="130" t="str">
        <f>VLOOKUP(A52,'0 Järjestäjätiedot'!A:H,2,FALSE)</f>
        <v>Suomen Nuoriso-Opiston kannatusyhdistys ry</v>
      </c>
      <c r="C52" s="309">
        <v>27</v>
      </c>
      <c r="D52" s="309">
        <v>26</v>
      </c>
      <c r="E52" s="318">
        <v>0.96296296296296291</v>
      </c>
      <c r="F52" s="319"/>
      <c r="G52" s="313">
        <v>4.240384615384615</v>
      </c>
      <c r="H52" s="313">
        <v>1.0874740696085634</v>
      </c>
      <c r="I52" s="309">
        <v>441</v>
      </c>
      <c r="J52" s="309">
        <v>457.96153846153851</v>
      </c>
      <c r="K52" s="310">
        <v>3.6782954824467006E-4</v>
      </c>
    </row>
    <row r="53" spans="1:11" ht="15" customHeight="1" x14ac:dyDescent="0.25">
      <c r="A53" s="104" t="s">
        <v>380</v>
      </c>
      <c r="B53" s="130" t="str">
        <f>VLOOKUP(A53,'0 Järjestäjätiedot'!A:H,2,FALSE)</f>
        <v>Itä-Karjalan Kansanopistoseura ry</v>
      </c>
      <c r="C53" s="309">
        <v>42</v>
      </c>
      <c r="D53" s="309">
        <v>34</v>
      </c>
      <c r="E53" s="318">
        <v>0.80952380952380953</v>
      </c>
      <c r="F53" s="319"/>
      <c r="G53" s="313">
        <v>4.4264705882352944</v>
      </c>
      <c r="H53" s="313">
        <v>0.92061642505232522</v>
      </c>
      <c r="I53" s="309">
        <v>602</v>
      </c>
      <c r="J53" s="309">
        <v>743.64705882352939</v>
      </c>
      <c r="K53" s="310">
        <v>5.9728893963332033E-4</v>
      </c>
    </row>
    <row r="54" spans="1:11" ht="15" customHeight="1" x14ac:dyDescent="0.25">
      <c r="A54" s="104" t="s">
        <v>379</v>
      </c>
      <c r="B54" s="130" t="str">
        <f>VLOOKUP(A54,'0 Järjestäjätiedot'!A:H,2,FALSE)</f>
        <v>Itä-Savon koulutuskuntayhtymä</v>
      </c>
      <c r="C54" s="309">
        <v>1104</v>
      </c>
      <c r="D54" s="309">
        <v>410</v>
      </c>
      <c r="E54" s="318">
        <v>0.37137681159420288</v>
      </c>
      <c r="F54" s="319"/>
      <c r="G54" s="313">
        <v>4.3067073170731707</v>
      </c>
      <c r="H54" s="313">
        <v>0.91821878852754735</v>
      </c>
      <c r="I54" s="309">
        <v>7063</v>
      </c>
      <c r="J54" s="309">
        <v>8761.0524567490083</v>
      </c>
      <c r="K54" s="310">
        <v>7.0367786302309521E-3</v>
      </c>
    </row>
    <row r="55" spans="1:11" ht="15" customHeight="1" x14ac:dyDescent="0.25">
      <c r="A55" s="104" t="s">
        <v>357</v>
      </c>
      <c r="B55" s="130" t="str">
        <f>VLOOKUP(A55,'0 Järjestäjätiedot'!A:H,2,FALSE)</f>
        <v>Kiteen Evankelisen Kansanopiston kannatusyhdistys ry</v>
      </c>
      <c r="C55" s="309">
        <v>10</v>
      </c>
      <c r="D55" s="309">
        <v>9</v>
      </c>
      <c r="E55" s="318">
        <v>0.9</v>
      </c>
      <c r="F55" s="319"/>
      <c r="G55" s="313">
        <v>4.5999999999999996</v>
      </c>
      <c r="H55" s="313">
        <v>0.7000000000000014</v>
      </c>
      <c r="I55" s="309">
        <v>165.6</v>
      </c>
      <c r="J55" s="309">
        <v>184</v>
      </c>
      <c r="K55" s="310">
        <v>1.477867270347276E-4</v>
      </c>
    </row>
    <row r="56" spans="1:11" ht="15" customHeight="1" x14ac:dyDescent="0.25">
      <c r="A56" s="104" t="s">
        <v>344</v>
      </c>
      <c r="B56" s="130" t="str">
        <f>VLOOKUP(A56,'0 Järjestäjätiedot'!A:H,2,FALSE)</f>
        <v>Kuopion Konservatorion kannatusyhdistys r.y.</v>
      </c>
      <c r="C56" s="309">
        <v>29</v>
      </c>
      <c r="D56" s="309">
        <v>15</v>
      </c>
      <c r="E56" s="318">
        <v>0.51724137931034486</v>
      </c>
      <c r="F56" s="319"/>
      <c r="G56" s="313">
        <v>4.2941176470588234</v>
      </c>
      <c r="H56" s="313">
        <v>0.94025690371445947</v>
      </c>
      <c r="I56" s="309">
        <v>257.64705882352939</v>
      </c>
      <c r="J56" s="309">
        <v>328.731683220256</v>
      </c>
      <c r="K56" s="310">
        <v>2.6403358443336146E-4</v>
      </c>
    </row>
    <row r="57" spans="1:11" ht="15" customHeight="1" x14ac:dyDescent="0.25">
      <c r="A57" s="104" t="s">
        <v>343</v>
      </c>
      <c r="B57" s="130" t="str">
        <f>VLOOKUP(A57,'0 Järjestäjätiedot'!A:H,2,FALSE)</f>
        <v>Kuopion Talouskoulun kannatusyhdistys r.y.</v>
      </c>
      <c r="C57" s="309">
        <v>52</v>
      </c>
      <c r="D57" s="309">
        <v>45</v>
      </c>
      <c r="E57" s="318">
        <v>0.86538461538461542</v>
      </c>
      <c r="F57" s="319"/>
      <c r="G57" s="313">
        <v>4.3499999999999996</v>
      </c>
      <c r="H57" s="313">
        <v>0.98587242807801956</v>
      </c>
      <c r="I57" s="309">
        <v>783</v>
      </c>
      <c r="J57" s="309">
        <v>904.8</v>
      </c>
      <c r="K57" s="310">
        <v>7.2672516641859516E-4</v>
      </c>
    </row>
    <row r="58" spans="1:11" ht="15" customHeight="1" x14ac:dyDescent="0.25">
      <c r="A58" s="104" t="s">
        <v>309</v>
      </c>
      <c r="B58" s="130" t="str">
        <f>VLOOKUP(A58,'0 Järjestäjätiedot'!A:H,2,FALSE)</f>
        <v>Portaanpää ry</v>
      </c>
      <c r="C58" s="309">
        <v>34</v>
      </c>
      <c r="D58" s="309">
        <v>34</v>
      </c>
      <c r="E58" s="318">
        <v>1</v>
      </c>
      <c r="F58" s="319"/>
      <c r="G58" s="313">
        <v>4.1838235294117645</v>
      </c>
      <c r="H58" s="313">
        <v>0.9866923792201262</v>
      </c>
      <c r="I58" s="309">
        <v>569</v>
      </c>
      <c r="J58" s="309">
        <v>569</v>
      </c>
      <c r="K58" s="310">
        <v>4.5701438958021737E-4</v>
      </c>
    </row>
    <row r="59" spans="1:11" ht="15" customHeight="1" x14ac:dyDescent="0.25">
      <c r="A59" s="104" t="s">
        <v>372</v>
      </c>
      <c r="B59" s="130" t="str">
        <f>VLOOKUP(A59,'0 Järjestäjätiedot'!A:H,2,FALSE)</f>
        <v>Jyväskylän Koulutuskuntayhtymä</v>
      </c>
      <c r="C59" s="309">
        <v>4904</v>
      </c>
      <c r="D59" s="309">
        <v>2361</v>
      </c>
      <c r="E59" s="318">
        <v>0.48144371941272429</v>
      </c>
      <c r="F59" s="319"/>
      <c r="G59" s="313">
        <v>4.1507835662854724</v>
      </c>
      <c r="H59" s="313">
        <v>1.0489544320057724</v>
      </c>
      <c r="I59" s="309">
        <v>39200</v>
      </c>
      <c r="J59" s="309">
        <v>49794.547505207651</v>
      </c>
      <c r="K59" s="310">
        <v>3.9994419565053799E-2</v>
      </c>
    </row>
    <row r="60" spans="1:11" ht="15" customHeight="1" x14ac:dyDescent="0.25">
      <c r="A60" s="104" t="s">
        <v>366</v>
      </c>
      <c r="B60" s="130" t="str">
        <f>VLOOKUP(A60,'0 Järjestäjätiedot'!A:H,2,FALSE)</f>
        <v>Karstulan Evankelisen Kansanopiston kannatusyhdistys ry</v>
      </c>
      <c r="C60" s="309">
        <v>15</v>
      </c>
      <c r="D60" s="309">
        <v>15</v>
      </c>
      <c r="E60" s="318">
        <v>1</v>
      </c>
      <c r="F60" s="319"/>
      <c r="G60" s="313">
        <v>4.2666666666666666</v>
      </c>
      <c r="H60" s="313">
        <v>0.96378881965339713</v>
      </c>
      <c r="I60" s="309">
        <v>256</v>
      </c>
      <c r="J60" s="309">
        <v>256</v>
      </c>
      <c r="K60" s="310">
        <v>2.0561631587440361E-4</v>
      </c>
    </row>
    <row r="61" spans="1:11" ht="15" customHeight="1" x14ac:dyDescent="0.25">
      <c r="A61" s="104" t="s">
        <v>241</v>
      </c>
      <c r="B61" s="130" t="str">
        <f>VLOOKUP(A61,'0 Järjestäjätiedot'!A:H,2,FALSE)</f>
        <v>Äänekosken Ammatillisen Koulutuksen kuntayhtymä</v>
      </c>
      <c r="C61" s="309">
        <v>1009</v>
      </c>
      <c r="D61" s="309">
        <v>777</v>
      </c>
      <c r="E61" s="318">
        <v>0.77006937561942512</v>
      </c>
      <c r="F61" s="319"/>
      <c r="G61" s="313">
        <v>4.2123552123552122</v>
      </c>
      <c r="H61" s="313">
        <v>1.0187820408689761</v>
      </c>
      <c r="I61" s="309">
        <v>13092</v>
      </c>
      <c r="J61" s="309">
        <v>16478.290880219745</v>
      </c>
      <c r="K61" s="310">
        <v>1.3235177588662371E-2</v>
      </c>
    </row>
    <row r="62" spans="1:11" ht="15" customHeight="1" x14ac:dyDescent="0.25">
      <c r="A62" s="104" t="s">
        <v>281</v>
      </c>
      <c r="B62" s="130" t="str">
        <f>VLOOKUP(A62,'0 Järjestäjätiedot'!A:H,2,FALSE)</f>
        <v>Suomen Yrittäjäopisto Oy</v>
      </c>
      <c r="C62" s="309">
        <v>625</v>
      </c>
      <c r="D62" s="309">
        <v>289</v>
      </c>
      <c r="E62" s="318">
        <v>0.46239999999999998</v>
      </c>
      <c r="F62" s="319"/>
      <c r="G62" s="313">
        <v>4.1805555555555554</v>
      </c>
      <c r="H62" s="313">
        <v>1.0289674243453366</v>
      </c>
      <c r="I62" s="309">
        <v>4832.7222222222226</v>
      </c>
      <c r="J62" s="309">
        <v>6120.4397201111124</v>
      </c>
      <c r="K62" s="310">
        <v>4.9158682296117692E-3</v>
      </c>
    </row>
    <row r="63" spans="1:11" ht="15" customHeight="1" x14ac:dyDescent="0.25">
      <c r="A63" s="104" t="s">
        <v>347</v>
      </c>
      <c r="B63" s="130" t="str">
        <f>VLOOKUP(A63,'0 Järjestäjätiedot'!A:H,2,FALSE)</f>
        <v>Keski-Pohjanmaan Koulutusyhtymä</v>
      </c>
      <c r="C63" s="309">
        <v>1792</v>
      </c>
      <c r="D63" s="309">
        <v>1060</v>
      </c>
      <c r="E63" s="318">
        <v>0.5915178571428571</v>
      </c>
      <c r="F63" s="319"/>
      <c r="G63" s="313">
        <v>4.2080979284369118</v>
      </c>
      <c r="H63" s="313">
        <v>1.0156544733532231</v>
      </c>
      <c r="I63" s="309">
        <v>17842.335216572505</v>
      </c>
      <c r="J63" s="309">
        <v>22859.489107182169</v>
      </c>
      <c r="K63" s="310">
        <v>1.8360484113241631E-2</v>
      </c>
    </row>
    <row r="64" spans="1:11" ht="15" customHeight="1" x14ac:dyDescent="0.25">
      <c r="A64" s="104" t="s">
        <v>394</v>
      </c>
      <c r="B64" s="130" t="str">
        <f>VLOOKUP(A64,'0 Järjestäjätiedot'!A:H,2,FALSE)</f>
        <v>Fria Kristliga Folkhögskolföreningen FKF rf</v>
      </c>
      <c r="C64" s="309">
        <v>8</v>
      </c>
      <c r="D64" s="309">
        <v>4</v>
      </c>
      <c r="E64" s="318">
        <v>0.5</v>
      </c>
      <c r="F64" s="319"/>
      <c r="G64" s="313">
        <v>3</v>
      </c>
      <c r="H64" s="313">
        <v>1.2747548783981961</v>
      </c>
      <c r="I64" s="309">
        <v>48</v>
      </c>
      <c r="J64" s="309">
        <v>61.125</v>
      </c>
      <c r="K64" s="310">
        <v>4.9094911358683284E-5</v>
      </c>
    </row>
    <row r="65" spans="1:11" ht="15" customHeight="1" x14ac:dyDescent="0.25">
      <c r="A65" s="104" t="s">
        <v>259</v>
      </c>
      <c r="B65" s="130" t="str">
        <f>VLOOKUP(A65,'0 Järjestäjätiedot'!A:H,2,FALSE)</f>
        <v>Vaasan kaupunki</v>
      </c>
      <c r="C65" s="309">
        <v>527</v>
      </c>
      <c r="D65" s="309">
        <v>523</v>
      </c>
      <c r="E65" s="318">
        <v>0.99240986717267554</v>
      </c>
      <c r="F65" s="319"/>
      <c r="G65" s="313">
        <v>4.0706106870229011</v>
      </c>
      <c r="H65" s="313">
        <v>1.0819365276956507</v>
      </c>
      <c r="I65" s="309">
        <v>8515.7175572519081</v>
      </c>
      <c r="J65" s="309">
        <v>8580.8473282442737</v>
      </c>
      <c r="K65" s="310">
        <v>6.8920399012277608E-3</v>
      </c>
    </row>
    <row r="66" spans="1:11" ht="15" customHeight="1" x14ac:dyDescent="0.25">
      <c r="A66" s="104" t="s">
        <v>392</v>
      </c>
      <c r="B66" s="130" t="str">
        <f>VLOOKUP(A66,'0 Järjestäjätiedot'!A:H,2,FALSE)</f>
        <v>Haapaveden Opiston kannatusyhdistys ry</v>
      </c>
      <c r="C66" s="309">
        <v>101</v>
      </c>
      <c r="D66" s="309">
        <v>54</v>
      </c>
      <c r="E66" s="318">
        <v>0.53465346534653468</v>
      </c>
      <c r="F66" s="319"/>
      <c r="G66" s="313">
        <v>4.556451612903226</v>
      </c>
      <c r="H66" s="313">
        <v>0.79110395869641392</v>
      </c>
      <c r="I66" s="309">
        <v>984.19354838709683</v>
      </c>
      <c r="J66" s="309">
        <v>1257.7146453067537</v>
      </c>
      <c r="K66" s="310">
        <v>1.010182233551785E-3</v>
      </c>
    </row>
    <row r="67" spans="1:11" ht="15" customHeight="1" x14ac:dyDescent="0.25">
      <c r="A67" s="104" t="s">
        <v>369</v>
      </c>
      <c r="B67" s="130" t="str">
        <f>VLOOKUP(A67,'0 Järjestäjätiedot'!A:H,2,FALSE)</f>
        <v>Kalajoen Kristillisen Opiston Kannatusyhdistys ry</v>
      </c>
      <c r="C67" s="309">
        <v>81</v>
      </c>
      <c r="D67" s="309">
        <v>68</v>
      </c>
      <c r="E67" s="318">
        <v>0.83950617283950613</v>
      </c>
      <c r="F67" s="319"/>
      <c r="G67" s="313">
        <v>4.2904411764705879</v>
      </c>
      <c r="H67" s="313">
        <v>1.0146992220582802</v>
      </c>
      <c r="I67" s="309">
        <v>1167</v>
      </c>
      <c r="J67" s="309">
        <v>1390.1029411764705</v>
      </c>
      <c r="K67" s="310">
        <v>1.1165150212924947E-3</v>
      </c>
    </row>
    <row r="68" spans="1:11" ht="15" customHeight="1" x14ac:dyDescent="0.25">
      <c r="A68" s="104" t="s">
        <v>374</v>
      </c>
      <c r="B68" s="130" t="str">
        <f>VLOOKUP(A68,'0 Järjestäjätiedot'!A:H,2,FALSE)</f>
        <v>Jokilaaksojen koulutuskuntayhtymä</v>
      </c>
      <c r="C68" s="309">
        <v>1369</v>
      </c>
      <c r="D68" s="309">
        <v>884</v>
      </c>
      <c r="E68" s="318">
        <v>0.64572680788897008</v>
      </c>
      <c r="F68" s="319"/>
      <c r="G68" s="313">
        <v>4.1889140271493215</v>
      </c>
      <c r="H68" s="313">
        <v>1.0526046972711387</v>
      </c>
      <c r="I68" s="309">
        <v>14812</v>
      </c>
      <c r="J68" s="309">
        <v>18953.678892581804</v>
      </c>
      <c r="K68" s="310">
        <v>1.5223381352184049E-2</v>
      </c>
    </row>
    <row r="69" spans="1:11" ht="15" customHeight="1" x14ac:dyDescent="0.25">
      <c r="A69" s="104" t="s">
        <v>305</v>
      </c>
      <c r="B69" s="130" t="str">
        <f>VLOOKUP(A69,'0 Järjestäjätiedot'!A:H,2,FALSE)</f>
        <v>Raahen Koulutuskuntayhtymä</v>
      </c>
      <c r="C69" s="309">
        <v>700</v>
      </c>
      <c r="D69" s="309">
        <v>462</v>
      </c>
      <c r="E69" s="318">
        <v>0.66</v>
      </c>
      <c r="F69" s="319"/>
      <c r="G69" s="313">
        <v>4.2803030303030303</v>
      </c>
      <c r="H69" s="313">
        <v>0.95991156426148894</v>
      </c>
      <c r="I69" s="309">
        <v>7910</v>
      </c>
      <c r="J69" s="309">
        <v>10112.440624999999</v>
      </c>
      <c r="K69" s="310">
        <v>8.1221983820748099E-3</v>
      </c>
    </row>
    <row r="70" spans="1:11" ht="15" customHeight="1" x14ac:dyDescent="0.25">
      <c r="A70" s="104" t="s">
        <v>298</v>
      </c>
      <c r="B70" s="130" t="str">
        <f>VLOOKUP(A70,'0 Järjestäjätiedot'!A:H,2,FALSE)</f>
        <v>Rovalan Setlementti ry</v>
      </c>
      <c r="C70" s="309">
        <v>52</v>
      </c>
      <c r="D70" s="309">
        <v>29</v>
      </c>
      <c r="E70" s="318">
        <v>0.55769230769230771</v>
      </c>
      <c r="F70" s="319"/>
      <c r="G70" s="313">
        <v>4.1551724137931032</v>
      </c>
      <c r="H70" s="313">
        <v>1.1110995507391757</v>
      </c>
      <c r="I70" s="309">
        <v>482</v>
      </c>
      <c r="J70" s="309">
        <v>616.88847540680467</v>
      </c>
      <c r="K70" s="310">
        <v>4.9547787350986256E-4</v>
      </c>
    </row>
    <row r="71" spans="1:11" ht="15" customHeight="1" x14ac:dyDescent="0.25">
      <c r="A71" s="104" t="s">
        <v>405</v>
      </c>
      <c r="B71" s="130" t="str">
        <f>VLOOKUP(A71,'0 Järjestäjätiedot'!A:H,2,FALSE)</f>
        <v>Ava-instituutin kannatusyhdistys ry</v>
      </c>
      <c r="C71" s="309">
        <v>171</v>
      </c>
      <c r="D71" s="309">
        <v>146</v>
      </c>
      <c r="E71" s="318">
        <v>0.85380116959064323</v>
      </c>
      <c r="F71" s="319"/>
      <c r="G71" s="313">
        <v>4.4794520547945202</v>
      </c>
      <c r="H71" s="313">
        <v>0.90825120297264728</v>
      </c>
      <c r="I71" s="309">
        <v>2616</v>
      </c>
      <c r="J71" s="309">
        <v>3063.9452054794519</v>
      </c>
      <c r="K71" s="310">
        <v>2.4609262702801854E-3</v>
      </c>
    </row>
    <row r="72" spans="1:11" ht="15" customHeight="1" x14ac:dyDescent="0.25">
      <c r="A72" s="104" t="s">
        <v>276</v>
      </c>
      <c r="B72" s="130" t="str">
        <f>VLOOKUP(A72,'0 Järjestäjätiedot'!A:H,2,FALSE)</f>
        <v>Tampereen kaupunki</v>
      </c>
      <c r="C72" s="309">
        <v>4771</v>
      </c>
      <c r="D72" s="309">
        <v>2703</v>
      </c>
      <c r="E72" s="318">
        <v>0.56654789352337032</v>
      </c>
      <c r="F72" s="319"/>
      <c r="G72" s="313">
        <v>4.2200620664476087</v>
      </c>
      <c r="H72" s="313">
        <v>1.0338568653607516</v>
      </c>
      <c r="I72" s="309">
        <v>45627.311062431545</v>
      </c>
      <c r="J72" s="309">
        <v>58420.102499858287</v>
      </c>
      <c r="K72" s="310">
        <v>4.6922368160257411E-2</v>
      </c>
    </row>
    <row r="73" spans="1:11" ht="15" customHeight="1" x14ac:dyDescent="0.25">
      <c r="A73" s="104" t="s">
        <v>318</v>
      </c>
      <c r="B73" s="130" t="str">
        <f>VLOOKUP(A73,'0 Järjestäjätiedot'!A:H,2,FALSE)</f>
        <v>Pohjois-Karjalan Koulutuskuntayhtymä</v>
      </c>
      <c r="C73" s="309">
        <v>2638</v>
      </c>
      <c r="D73" s="309">
        <v>1749</v>
      </c>
      <c r="E73" s="318">
        <v>0.66300227445034121</v>
      </c>
      <c r="F73" s="319"/>
      <c r="G73" s="313">
        <v>4.227739726027397</v>
      </c>
      <c r="H73" s="313">
        <v>0.96754757806482239</v>
      </c>
      <c r="I73" s="309">
        <v>29577.267123287671</v>
      </c>
      <c r="J73" s="309">
        <v>37804.154244180674</v>
      </c>
      <c r="K73" s="310">
        <v>3.036387078295363E-2</v>
      </c>
    </row>
    <row r="74" spans="1:11" ht="15" customHeight="1" x14ac:dyDescent="0.25">
      <c r="A74" s="104" t="s">
        <v>367</v>
      </c>
      <c r="B74" s="130" t="str">
        <f>VLOOKUP(A74,'0 Järjestäjätiedot'!A:H,2,FALSE)</f>
        <v>Kansan Sivistystyön Liitto KSL ry</v>
      </c>
      <c r="C74" s="309">
        <v>18</v>
      </c>
      <c r="D74" s="309">
        <v>15</v>
      </c>
      <c r="E74" s="318">
        <v>0.83333333333333337</v>
      </c>
      <c r="F74" s="319"/>
      <c r="G74" s="313">
        <v>4.8166666666666664</v>
      </c>
      <c r="H74" s="313">
        <v>0.4278499217664512</v>
      </c>
      <c r="I74" s="309">
        <v>289</v>
      </c>
      <c r="J74" s="309">
        <v>346.8</v>
      </c>
      <c r="K74" s="310">
        <v>2.7854585291110616E-4</v>
      </c>
    </row>
    <row r="75" spans="1:11" ht="15" customHeight="1" x14ac:dyDescent="0.25">
      <c r="A75" s="104" t="s">
        <v>341</v>
      </c>
      <c r="B75" s="130" t="str">
        <f>VLOOKUP(A75,'0 Järjestäjätiedot'!A:H,2,FALSE)</f>
        <v>Keski-Uudenmaan koulutuskuntayhtymä</v>
      </c>
      <c r="C75" s="309">
        <v>3791</v>
      </c>
      <c r="D75" s="309">
        <v>464</v>
      </c>
      <c r="E75" s="318">
        <v>0.12239514639936692</v>
      </c>
      <c r="F75" s="319"/>
      <c r="G75" s="313">
        <v>4.2914870689655169</v>
      </c>
      <c r="H75" s="313">
        <v>0.98022074167964712</v>
      </c>
      <c r="I75" s="309">
        <v>7965</v>
      </c>
      <c r="J75" s="309">
        <v>8785.7285581276119</v>
      </c>
      <c r="K75" s="310">
        <v>7.0565981968544354E-3</v>
      </c>
    </row>
    <row r="76" spans="1:11" ht="15" customHeight="1" x14ac:dyDescent="0.25">
      <c r="A76" s="104" t="s">
        <v>368</v>
      </c>
      <c r="B76" s="130" t="str">
        <f>VLOOKUP(A76,'0 Järjestäjätiedot'!A:H,2,FALSE)</f>
        <v>Kanneljärven Kansanopiston kannatusyhdistys r.y.</v>
      </c>
      <c r="C76" s="309">
        <v>66</v>
      </c>
      <c r="D76" s="309">
        <v>42</v>
      </c>
      <c r="E76" s="318">
        <v>0.63636363636363635</v>
      </c>
      <c r="F76" s="319"/>
      <c r="G76" s="313">
        <v>4.3273809523809526</v>
      </c>
      <c r="H76" s="313">
        <v>0.99700159889972828</v>
      </c>
      <c r="I76" s="309">
        <v>727</v>
      </c>
      <c r="J76" s="309">
        <v>930.71771694214874</v>
      </c>
      <c r="K76" s="310">
        <v>7.4754198467453365E-4</v>
      </c>
    </row>
    <row r="77" spans="1:11" ht="15" customHeight="1" x14ac:dyDescent="0.25">
      <c r="A77" s="104" t="s">
        <v>243</v>
      </c>
      <c r="B77" s="130" t="str">
        <f>VLOOKUP(A77,'0 Järjestäjätiedot'!A:H,2,FALSE)</f>
        <v>Ylä-Savon koulutuskuntayhtymä</v>
      </c>
      <c r="C77" s="309">
        <v>1089</v>
      </c>
      <c r="D77" s="309">
        <v>226</v>
      </c>
      <c r="E77" s="318">
        <v>0.20752984389348025</v>
      </c>
      <c r="F77" s="319"/>
      <c r="G77" s="313">
        <v>4.2522123893805306</v>
      </c>
      <c r="H77" s="313">
        <v>1.0350578065283873</v>
      </c>
      <c r="I77" s="309">
        <v>3844</v>
      </c>
      <c r="J77" s="309">
        <v>4462.5451771239404</v>
      </c>
      <c r="K77" s="310">
        <v>3.5842660107160643E-3</v>
      </c>
    </row>
    <row r="78" spans="1:11" ht="15" customHeight="1" x14ac:dyDescent="0.25">
      <c r="A78" s="104" t="s">
        <v>307</v>
      </c>
      <c r="B78" s="130" t="str">
        <f>VLOOKUP(A78,'0 Järjestäjätiedot'!A:H,2,FALSE)</f>
        <v>Pohjois-Savon Kansanopistoseura r.y.</v>
      </c>
      <c r="C78" s="309">
        <v>25</v>
      </c>
      <c r="D78" s="309">
        <v>24</v>
      </c>
      <c r="E78" s="318">
        <v>0.96</v>
      </c>
      <c r="F78" s="319"/>
      <c r="G78" s="313">
        <v>4.604166666666667</v>
      </c>
      <c r="H78" s="313">
        <v>0.58593171293438406</v>
      </c>
      <c r="I78" s="309">
        <v>442</v>
      </c>
      <c r="J78" s="309">
        <v>460.41666666666669</v>
      </c>
      <c r="K78" s="310">
        <v>3.6980147955927083E-4</v>
      </c>
    </row>
    <row r="79" spans="1:11" ht="15" customHeight="1" x14ac:dyDescent="0.25">
      <c r="A79" s="104" t="s">
        <v>370</v>
      </c>
      <c r="B79" s="130" t="str">
        <f>VLOOKUP(A79,'0 Järjestäjätiedot'!A:H,2,FALSE)</f>
        <v>Kajaanin kaupunki</v>
      </c>
      <c r="C79" s="309">
        <v>1792</v>
      </c>
      <c r="D79" s="309">
        <v>1104</v>
      </c>
      <c r="E79" s="318">
        <v>0.6160714285714286</v>
      </c>
      <c r="F79" s="319"/>
      <c r="G79" s="313">
        <v>4.2409420289855069</v>
      </c>
      <c r="H79" s="313">
        <v>1.0096497367118291</v>
      </c>
      <c r="I79" s="309">
        <v>18728</v>
      </c>
      <c r="J79" s="309">
        <v>23991.470882493624</v>
      </c>
      <c r="K79" s="310">
        <v>1.9269679122134242E-2</v>
      </c>
    </row>
    <row r="80" spans="1:11" ht="15" customHeight="1" x14ac:dyDescent="0.25">
      <c r="A80" s="104" t="s">
        <v>359</v>
      </c>
      <c r="B80" s="130" t="str">
        <f>VLOOKUP(A80,'0 Järjestäjätiedot'!A:H,2,FALSE)</f>
        <v>Kirkkopalvelut ry</v>
      </c>
      <c r="C80" s="309">
        <v>1243</v>
      </c>
      <c r="D80" s="309">
        <v>460</v>
      </c>
      <c r="E80" s="318">
        <v>0.37007240547063558</v>
      </c>
      <c r="F80" s="319"/>
      <c r="G80" s="313">
        <v>4.2880434782608692</v>
      </c>
      <c r="H80" s="313">
        <v>0.96890148367425044</v>
      </c>
      <c r="I80" s="309">
        <v>7890</v>
      </c>
      <c r="J80" s="309">
        <v>9783.1888648838976</v>
      </c>
      <c r="K80" s="310">
        <v>7.8577470777379515E-3</v>
      </c>
    </row>
    <row r="81" spans="1:11" ht="15" customHeight="1" x14ac:dyDescent="0.25">
      <c r="A81" s="104" t="s">
        <v>302</v>
      </c>
      <c r="B81" s="130" t="str">
        <f>VLOOKUP(A81,'0 Järjestäjätiedot'!A:H,2,FALSE)</f>
        <v>Rakennusteollisuus RT ry</v>
      </c>
      <c r="C81" s="309">
        <v>104</v>
      </c>
      <c r="D81" s="309">
        <v>67</v>
      </c>
      <c r="E81" s="318">
        <v>0.64423076923076927</v>
      </c>
      <c r="F81" s="319"/>
      <c r="G81" s="313">
        <v>3.6194029850746268</v>
      </c>
      <c r="H81" s="313">
        <v>1.2416573909130495</v>
      </c>
      <c r="I81" s="309">
        <v>970</v>
      </c>
      <c r="J81" s="309">
        <v>1241.3299452200442</v>
      </c>
      <c r="K81" s="310">
        <v>9.9702222703406534E-4</v>
      </c>
    </row>
    <row r="82" spans="1:11" ht="15" customHeight="1" x14ac:dyDescent="0.25">
      <c r="A82" s="104" t="s">
        <v>329</v>
      </c>
      <c r="B82" s="130" t="str">
        <f>VLOOKUP(A82,'0 Järjestäjätiedot'!A:H,2,FALSE)</f>
        <v>Maalariammattikoulun kannatusyhdistys r.y.</v>
      </c>
      <c r="C82" s="309">
        <v>115</v>
      </c>
      <c r="D82" s="309">
        <v>66</v>
      </c>
      <c r="E82" s="318">
        <v>0.57391304347826089</v>
      </c>
      <c r="F82" s="319"/>
      <c r="G82" s="313">
        <v>4.4520547945205475</v>
      </c>
      <c r="H82" s="313">
        <v>0.81578764176078178</v>
      </c>
      <c r="I82" s="309">
        <v>1175.3424657534247</v>
      </c>
      <c r="J82" s="309">
        <v>1505.2826475386489</v>
      </c>
      <c r="K82" s="310">
        <v>1.2090260638147085E-3</v>
      </c>
    </row>
    <row r="83" spans="1:11" ht="15" customHeight="1" x14ac:dyDescent="0.25">
      <c r="A83" s="104" t="s">
        <v>375</v>
      </c>
      <c r="B83" s="130" t="str">
        <f>VLOOKUP(A83,'0 Järjestäjätiedot'!A:H,2,FALSE)</f>
        <v>Joensuun kaupunki</v>
      </c>
      <c r="C83" s="309">
        <v>26</v>
      </c>
      <c r="D83" s="309">
        <v>19</v>
      </c>
      <c r="E83" s="318">
        <v>0.73076923076923073</v>
      </c>
      <c r="F83" s="319"/>
      <c r="G83" s="313">
        <v>4</v>
      </c>
      <c r="H83" s="313">
        <v>1.0513149660756933</v>
      </c>
      <c r="I83" s="309">
        <v>304</v>
      </c>
      <c r="J83" s="309">
        <v>385.43860946745559</v>
      </c>
      <c r="K83" s="310">
        <v>3.0957994872832516E-4</v>
      </c>
    </row>
    <row r="84" spans="1:11" ht="15" customHeight="1" x14ac:dyDescent="0.25">
      <c r="A84" s="104" t="s">
        <v>265</v>
      </c>
      <c r="B84" s="130" t="str">
        <f>VLOOKUP(A84,'0 Järjestäjätiedot'!A:H,2,FALSE)</f>
        <v>Turun Ammattiopistosäätiö sr</v>
      </c>
      <c r="C84" s="309">
        <v>178</v>
      </c>
      <c r="D84" s="309">
        <v>125</v>
      </c>
      <c r="E84" s="318">
        <v>0.702247191011236</v>
      </c>
      <c r="F84" s="319"/>
      <c r="G84" s="313">
        <v>4.0579999999999998</v>
      </c>
      <c r="H84" s="313">
        <v>1.1111417551329812</v>
      </c>
      <c r="I84" s="309">
        <v>2029</v>
      </c>
      <c r="J84" s="309">
        <v>2583.0842528957837</v>
      </c>
      <c r="K84" s="310">
        <v>2.0747041706000676E-3</v>
      </c>
    </row>
    <row r="85" spans="1:11" ht="15" customHeight="1" x14ac:dyDescent="0.25">
      <c r="A85" s="104" t="s">
        <v>308</v>
      </c>
      <c r="B85" s="130" t="str">
        <f>VLOOKUP(A85,'0 Järjestäjätiedot'!A:H,2,FALSE)</f>
        <v>Pohjois-Satakunnan Kansanopiston kannatusyhdistys r.y.</v>
      </c>
      <c r="C85" s="309">
        <v>169</v>
      </c>
      <c r="D85" s="309">
        <v>93</v>
      </c>
      <c r="E85" s="318">
        <v>0.55029585798816572</v>
      </c>
      <c r="F85" s="319"/>
      <c r="G85" s="313">
        <v>4.2792553191489358</v>
      </c>
      <c r="H85" s="313">
        <v>0.96436258229531235</v>
      </c>
      <c r="I85" s="309">
        <v>1591.8829787234042</v>
      </c>
      <c r="J85" s="309">
        <v>2036.5276058191425</v>
      </c>
      <c r="K85" s="310">
        <v>1.6357160292384833E-3</v>
      </c>
    </row>
    <row r="86" spans="1:11" ht="15" customHeight="1" x14ac:dyDescent="0.25">
      <c r="A86" s="104" t="s">
        <v>316</v>
      </c>
      <c r="B86" s="130" t="str">
        <f>VLOOKUP(A86,'0 Järjestäjätiedot'!A:H,2,FALSE)</f>
        <v>Paasikiviopistoyhdistys r.y.</v>
      </c>
      <c r="C86" s="309">
        <v>46</v>
      </c>
      <c r="D86" s="309">
        <v>38</v>
      </c>
      <c r="E86" s="318">
        <v>0.82608695652173914</v>
      </c>
      <c r="F86" s="319"/>
      <c r="G86" s="313">
        <v>4.5460526315789478</v>
      </c>
      <c r="H86" s="313">
        <v>0.84944885993858699</v>
      </c>
      <c r="I86" s="309">
        <v>691</v>
      </c>
      <c r="J86" s="309">
        <v>836.47368421052636</v>
      </c>
      <c r="K86" s="310">
        <v>6.7184623934866299E-4</v>
      </c>
    </row>
    <row r="87" spans="1:11" ht="15" customHeight="1" x14ac:dyDescent="0.25">
      <c r="A87" s="104" t="s">
        <v>401</v>
      </c>
      <c r="B87" s="130" t="str">
        <f>VLOOKUP(A87,'0 Järjestäjätiedot'!A:H,2,FALSE)</f>
        <v>Espoon seudun koulutuskuntayhtymä Omnia</v>
      </c>
      <c r="C87" s="309">
        <v>4269</v>
      </c>
      <c r="D87" s="309">
        <v>2192</v>
      </c>
      <c r="E87" s="318">
        <v>0.51346919653314593</v>
      </c>
      <c r="F87" s="319"/>
      <c r="G87" s="313">
        <v>4.078353102189781</v>
      </c>
      <c r="H87" s="313">
        <v>1.0981264848726198</v>
      </c>
      <c r="I87" s="309">
        <v>35759</v>
      </c>
      <c r="J87" s="309">
        <v>45607.04033485728</v>
      </c>
      <c r="K87" s="310">
        <v>3.6631060982768283E-2</v>
      </c>
    </row>
    <row r="88" spans="1:11" ht="15" customHeight="1" x14ac:dyDescent="0.25">
      <c r="A88" s="104" t="s">
        <v>365</v>
      </c>
      <c r="B88" s="130" t="str">
        <f>VLOOKUP(A88,'0 Järjestäjätiedot'!A:H,2,FALSE)</f>
        <v>Kauppiaitten Kauppaoppilaitos Oy</v>
      </c>
      <c r="C88" s="309">
        <v>492</v>
      </c>
      <c r="D88" s="309">
        <v>411</v>
      </c>
      <c r="E88" s="318">
        <v>0.83536585365853655</v>
      </c>
      <c r="F88" s="319"/>
      <c r="G88" s="313">
        <v>4.2299270072992705</v>
      </c>
      <c r="H88" s="313">
        <v>0.99911383827136968</v>
      </c>
      <c r="I88" s="309">
        <v>6954</v>
      </c>
      <c r="J88" s="309">
        <v>8324.4963503649633</v>
      </c>
      <c r="K88" s="310">
        <v>6.6861416838748522E-3</v>
      </c>
    </row>
    <row r="89" spans="1:11" ht="15" customHeight="1" x14ac:dyDescent="0.25">
      <c r="A89" s="104" t="s">
        <v>354</v>
      </c>
      <c r="B89" s="130" t="str">
        <f>VLOOKUP(A89,'0 Järjestäjätiedot'!A:H,2,FALSE)</f>
        <v>Korpisaaren Säätiö sr</v>
      </c>
      <c r="C89" s="309">
        <v>68</v>
      </c>
      <c r="D89" s="309">
        <v>62</v>
      </c>
      <c r="E89" s="318">
        <v>0.91176470588235292</v>
      </c>
      <c r="F89" s="319"/>
      <c r="G89" s="313">
        <v>4.375</v>
      </c>
      <c r="H89" s="313">
        <v>0.90724014319217372</v>
      </c>
      <c r="I89" s="309">
        <v>1085</v>
      </c>
      <c r="J89" s="309">
        <v>1190</v>
      </c>
      <c r="K89" s="310">
        <v>9.5579459332242303E-4</v>
      </c>
    </row>
    <row r="90" spans="1:11" ht="15" customHeight="1" x14ac:dyDescent="0.25">
      <c r="A90" s="104" t="s">
        <v>335</v>
      </c>
      <c r="B90" s="130" t="str">
        <f>VLOOKUP(A90,'0 Järjestäjätiedot'!A:H,2,FALSE)</f>
        <v>Lounais-Hämeen koulutuskuntayhtymä</v>
      </c>
      <c r="C90" s="309">
        <v>845</v>
      </c>
      <c r="D90" s="309">
        <v>463</v>
      </c>
      <c r="E90" s="318">
        <v>0.54792899408284024</v>
      </c>
      <c r="F90" s="319"/>
      <c r="G90" s="313">
        <v>4.1387096774193548</v>
      </c>
      <c r="H90" s="313">
        <v>1.0876167353551647</v>
      </c>
      <c r="I90" s="309">
        <v>7664.8903225806453</v>
      </c>
      <c r="J90" s="309">
        <v>9804.404394287385</v>
      </c>
      <c r="K90" s="310">
        <v>7.8747871519382253E-3</v>
      </c>
    </row>
    <row r="91" spans="1:11" ht="15" customHeight="1" x14ac:dyDescent="0.25">
      <c r="A91" s="104" t="s">
        <v>282</v>
      </c>
      <c r="B91" s="130" t="str">
        <f>VLOOKUP(A91,'0 Järjestäjätiedot'!A:H,2,FALSE)</f>
        <v>Suomen ympäristöopisto SYKLI Oy</v>
      </c>
      <c r="C91" s="309">
        <v>179</v>
      </c>
      <c r="D91" s="309">
        <v>112</v>
      </c>
      <c r="E91" s="318">
        <v>0.62569832402234637</v>
      </c>
      <c r="F91" s="319"/>
      <c r="G91" s="313">
        <v>4.1629464285714288</v>
      </c>
      <c r="H91" s="313">
        <v>1.0276369724421663</v>
      </c>
      <c r="I91" s="309">
        <v>1865</v>
      </c>
      <c r="J91" s="309">
        <v>2388.5690209419181</v>
      </c>
      <c r="K91" s="310">
        <v>1.918471727725814E-3</v>
      </c>
    </row>
    <row r="92" spans="1:11" ht="15" customHeight="1" x14ac:dyDescent="0.25">
      <c r="A92" s="104" t="s">
        <v>361</v>
      </c>
      <c r="B92" s="130" t="str">
        <f>VLOOKUP(A92,'0 Järjestäjätiedot'!A:H,2,FALSE)</f>
        <v>Kiinteistöalan Koulutussäätiö sr</v>
      </c>
      <c r="C92" s="309">
        <v>117</v>
      </c>
      <c r="D92" s="309">
        <v>55</v>
      </c>
      <c r="E92" s="318">
        <v>0.47008547008547008</v>
      </c>
      <c r="F92" s="319"/>
      <c r="G92" s="313">
        <v>4.4090909090909092</v>
      </c>
      <c r="H92" s="313">
        <v>0.88723733163377871</v>
      </c>
      <c r="I92" s="309">
        <v>970</v>
      </c>
      <c r="J92" s="309">
        <v>1230.0223034918547</v>
      </c>
      <c r="K92" s="310">
        <v>9.8794005659118256E-4</v>
      </c>
    </row>
    <row r="93" spans="1:11" ht="15" customHeight="1" x14ac:dyDescent="0.25">
      <c r="A93" s="104" t="s">
        <v>321</v>
      </c>
      <c r="B93" s="130" t="str">
        <f>VLOOKUP(A93,'0 Järjestäjätiedot'!A:H,2,FALSE)</f>
        <v>Optima samkommun</v>
      </c>
      <c r="C93" s="309">
        <v>511</v>
      </c>
      <c r="D93" s="309">
        <v>397</v>
      </c>
      <c r="E93" s="318">
        <v>0.77690802348336596</v>
      </c>
      <c r="F93" s="319"/>
      <c r="G93" s="313">
        <v>4.0705289672544085</v>
      </c>
      <c r="H93" s="313">
        <v>1.0793752145083286</v>
      </c>
      <c r="I93" s="309">
        <v>6464</v>
      </c>
      <c r="J93" s="309">
        <v>8123.9529336974065</v>
      </c>
      <c r="K93" s="310">
        <v>6.5250674709527879E-3</v>
      </c>
    </row>
    <row r="94" spans="1:11" ht="15" customHeight="1" x14ac:dyDescent="0.25">
      <c r="A94" s="104" t="s">
        <v>313</v>
      </c>
      <c r="B94" s="130" t="str">
        <f>VLOOKUP(A94,'0 Järjestäjätiedot'!A:H,2,FALSE)</f>
        <v>Peimarin koulutuskuntayhtymä</v>
      </c>
      <c r="C94" s="309">
        <v>405</v>
      </c>
      <c r="D94" s="309">
        <v>325</v>
      </c>
      <c r="E94" s="318">
        <v>0.80246913580246915</v>
      </c>
      <c r="F94" s="319"/>
      <c r="G94" s="313">
        <v>4.2</v>
      </c>
      <c r="H94" s="313">
        <v>1.0593022288852276</v>
      </c>
      <c r="I94" s="309">
        <v>5460</v>
      </c>
      <c r="J94" s="309">
        <v>6804</v>
      </c>
      <c r="K94" s="310">
        <v>5.464896145349383E-3</v>
      </c>
    </row>
    <row r="95" spans="1:11" ht="15" customHeight="1" x14ac:dyDescent="0.25">
      <c r="A95" s="104" t="s">
        <v>306</v>
      </c>
      <c r="B95" s="130" t="str">
        <f>VLOOKUP(A95,'0 Järjestäjätiedot'!A:H,2,FALSE)</f>
        <v>Pohjois-Suomen Koulutuskeskussäätiö sr</v>
      </c>
      <c r="C95" s="309">
        <v>351</v>
      </c>
      <c r="D95" s="309">
        <v>197</v>
      </c>
      <c r="E95" s="318">
        <v>0.56125356125356129</v>
      </c>
      <c r="F95" s="319"/>
      <c r="G95" s="313">
        <v>4.2561881188118811</v>
      </c>
      <c r="H95" s="313">
        <v>0.95308842652176384</v>
      </c>
      <c r="I95" s="309">
        <v>3353.8762376237623</v>
      </c>
      <c r="J95" s="309">
        <v>4293.2202347911443</v>
      </c>
      <c r="K95" s="310">
        <v>3.4482661246687386E-3</v>
      </c>
    </row>
    <row r="96" spans="1:11" ht="15" customHeight="1" x14ac:dyDescent="0.25">
      <c r="A96" s="104" t="s">
        <v>345</v>
      </c>
      <c r="B96" s="130" t="str">
        <f>VLOOKUP(A96,'0 Järjestäjätiedot'!A:H,2,FALSE)</f>
        <v>KSAK Oy</v>
      </c>
      <c r="C96" s="309">
        <v>123</v>
      </c>
      <c r="D96" s="309">
        <v>57</v>
      </c>
      <c r="E96" s="318">
        <v>0.46341463414634149</v>
      </c>
      <c r="F96" s="319"/>
      <c r="G96" s="313">
        <v>4.3201754385964914</v>
      </c>
      <c r="H96" s="313">
        <v>0.99918210627592752</v>
      </c>
      <c r="I96" s="309">
        <v>985</v>
      </c>
      <c r="J96" s="309">
        <v>1247.6752119274242</v>
      </c>
      <c r="K96" s="310">
        <v>1.0021186737669246E-3</v>
      </c>
    </row>
    <row r="97" spans="1:11" ht="15" customHeight="1" x14ac:dyDescent="0.25">
      <c r="A97" s="104" t="s">
        <v>330</v>
      </c>
      <c r="B97" s="130" t="str">
        <f>VLOOKUP(A97,'0 Järjestäjätiedot'!A:H,2,FALSE)</f>
        <v>TYA-oppilaitos Oy</v>
      </c>
      <c r="C97" s="309">
        <v>29</v>
      </c>
      <c r="D97" s="309">
        <v>4</v>
      </c>
      <c r="E97" s="318">
        <v>0.13793103448275862</v>
      </c>
      <c r="F97" s="319"/>
      <c r="G97" s="313">
        <v>2.875</v>
      </c>
      <c r="H97" s="313">
        <v>1.4523687548277813</v>
      </c>
      <c r="I97" s="309">
        <v>46</v>
      </c>
      <c r="J97" s="309">
        <v>51.264565992865634</v>
      </c>
      <c r="K97" s="310">
        <v>4.1175121852942455E-5</v>
      </c>
    </row>
    <row r="98" spans="1:11" ht="15" customHeight="1" x14ac:dyDescent="0.25">
      <c r="A98" s="104" t="s">
        <v>315</v>
      </c>
      <c r="B98" s="130" t="str">
        <f>VLOOKUP(A98,'0 Järjestäjätiedot'!A:H,2,FALSE)</f>
        <v>Palkansaajien koulutussäätiö sr</v>
      </c>
      <c r="C98" s="309">
        <v>86</v>
      </c>
      <c r="D98" s="309">
        <v>57</v>
      </c>
      <c r="E98" s="318">
        <v>0.66279069767441856</v>
      </c>
      <c r="F98" s="319"/>
      <c r="G98" s="313">
        <v>4.4726027397260273</v>
      </c>
      <c r="H98" s="313">
        <v>0.79117742567429505</v>
      </c>
      <c r="I98" s="309">
        <v>1019.7534246575343</v>
      </c>
      <c r="J98" s="309">
        <v>1303.4180183244182</v>
      </c>
      <c r="K98" s="310">
        <v>1.0468906678600888E-3</v>
      </c>
    </row>
    <row r="99" spans="1:11" ht="15" customHeight="1" x14ac:dyDescent="0.25">
      <c r="A99" s="104" t="s">
        <v>310</v>
      </c>
      <c r="B99" s="130" t="str">
        <f>VLOOKUP(A99,'0 Järjestäjätiedot'!A:H,2,FALSE)</f>
        <v>Pop &amp; Jazz Konservatorion Säätiö sr</v>
      </c>
      <c r="C99" s="309">
        <v>57</v>
      </c>
      <c r="D99" s="309">
        <v>53</v>
      </c>
      <c r="E99" s="318">
        <v>0.92982456140350878</v>
      </c>
      <c r="F99" s="319"/>
      <c r="G99" s="313">
        <v>4.6556603773584904</v>
      </c>
      <c r="H99" s="313">
        <v>0.64377720696187479</v>
      </c>
      <c r="I99" s="309">
        <v>987</v>
      </c>
      <c r="J99" s="309">
        <v>1061.4905660377358</v>
      </c>
      <c r="K99" s="310">
        <v>8.5257726376607244E-4</v>
      </c>
    </row>
    <row r="100" spans="1:11" ht="15" customHeight="1" x14ac:dyDescent="0.25">
      <c r="A100" s="104" t="s">
        <v>263</v>
      </c>
      <c r="B100" s="130" t="str">
        <f>VLOOKUP(A100,'0 Järjestäjätiedot'!A:H,2,FALSE)</f>
        <v>Turun kristillisen opiston säätiö sr</v>
      </c>
      <c r="C100" s="309">
        <v>138</v>
      </c>
      <c r="D100" s="309">
        <v>103</v>
      </c>
      <c r="E100" s="318">
        <v>0.74637681159420288</v>
      </c>
      <c r="F100" s="319"/>
      <c r="G100" s="313">
        <v>4.5703883495145634</v>
      </c>
      <c r="H100" s="313">
        <v>0.76157529933900192</v>
      </c>
      <c r="I100" s="309">
        <v>1883</v>
      </c>
      <c r="J100" s="309">
        <v>2381.0738437959462</v>
      </c>
      <c r="K100" s="310">
        <v>1.9124516858837015E-3</v>
      </c>
    </row>
    <row r="101" spans="1:11" ht="15" customHeight="1" x14ac:dyDescent="0.25">
      <c r="A101" s="104" t="s">
        <v>386</v>
      </c>
      <c r="B101" s="130" t="str">
        <f>VLOOKUP(A101,'0 Järjestäjätiedot'!A:H,2,FALSE)</f>
        <v>Hevosopisto Oy</v>
      </c>
      <c r="C101" s="309">
        <v>277</v>
      </c>
      <c r="D101" s="309">
        <v>71</v>
      </c>
      <c r="E101" s="318">
        <v>0.2563176895306859</v>
      </c>
      <c r="F101" s="319"/>
      <c r="G101" s="313">
        <v>3.1690140845070425</v>
      </c>
      <c r="H101" s="313">
        <v>1.3736546862238426</v>
      </c>
      <c r="I101" s="309">
        <v>900</v>
      </c>
      <c r="J101" s="309">
        <v>1070.073611346427</v>
      </c>
      <c r="K101" s="310">
        <v>8.594710690604325E-4</v>
      </c>
    </row>
    <row r="102" spans="1:11" ht="15" customHeight="1" x14ac:dyDescent="0.25">
      <c r="A102" s="104" t="s">
        <v>376</v>
      </c>
      <c r="B102" s="130" t="str">
        <f>VLOOKUP(A102,'0 Järjestäjätiedot'!A:H,2,FALSE)</f>
        <v>Jyväskylän Talouskouluyhdistys r.y.</v>
      </c>
      <c r="C102" s="309">
        <v>68</v>
      </c>
      <c r="D102" s="309">
        <v>55</v>
      </c>
      <c r="E102" s="318">
        <v>0.80882352941176472</v>
      </c>
      <c r="F102" s="319"/>
      <c r="G102" s="313">
        <v>4.7727272727272725</v>
      </c>
      <c r="H102" s="313">
        <v>0.64185938574923274</v>
      </c>
      <c r="I102" s="309">
        <v>1050</v>
      </c>
      <c r="J102" s="309">
        <v>1298.1818181818182</v>
      </c>
      <c r="K102" s="310">
        <v>1.0426850108971888E-3</v>
      </c>
    </row>
    <row r="103" spans="1:11" ht="15" customHeight="1" x14ac:dyDescent="0.25">
      <c r="A103" s="104" t="s">
        <v>297</v>
      </c>
      <c r="B103" s="130" t="str">
        <f>VLOOKUP(A103,'0 Järjestäjätiedot'!A:H,2,FALSE)</f>
        <v>Rovaniemen Koulutuskuntayhtymä</v>
      </c>
      <c r="C103" s="309">
        <v>1624</v>
      </c>
      <c r="D103" s="309">
        <v>1016</v>
      </c>
      <c r="E103" s="318">
        <v>0.62561576354679804</v>
      </c>
      <c r="F103" s="319"/>
      <c r="G103" s="313">
        <v>4.1513287401574805</v>
      </c>
      <c r="H103" s="313">
        <v>1.0548366324051148</v>
      </c>
      <c r="I103" s="309">
        <v>16871</v>
      </c>
      <c r="J103" s="309">
        <v>21607.320156852875</v>
      </c>
      <c r="K103" s="310">
        <v>1.7354756119417298E-2</v>
      </c>
    </row>
    <row r="104" spans="1:11" ht="15" customHeight="1" x14ac:dyDescent="0.25">
      <c r="A104" s="104" t="s">
        <v>280</v>
      </c>
      <c r="B104" s="130" t="str">
        <f>VLOOKUP(A104,'0 Järjestäjätiedot'!A:H,2,FALSE)</f>
        <v>Suupohjan Koulutuskuntayhtymä</v>
      </c>
      <c r="C104" s="309">
        <v>149</v>
      </c>
      <c r="D104" s="309">
        <v>131</v>
      </c>
      <c r="E104" s="318">
        <v>0.87919463087248317</v>
      </c>
      <c r="F104" s="319"/>
      <c r="G104" s="313">
        <v>3.9446564885496183</v>
      </c>
      <c r="H104" s="313">
        <v>1.1503360263866111</v>
      </c>
      <c r="I104" s="309">
        <v>2067</v>
      </c>
      <c r="J104" s="309">
        <v>2351.0152671755727</v>
      </c>
      <c r="K104" s="310">
        <v>1.888308975785617E-3</v>
      </c>
    </row>
    <row r="105" spans="1:11" ht="15" customHeight="1" x14ac:dyDescent="0.25">
      <c r="A105" s="104" t="s">
        <v>278</v>
      </c>
      <c r="B105" s="130" t="str">
        <f>VLOOKUP(A105,'0 Järjestäjätiedot'!A:H,2,FALSE)</f>
        <v>Svenska Österbottens förbund för Utbildning och Kultur</v>
      </c>
      <c r="C105" s="309">
        <v>910</v>
      </c>
      <c r="D105" s="309">
        <v>534</v>
      </c>
      <c r="E105" s="318">
        <v>0.58681318681318684</v>
      </c>
      <c r="F105" s="319"/>
      <c r="G105" s="313">
        <v>4.2691947565543069</v>
      </c>
      <c r="H105" s="313">
        <v>0.96769277879387638</v>
      </c>
      <c r="I105" s="309">
        <v>9119</v>
      </c>
      <c r="J105" s="309">
        <v>11682.479905053737</v>
      </c>
      <c r="K105" s="310">
        <v>9.3832362435699278E-3</v>
      </c>
    </row>
    <row r="106" spans="1:11" ht="15" customHeight="1" x14ac:dyDescent="0.25">
      <c r="A106" s="104" t="s">
        <v>319</v>
      </c>
      <c r="B106" s="130" t="str">
        <f>VLOOKUP(A106,'0 Järjestäjätiedot'!A:H,2,FALSE)</f>
        <v>Oulun seudun koulutuskuntayhtymä (OSEKK)</v>
      </c>
      <c r="C106" s="309">
        <v>4189</v>
      </c>
      <c r="D106" s="309">
        <v>3245</v>
      </c>
      <c r="E106" s="318">
        <v>0.77464788732394363</v>
      </c>
      <c r="F106" s="319"/>
      <c r="G106" s="313">
        <v>4.2669491525423728</v>
      </c>
      <c r="H106" s="313">
        <v>1.0184742352315848</v>
      </c>
      <c r="I106" s="309">
        <v>55385</v>
      </c>
      <c r="J106" s="309">
        <v>69642.229003421933</v>
      </c>
      <c r="K106" s="310">
        <v>5.5935853738145143E-2</v>
      </c>
    </row>
    <row r="107" spans="1:11" ht="15" customHeight="1" x14ac:dyDescent="0.25">
      <c r="A107" s="104" t="s">
        <v>352</v>
      </c>
      <c r="B107" s="130" t="str">
        <f>VLOOKUP(A107,'0 Järjestäjätiedot'!A:H,2,FALSE)</f>
        <v>Koulutuskeskus Salpaus -kuntayhtymä</v>
      </c>
      <c r="C107" s="309">
        <v>3492</v>
      </c>
      <c r="D107" s="309">
        <v>965</v>
      </c>
      <c r="E107" s="318">
        <v>0.27634593356242843</v>
      </c>
      <c r="F107" s="319"/>
      <c r="G107" s="313">
        <v>3.9015544041450778</v>
      </c>
      <c r="H107" s="313">
        <v>1.1806504172116095</v>
      </c>
      <c r="I107" s="309">
        <v>15060</v>
      </c>
      <c r="J107" s="309">
        <v>18063.152782728957</v>
      </c>
      <c r="K107" s="310">
        <v>1.4508120813520351E-2</v>
      </c>
    </row>
    <row r="108" spans="1:11" ht="15" customHeight="1" x14ac:dyDescent="0.25">
      <c r="A108" s="104" t="s">
        <v>290</v>
      </c>
      <c r="B108" s="130" t="str">
        <f>VLOOKUP(A108,'0 Järjestäjätiedot'!A:H,2,FALSE)</f>
        <v>Seinäjoen koulutuskuntayhtymä</v>
      </c>
      <c r="C108" s="309">
        <v>1873</v>
      </c>
      <c r="D108" s="309">
        <v>1608</v>
      </c>
      <c r="E108" s="318">
        <v>0.8585157501334757</v>
      </c>
      <c r="F108" s="319"/>
      <c r="G108" s="313">
        <v>4.2641480099502491</v>
      </c>
      <c r="H108" s="313">
        <v>0.99768174467872861</v>
      </c>
      <c r="I108" s="309">
        <v>27427</v>
      </c>
      <c r="J108" s="309">
        <v>31946.996890547263</v>
      </c>
      <c r="K108" s="310">
        <v>2.5659467983927171E-2</v>
      </c>
    </row>
    <row r="109" spans="1:11" ht="15" customHeight="1" x14ac:dyDescent="0.25">
      <c r="A109" s="104" t="s">
        <v>400</v>
      </c>
      <c r="B109" s="130" t="str">
        <f>VLOOKUP(A109,'0 Järjestäjätiedot'!A:H,2,FALSE)</f>
        <v>Etelä-Karjalan Koulutuskuntayhtymä</v>
      </c>
      <c r="C109" s="309">
        <v>1675</v>
      </c>
      <c r="D109" s="309">
        <v>1419</v>
      </c>
      <c r="E109" s="318">
        <v>0.84716417910447761</v>
      </c>
      <c r="F109" s="319"/>
      <c r="G109" s="313">
        <v>4.1275546159267087</v>
      </c>
      <c r="H109" s="313">
        <v>1.0586775609005721</v>
      </c>
      <c r="I109" s="309">
        <v>23428</v>
      </c>
      <c r="J109" s="309">
        <v>27654.615926708946</v>
      </c>
      <c r="K109" s="310">
        <v>2.221187595223242E-2</v>
      </c>
    </row>
    <row r="110" spans="1:11" ht="15" customHeight="1" x14ac:dyDescent="0.25">
      <c r="A110" s="104" t="s">
        <v>253</v>
      </c>
      <c r="B110" s="130" t="str">
        <f>VLOOKUP(A110,'0 Järjestäjätiedot'!A:H,2,FALSE)</f>
        <v>Valtakunnallinen valmennus- ja liikuntakeskus Oy</v>
      </c>
      <c r="C110" s="309">
        <v>94</v>
      </c>
      <c r="D110" s="309">
        <v>62</v>
      </c>
      <c r="E110" s="318">
        <v>0.65957446808510634</v>
      </c>
      <c r="F110" s="319"/>
      <c r="G110" s="313">
        <v>4.286290322580645</v>
      </c>
      <c r="H110" s="313">
        <v>0.82470274971665802</v>
      </c>
      <c r="I110" s="309">
        <v>1063</v>
      </c>
      <c r="J110" s="309">
        <v>1359.0213190357629</v>
      </c>
      <c r="K110" s="310">
        <v>1.0915506125582267E-3</v>
      </c>
    </row>
    <row r="111" spans="1:11" ht="15" customHeight="1" x14ac:dyDescent="0.25">
      <c r="A111" s="104" t="s">
        <v>391</v>
      </c>
      <c r="B111" s="130" t="str">
        <f>VLOOKUP(A111,'0 Järjestäjätiedot'!A:H,2,FALSE)</f>
        <v>Harjun Oppimiskeskus Oy</v>
      </c>
      <c r="C111" s="309">
        <v>96</v>
      </c>
      <c r="D111" s="309">
        <v>91</v>
      </c>
      <c r="E111" s="318">
        <v>0.94791666666666663</v>
      </c>
      <c r="F111" s="319"/>
      <c r="G111" s="313">
        <v>4.5961538461538458</v>
      </c>
      <c r="H111" s="313">
        <v>0.7873216096302097</v>
      </c>
      <c r="I111" s="309">
        <v>1673</v>
      </c>
      <c r="J111" s="309">
        <v>1764.9230769230769</v>
      </c>
      <c r="K111" s="310">
        <v>1.4175663315571863E-3</v>
      </c>
    </row>
    <row r="112" spans="1:11" ht="15" customHeight="1" x14ac:dyDescent="0.25">
      <c r="A112" s="104" t="s">
        <v>269</v>
      </c>
      <c r="B112" s="130" t="str">
        <f>VLOOKUP(A112,'0 Järjestäjätiedot'!A:H,2,FALSE)</f>
        <v>Traffica Oy</v>
      </c>
      <c r="C112" s="309">
        <v>57</v>
      </c>
      <c r="D112" s="309">
        <v>46</v>
      </c>
      <c r="E112" s="318">
        <v>0.80701754385964908</v>
      </c>
      <c r="F112" s="319"/>
      <c r="G112" s="313">
        <v>4.5978260869565215</v>
      </c>
      <c r="H112" s="313">
        <v>0.6603652251775689</v>
      </c>
      <c r="I112" s="309">
        <v>846</v>
      </c>
      <c r="J112" s="309">
        <v>1048.304347826087</v>
      </c>
      <c r="K112" s="310">
        <v>8.4198624185593499E-4</v>
      </c>
    </row>
    <row r="113" spans="1:11" ht="15" customHeight="1" x14ac:dyDescent="0.25">
      <c r="A113" s="104" t="s">
        <v>377</v>
      </c>
      <c r="B113" s="130" t="str">
        <f>VLOOKUP(A113,'0 Järjestäjätiedot'!A:H,2,FALSE)</f>
        <v>Jyväskylän kristillisen opiston säätiö sr</v>
      </c>
      <c r="C113" s="309">
        <v>167</v>
      </c>
      <c r="D113" s="309">
        <v>104</v>
      </c>
      <c r="E113" s="318">
        <v>0.6227544910179641</v>
      </c>
      <c r="F113" s="319"/>
      <c r="G113" s="313">
        <v>4.3293269230769234</v>
      </c>
      <c r="H113" s="313">
        <v>0.90654963420385648</v>
      </c>
      <c r="I113" s="309">
        <v>1801</v>
      </c>
      <c r="J113" s="309">
        <v>2306.8027358456739</v>
      </c>
      <c r="K113" s="310">
        <v>1.8527979687249316E-3</v>
      </c>
    </row>
    <row r="114" spans="1:11" ht="15" customHeight="1" x14ac:dyDescent="0.25">
      <c r="A114" s="104" t="s">
        <v>373</v>
      </c>
      <c r="B114" s="130" t="str">
        <f>VLOOKUP(A114,'0 Järjestäjätiedot'!A:H,2,FALSE)</f>
        <v>Jollas-Opisto Oy</v>
      </c>
      <c r="C114" s="309">
        <v>173</v>
      </c>
      <c r="D114" s="309">
        <v>122</v>
      </c>
      <c r="E114" s="318">
        <v>0.7052023121387283</v>
      </c>
      <c r="F114" s="319"/>
      <c r="G114" s="313">
        <v>4.3032786885245899</v>
      </c>
      <c r="H114" s="313">
        <v>0.93114898406722746</v>
      </c>
      <c r="I114" s="309">
        <v>2100</v>
      </c>
      <c r="J114" s="309">
        <v>2672.4673393698422</v>
      </c>
      <c r="K114" s="310">
        <v>2.1464956586558456E-3</v>
      </c>
    </row>
    <row r="115" spans="1:11" ht="15" customHeight="1" x14ac:dyDescent="0.25">
      <c r="A115" s="104" t="s">
        <v>279</v>
      </c>
      <c r="B115" s="130" t="str">
        <f>VLOOKUP(A115,'0 Järjestäjätiedot'!A:H,2,FALSE)</f>
        <v>Svenska Framtidsskolan i Helsingforsregionen Ab</v>
      </c>
      <c r="C115" s="309">
        <v>431</v>
      </c>
      <c r="D115" s="309">
        <v>249</v>
      </c>
      <c r="E115" s="318">
        <v>0.57772621809744784</v>
      </c>
      <c r="F115" s="319"/>
      <c r="G115" s="313">
        <v>4.0662650602409638</v>
      </c>
      <c r="H115" s="313">
        <v>1.0088098409536432</v>
      </c>
      <c r="I115" s="309">
        <v>4050</v>
      </c>
      <c r="J115" s="309">
        <v>5187.4927410086084</v>
      </c>
      <c r="K115" s="310">
        <v>4.1665357266851633E-3</v>
      </c>
    </row>
    <row r="116" spans="1:11" ht="15" customHeight="1" x14ac:dyDescent="0.25">
      <c r="A116" s="104" t="s">
        <v>390</v>
      </c>
      <c r="B116" s="130" t="str">
        <f>VLOOKUP(A116,'0 Järjestäjätiedot'!A:H,2,FALSE)</f>
        <v>HAUS Kehittämiskeskus Oy</v>
      </c>
      <c r="C116" s="309">
        <v>14</v>
      </c>
      <c r="D116" s="309">
        <v>7</v>
      </c>
      <c r="E116" s="318">
        <v>0.5</v>
      </c>
      <c r="F116" s="319"/>
      <c r="G116" s="313">
        <v>4</v>
      </c>
      <c r="H116" s="313">
        <v>0.84515425472851713</v>
      </c>
      <c r="I116" s="309">
        <v>112</v>
      </c>
      <c r="J116" s="309">
        <v>142.625</v>
      </c>
      <c r="K116" s="310">
        <v>1.1455479317026099E-4</v>
      </c>
    </row>
    <row r="117" spans="1:11" ht="15" customHeight="1" x14ac:dyDescent="0.25">
      <c r="A117" s="104" t="s">
        <v>371</v>
      </c>
      <c r="B117" s="130" t="str">
        <f>VLOOKUP(A117,'0 Järjestäjätiedot'!A:H,2,FALSE)</f>
        <v>Järviseudun Koulutuskuntayhtymä</v>
      </c>
      <c r="C117" s="309">
        <v>168</v>
      </c>
      <c r="D117" s="309">
        <v>150</v>
      </c>
      <c r="E117" s="318">
        <v>0.8928571428571429</v>
      </c>
      <c r="F117" s="319"/>
      <c r="G117" s="313">
        <v>4.4886363636363633</v>
      </c>
      <c r="H117" s="313">
        <v>0.83735868602845465</v>
      </c>
      <c r="I117" s="309">
        <v>2693.181818181818</v>
      </c>
      <c r="J117" s="309">
        <v>3016.363636363636</v>
      </c>
      <c r="K117" s="310">
        <v>2.4227092900258205E-3</v>
      </c>
    </row>
    <row r="118" spans="1:11" ht="15" customHeight="1" x14ac:dyDescent="0.25">
      <c r="A118" s="104" t="s">
        <v>291</v>
      </c>
      <c r="B118" s="130" t="str">
        <f>VLOOKUP(A118,'0 Järjestäjätiedot'!A:H,2,FALSE)</f>
        <v>Savon Koulutuskuntayhtymä</v>
      </c>
      <c r="C118" s="309">
        <v>3387</v>
      </c>
      <c r="D118" s="309">
        <v>2615</v>
      </c>
      <c r="E118" s="318">
        <v>0.77206967818128136</v>
      </c>
      <c r="F118" s="319"/>
      <c r="G118" s="313">
        <v>4.1894837476099429</v>
      </c>
      <c r="H118" s="313">
        <v>1.053104452457386</v>
      </c>
      <c r="I118" s="309">
        <v>43822</v>
      </c>
      <c r="J118" s="309">
        <v>55133.280747519195</v>
      </c>
      <c r="K118" s="310">
        <v>4.4282429958492506E-2</v>
      </c>
    </row>
    <row r="119" spans="1:11" ht="15" customHeight="1" x14ac:dyDescent="0.25">
      <c r="A119" s="104" t="s">
        <v>356</v>
      </c>
      <c r="B119" s="130" t="str">
        <f>VLOOKUP(A119,'0 Järjestäjätiedot'!A:H,2,FALSE)</f>
        <v>KONE Hissit Oy</v>
      </c>
      <c r="C119" s="309">
        <v>18</v>
      </c>
      <c r="D119" s="309">
        <v>15</v>
      </c>
      <c r="E119" s="318">
        <v>0.83333333333333337</v>
      </c>
      <c r="F119" s="319"/>
      <c r="G119" s="313">
        <v>4.1166666666666663</v>
      </c>
      <c r="H119" s="313">
        <v>1.0660154261964934</v>
      </c>
      <c r="I119" s="309">
        <v>247</v>
      </c>
      <c r="J119" s="309">
        <v>296.39999999999998</v>
      </c>
      <c r="K119" s="310">
        <v>2.3806514072333289E-4</v>
      </c>
    </row>
    <row r="120" spans="1:11" ht="15" customHeight="1" x14ac:dyDescent="0.25">
      <c r="A120" s="104" t="s">
        <v>348</v>
      </c>
      <c r="B120" s="130" t="str">
        <f>VLOOKUP(A120,'0 Järjestäjätiedot'!A:H,2,FALSE)</f>
        <v>Keski-Pohjanmaan Konservatorion Kannatusyhdistys ry</v>
      </c>
      <c r="C120" s="309">
        <v>52</v>
      </c>
      <c r="D120" s="309">
        <v>51</v>
      </c>
      <c r="E120" s="318">
        <v>0.98076923076923073</v>
      </c>
      <c r="F120" s="319"/>
      <c r="G120" s="313">
        <v>4.2892156862745097</v>
      </c>
      <c r="H120" s="313">
        <v>0.93393610046616315</v>
      </c>
      <c r="I120" s="309">
        <v>875</v>
      </c>
      <c r="J120" s="309">
        <v>892.15686274509812</v>
      </c>
      <c r="K120" s="310">
        <v>7.1657034101450399E-4</v>
      </c>
    </row>
    <row r="121" spans="1:11" ht="15" customHeight="1" x14ac:dyDescent="0.25">
      <c r="A121" s="104" t="s">
        <v>353</v>
      </c>
      <c r="B121" s="130" t="str">
        <f>VLOOKUP(A121,'0 Järjestäjätiedot'!A:H,2,FALSE)</f>
        <v>Kotkan-Haminan seudun koulutuskuntayhtymä</v>
      </c>
      <c r="C121" s="309">
        <v>1456</v>
      </c>
      <c r="D121" s="309">
        <v>521</v>
      </c>
      <c r="E121" s="318">
        <v>0.35782967032967034</v>
      </c>
      <c r="F121" s="319"/>
      <c r="G121" s="313">
        <v>4.1698656429942416</v>
      </c>
      <c r="H121" s="313">
        <v>0.99900804024881906</v>
      </c>
      <c r="I121" s="309">
        <v>8690</v>
      </c>
      <c r="J121" s="309">
        <v>10735.907959456088</v>
      </c>
      <c r="K121" s="310">
        <v>8.6229603210548709E-3</v>
      </c>
    </row>
    <row r="122" spans="1:11" ht="15" customHeight="1" x14ac:dyDescent="0.25">
      <c r="A122" s="104" t="s">
        <v>404</v>
      </c>
      <c r="B122" s="130" t="str">
        <f>VLOOKUP(A122,'0 Järjestäjätiedot'!A:H,2,FALSE)</f>
        <v>Axxell Utbildning Ab</v>
      </c>
      <c r="C122" s="309">
        <v>1073</v>
      </c>
      <c r="D122" s="309">
        <v>505</v>
      </c>
      <c r="E122" s="318">
        <v>0.47064305684995339</v>
      </c>
      <c r="F122" s="319"/>
      <c r="G122" s="313">
        <v>4.0113861386138616</v>
      </c>
      <c r="H122" s="313">
        <v>1.1237177772804776</v>
      </c>
      <c r="I122" s="309">
        <v>8103</v>
      </c>
      <c r="J122" s="309">
        <v>10276.039631672398</v>
      </c>
      <c r="K122" s="310">
        <v>8.2535992611087565E-3</v>
      </c>
    </row>
    <row r="123" spans="1:11" ht="15" customHeight="1" x14ac:dyDescent="0.25">
      <c r="A123" s="104" t="s">
        <v>362</v>
      </c>
      <c r="B123" s="130" t="str">
        <f>VLOOKUP(A123,'0 Järjestäjätiedot'!A:H,2,FALSE)</f>
        <v>Kemi-Tornionlaakson koulutuskuntayhtymä Lappia</v>
      </c>
      <c r="C123" s="309">
        <v>1742</v>
      </c>
      <c r="D123" s="309">
        <v>1045</v>
      </c>
      <c r="E123" s="318">
        <v>0.59988518943742819</v>
      </c>
      <c r="F123" s="319"/>
      <c r="G123" s="313">
        <v>4.2929799426934094</v>
      </c>
      <c r="H123" s="313">
        <v>0.99419441914305895</v>
      </c>
      <c r="I123" s="309">
        <v>17944.656160458453</v>
      </c>
      <c r="J123" s="309">
        <v>22991.590520792972</v>
      </c>
      <c r="K123" s="310">
        <v>1.8466586480384028E-2</v>
      </c>
    </row>
    <row r="124" spans="1:11" ht="15" customHeight="1" x14ac:dyDescent="0.25">
      <c r="A124" s="104" t="s">
        <v>388</v>
      </c>
      <c r="B124" s="130" t="str">
        <f>VLOOKUP(A124,'0 Järjestäjätiedot'!A:H,2,FALSE)</f>
        <v>Helsinki Business College Oy</v>
      </c>
      <c r="C124" s="309">
        <v>1269</v>
      </c>
      <c r="D124" s="309">
        <v>886</v>
      </c>
      <c r="E124" s="318">
        <v>0.69818754925137905</v>
      </c>
      <c r="F124" s="319"/>
      <c r="G124" s="313">
        <v>3.9602144469525959</v>
      </c>
      <c r="H124" s="313">
        <v>1.1312549012178608</v>
      </c>
      <c r="I124" s="309">
        <v>14035</v>
      </c>
      <c r="J124" s="309">
        <v>17876.63394108526</v>
      </c>
      <c r="K124" s="310">
        <v>1.4358310981254965E-2</v>
      </c>
    </row>
    <row r="125" spans="1:11" ht="15" customHeight="1" x14ac:dyDescent="0.25">
      <c r="A125" s="104" t="s">
        <v>402</v>
      </c>
      <c r="B125" s="130" t="str">
        <f>VLOOKUP(A125,'0 Järjestäjätiedot'!A:H,2,FALSE)</f>
        <v>Cimson Koulutuspalvelut Oy</v>
      </c>
      <c r="C125" s="309">
        <v>42</v>
      </c>
      <c r="D125" s="309">
        <v>38</v>
      </c>
      <c r="E125" s="318">
        <v>0.90476190476190477</v>
      </c>
      <c r="F125" s="319"/>
      <c r="G125" s="313">
        <v>3.9144736842105261</v>
      </c>
      <c r="H125" s="313">
        <v>1.1750928235864271</v>
      </c>
      <c r="I125" s="309">
        <v>595</v>
      </c>
      <c r="J125" s="309">
        <v>657.63157894736833</v>
      </c>
      <c r="K125" s="310">
        <v>5.2820227525712837E-4</v>
      </c>
    </row>
    <row r="126" spans="1:11" ht="15" customHeight="1" x14ac:dyDescent="0.25">
      <c r="A126" s="104" t="s">
        <v>331</v>
      </c>
      <c r="B126" s="130" t="str">
        <f>VLOOKUP(A126,'0 Järjestäjätiedot'!A:H,2,FALSE)</f>
        <v>Länsirannikon Koulutus Oy</v>
      </c>
      <c r="C126" s="309">
        <v>2525</v>
      </c>
      <c r="D126" s="309">
        <v>1346</v>
      </c>
      <c r="E126" s="318">
        <v>0.5330693069306931</v>
      </c>
      <c r="F126" s="319"/>
      <c r="G126" s="313">
        <v>4.145245170876672</v>
      </c>
      <c r="H126" s="313">
        <v>1.0583302083640129</v>
      </c>
      <c r="I126" s="309">
        <v>22318</v>
      </c>
      <c r="J126" s="309">
        <v>28516.829422605628</v>
      </c>
      <c r="K126" s="310">
        <v>2.2904396118339707E-2</v>
      </c>
    </row>
    <row r="127" spans="1:11" ht="15" customHeight="1" x14ac:dyDescent="0.25">
      <c r="A127" s="104" t="s">
        <v>398</v>
      </c>
      <c r="B127" s="130" t="str">
        <f>VLOOKUP(A127,'0 Järjestäjätiedot'!A:H,2,FALSE)</f>
        <v>Etelä-Savon Koulutus Oy</v>
      </c>
      <c r="C127" s="309">
        <v>1404</v>
      </c>
      <c r="D127" s="309">
        <v>990</v>
      </c>
      <c r="E127" s="318">
        <v>0.70512820512820518</v>
      </c>
      <c r="F127" s="319"/>
      <c r="G127" s="313">
        <v>4.2099198396793591</v>
      </c>
      <c r="H127" s="313">
        <v>1.0134475543796668</v>
      </c>
      <c r="I127" s="309">
        <v>16671.282565130259</v>
      </c>
      <c r="J127" s="309">
        <v>21216.1354689779</v>
      </c>
      <c r="K127" s="310">
        <v>1.7040560985248039E-2</v>
      </c>
    </row>
    <row r="128" spans="1:11" ht="15" customHeight="1" x14ac:dyDescent="0.25">
      <c r="A128" s="104" t="s">
        <v>383</v>
      </c>
      <c r="B128" s="130" t="str">
        <f>VLOOKUP(A128,'0 Järjestäjätiedot'!A:H,2,FALSE)</f>
        <v>Hyria koulutus Oy</v>
      </c>
      <c r="C128" s="309">
        <v>2757</v>
      </c>
      <c r="D128" s="309">
        <v>1511</v>
      </c>
      <c r="E128" s="318">
        <v>0.54805948494740664</v>
      </c>
      <c r="F128" s="319"/>
      <c r="G128" s="313">
        <v>4.1244216787838734</v>
      </c>
      <c r="H128" s="313">
        <v>1.1245407725321468</v>
      </c>
      <c r="I128" s="309">
        <v>24928.004626569727</v>
      </c>
      <c r="J128" s="309">
        <v>31886.465929942173</v>
      </c>
      <c r="K128" s="310">
        <v>2.5610850198317964E-2</v>
      </c>
    </row>
    <row r="129" spans="1:11" ht="15" customHeight="1" x14ac:dyDescent="0.25">
      <c r="A129" s="104" t="s">
        <v>395</v>
      </c>
      <c r="B129" s="130" t="str">
        <f>VLOOKUP(A129,'0 Järjestäjätiedot'!A:H,2,FALSE)</f>
        <v>Folkhälsan Utbildning Ab</v>
      </c>
      <c r="C129" s="309">
        <v>55</v>
      </c>
      <c r="D129" s="309">
        <v>50</v>
      </c>
      <c r="E129" s="318">
        <v>0.90909090909090906</v>
      </c>
      <c r="F129" s="319"/>
      <c r="G129" s="313">
        <v>4.22</v>
      </c>
      <c r="H129" s="313">
        <v>0.97036075765665686</v>
      </c>
      <c r="I129" s="309">
        <v>844</v>
      </c>
      <c r="J129" s="309">
        <v>928.40000000000009</v>
      </c>
      <c r="K129" s="310">
        <v>7.4568042053826684E-4</v>
      </c>
    </row>
    <row r="130" spans="1:11" ht="15" customHeight="1" x14ac:dyDescent="0.25">
      <c r="A130" s="104" t="s">
        <v>325</v>
      </c>
      <c r="B130" s="130" t="str">
        <f>VLOOKUP(A130,'0 Järjestäjätiedot'!A:H,2,FALSE)</f>
        <v>Management Institute of Finland MIF Oy</v>
      </c>
      <c r="C130" s="309">
        <v>123</v>
      </c>
      <c r="D130" s="309">
        <v>99</v>
      </c>
      <c r="E130" s="318">
        <v>0.80487804878048785</v>
      </c>
      <c r="F130" s="319"/>
      <c r="G130" s="313">
        <v>4.1186868686868685</v>
      </c>
      <c r="H130" s="313">
        <v>1.0217603609859394</v>
      </c>
      <c r="I130" s="309">
        <v>1631</v>
      </c>
      <c r="J130" s="309">
        <v>2026.3939393939395</v>
      </c>
      <c r="K130" s="310">
        <v>1.6275767825328178E-3</v>
      </c>
    </row>
    <row r="131" spans="1:11" ht="15" customHeight="1" x14ac:dyDescent="0.25">
      <c r="A131" s="104" t="s">
        <v>382</v>
      </c>
      <c r="B131" s="130" t="str">
        <f>VLOOKUP(A131,'0 Järjestäjätiedot'!A:H,2,FALSE)</f>
        <v>Hämeen ammatti-instituutti Oy</v>
      </c>
      <c r="C131" s="309">
        <v>285</v>
      </c>
      <c r="D131" s="309">
        <v>187</v>
      </c>
      <c r="E131" s="318">
        <v>0.65614035087719302</v>
      </c>
      <c r="F131" s="319"/>
      <c r="G131" s="313">
        <v>4.433943089430894</v>
      </c>
      <c r="H131" s="313">
        <v>0.88328326718812344</v>
      </c>
      <c r="I131" s="309">
        <v>3316.5894308943089</v>
      </c>
      <c r="J131" s="309">
        <v>4241.2137831418422</v>
      </c>
      <c r="K131" s="310">
        <v>3.4064951286147159E-3</v>
      </c>
    </row>
    <row r="132" spans="1:11" ht="15" customHeight="1" x14ac:dyDescent="0.25">
      <c r="A132" s="104" t="s">
        <v>312</v>
      </c>
      <c r="B132" s="130" t="str">
        <f>VLOOKUP(A132,'0 Järjestäjätiedot'!A:H,2,FALSE)</f>
        <v>Perho Liiketalousopisto Oy</v>
      </c>
      <c r="C132" s="309">
        <v>908</v>
      </c>
      <c r="D132" s="309">
        <v>831</v>
      </c>
      <c r="E132" s="318">
        <v>0.91519823788546251</v>
      </c>
      <c r="F132" s="319"/>
      <c r="G132" s="313">
        <v>4.339651022864019</v>
      </c>
      <c r="H132" s="313">
        <v>0.9540486272453701</v>
      </c>
      <c r="I132" s="309">
        <v>14425</v>
      </c>
      <c r="J132" s="309">
        <v>15761.612515042119</v>
      </c>
      <c r="K132" s="310">
        <v>1.2659549599933021E-2</v>
      </c>
    </row>
    <row r="133" spans="1:11" ht="15" customHeight="1" x14ac:dyDescent="0.25">
      <c r="A133" s="104" t="s">
        <v>289</v>
      </c>
      <c r="B133" s="130" t="str">
        <f>VLOOKUP(A133,'0 Järjestäjätiedot'!A:H,2,FALSE)</f>
        <v>Suomen Diakoniaopisto - SDO Oy</v>
      </c>
      <c r="C133" s="309">
        <v>1409</v>
      </c>
      <c r="D133" s="309">
        <v>712</v>
      </c>
      <c r="E133" s="318">
        <v>0.50532292405961676</v>
      </c>
      <c r="F133" s="319"/>
      <c r="G133" s="313">
        <v>3.9947331460674156</v>
      </c>
      <c r="H133" s="313">
        <v>1.1597959969889855</v>
      </c>
      <c r="I133" s="309">
        <v>11377</v>
      </c>
      <c r="J133" s="309">
        <v>14497.10893042345</v>
      </c>
      <c r="K133" s="310">
        <v>1.1643914566810881E-2</v>
      </c>
    </row>
    <row r="134" spans="1:11" ht="15" customHeight="1" x14ac:dyDescent="0.25">
      <c r="A134" s="104" t="s">
        <v>407</v>
      </c>
      <c r="B134" s="130" t="str">
        <f>VLOOKUP(A134,'0 Järjestäjätiedot'!A:H,2,FALSE)</f>
        <v>Ammattiopisto Spesia Oy</v>
      </c>
      <c r="C134" s="309">
        <v>321</v>
      </c>
      <c r="D134" s="309">
        <v>297</v>
      </c>
      <c r="E134" s="318">
        <v>0.92523364485981308</v>
      </c>
      <c r="F134" s="319"/>
      <c r="G134" s="313">
        <v>4.1111111111111107</v>
      </c>
      <c r="H134" s="313">
        <v>1.1060490751670533</v>
      </c>
      <c r="I134" s="309">
        <v>4884</v>
      </c>
      <c r="J134" s="309">
        <v>5278.666666666667</v>
      </c>
      <c r="K134" s="310">
        <v>4.2397655965977291E-3</v>
      </c>
    </row>
    <row r="135" spans="1:11" ht="15" customHeight="1" x14ac:dyDescent="0.25">
      <c r="A135" s="104" t="s">
        <v>239</v>
      </c>
      <c r="B135" s="130" t="str">
        <f>VLOOKUP(A135,'0 Järjestäjätiedot'!A:H,2,FALSE)</f>
        <v>Careeria Oy</v>
      </c>
      <c r="C135" s="309">
        <v>2783</v>
      </c>
      <c r="D135" s="309">
        <v>1569</v>
      </c>
      <c r="E135" s="318">
        <v>0.56378009342436219</v>
      </c>
      <c r="F135" s="319"/>
      <c r="G135" s="313">
        <v>4.147068196303378</v>
      </c>
      <c r="H135" s="313">
        <v>1.0780012468208127</v>
      </c>
      <c r="I135" s="309">
        <v>26027</v>
      </c>
      <c r="J135" s="309">
        <v>33320.418481839748</v>
      </c>
      <c r="K135" s="310">
        <v>2.6762584732926864E-2</v>
      </c>
    </row>
    <row r="136" spans="1:11" ht="15" customHeight="1" x14ac:dyDescent="0.25">
      <c r="A136" s="104" t="s">
        <v>776</v>
      </c>
      <c r="B136" s="130" t="str">
        <f>VLOOKUP(A136,'0 Järjestäjätiedot'!A:H,2,FALSE)</f>
        <v>Turun musiikinopetus Oy</v>
      </c>
      <c r="C136" s="309">
        <v>46</v>
      </c>
      <c r="D136" s="309">
        <v>40</v>
      </c>
      <c r="E136" s="318">
        <v>0.86956521739130432</v>
      </c>
      <c r="F136" s="319"/>
      <c r="G136" s="313">
        <v>4.7374999999999998</v>
      </c>
      <c r="H136" s="313">
        <v>0.59673591311400309</v>
      </c>
      <c r="I136" s="309">
        <v>758</v>
      </c>
      <c r="J136" s="309">
        <v>871.7</v>
      </c>
      <c r="K136" s="310">
        <v>7.0013961932702197E-4</v>
      </c>
    </row>
    <row r="137" spans="1:11" ht="15" customHeight="1" x14ac:dyDescent="0.25">
      <c r="A137" s="104" t="s">
        <v>774</v>
      </c>
      <c r="B137" s="130" t="str">
        <f>VLOOKUP(A137,'0 Järjestäjätiedot'!A:H,2,FALSE)</f>
        <v>AEL-Amiedu Oy</v>
      </c>
      <c r="C137" s="309">
        <v>2586</v>
      </c>
      <c r="D137" s="309">
        <v>1060</v>
      </c>
      <c r="E137" s="318">
        <v>0.40989945862335653</v>
      </c>
      <c r="F137" s="319"/>
      <c r="G137" s="313">
        <v>4.0713276836158192</v>
      </c>
      <c r="H137" s="313">
        <v>1.1141729166084011</v>
      </c>
      <c r="I137" s="309">
        <v>17262.429378531073</v>
      </c>
      <c r="J137" s="309">
        <v>21630.117798539257</v>
      </c>
      <c r="K137" s="310">
        <v>1.7373066928378936E-2</v>
      </c>
    </row>
    <row r="138" spans="1:11" ht="15" customHeight="1" x14ac:dyDescent="0.25">
      <c r="A138" s="48" t="s">
        <v>21</v>
      </c>
      <c r="B138" s="48"/>
      <c r="C138" s="311">
        <v>108467</v>
      </c>
      <c r="D138" s="311">
        <v>59825</v>
      </c>
      <c r="E138" s="320">
        <v>0.55155024108715089</v>
      </c>
      <c r="F138" s="321"/>
      <c r="G138" s="314">
        <v>4.1792939375790246</v>
      </c>
      <c r="H138" s="314">
        <v>1.0547125045894292</v>
      </c>
      <c r="I138" s="311">
        <v>999987.47727594315</v>
      </c>
      <c r="J138" s="311">
        <v>1245037.3838833501</v>
      </c>
      <c r="K138" s="312">
        <v>1</v>
      </c>
    </row>
    <row r="140" spans="1:11" x14ac:dyDescent="0.25">
      <c r="A140" t="s">
        <v>854</v>
      </c>
    </row>
    <row r="141" spans="1:11" x14ac:dyDescent="0.25">
      <c r="A141" s="308" t="s">
        <v>860</v>
      </c>
    </row>
  </sheetData>
  <mergeCells count="1">
    <mergeCell ref="C5:K5"/>
  </mergeCells>
  <hyperlinks>
    <hyperlink ref="A141"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C139"/>
  <sheetViews>
    <sheetView zoomScale="90" zoomScaleNormal="90" workbookViewId="0">
      <pane xSplit="2" ySplit="6" topLeftCell="C7" activePane="bottomRight" state="frozen"/>
      <selection pane="topRight" activeCell="C1" sqref="C1"/>
      <selection pane="bottomLeft" activeCell="A7" sqref="A7"/>
      <selection pane="bottomRight"/>
    </sheetView>
  </sheetViews>
  <sheetFormatPr defaultRowHeight="15" x14ac:dyDescent="0.25"/>
  <cols>
    <col min="1" max="1" width="12.28515625" customWidth="1"/>
    <col min="2" max="2" width="38" customWidth="1"/>
    <col min="3" max="29" width="17.42578125" customWidth="1"/>
  </cols>
  <sheetData>
    <row r="1" spans="1:29" ht="19.5" x14ac:dyDescent="0.3">
      <c r="A1" s="6" t="s">
        <v>643</v>
      </c>
      <c r="B1" s="6"/>
    </row>
    <row r="2" spans="1:29" ht="15.75" x14ac:dyDescent="0.25">
      <c r="A2" s="7" t="s">
        <v>457</v>
      </c>
      <c r="B2" s="7"/>
    </row>
    <row r="3" spans="1:29" x14ac:dyDescent="0.25">
      <c r="A3" s="15" t="s">
        <v>857</v>
      </c>
      <c r="B3" s="1"/>
      <c r="C3" s="2" t="s">
        <v>12</v>
      </c>
      <c r="D3" s="2"/>
      <c r="E3" s="2"/>
      <c r="F3" s="2"/>
      <c r="G3" s="2"/>
      <c r="H3" s="2"/>
      <c r="I3" s="2"/>
      <c r="J3" s="2"/>
      <c r="K3" s="2"/>
      <c r="L3" s="2"/>
      <c r="M3" s="2"/>
      <c r="N3" s="2"/>
      <c r="O3" s="2"/>
      <c r="P3" s="2"/>
      <c r="Q3" s="2"/>
      <c r="R3" s="2"/>
      <c r="S3" s="2"/>
      <c r="T3" s="2"/>
      <c r="U3" s="2"/>
      <c r="V3" s="2"/>
      <c r="W3" s="2"/>
      <c r="X3" s="2"/>
      <c r="Y3" s="2"/>
      <c r="Z3" s="2"/>
    </row>
    <row r="4" spans="1:29" ht="15" customHeight="1" x14ac:dyDescent="0.25">
      <c r="A4" s="315"/>
      <c r="B4" s="132"/>
      <c r="C4" s="317" t="s">
        <v>12</v>
      </c>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row>
    <row r="5" spans="1:29" ht="15" customHeight="1" x14ac:dyDescent="0.25">
      <c r="A5" s="316"/>
      <c r="B5" s="133"/>
      <c r="C5" s="481" t="s">
        <v>151</v>
      </c>
      <c r="D5" s="481"/>
      <c r="E5" s="481"/>
      <c r="F5" s="481"/>
      <c r="G5" s="481"/>
      <c r="H5" s="481"/>
      <c r="I5" s="481"/>
      <c r="J5" s="481"/>
      <c r="K5" s="481"/>
      <c r="L5" s="481" t="s">
        <v>152</v>
      </c>
      <c r="M5" s="481"/>
      <c r="N5" s="481"/>
      <c r="O5" s="481"/>
      <c r="P5" s="481"/>
      <c r="Q5" s="481"/>
      <c r="R5" s="481"/>
      <c r="S5" s="481"/>
      <c r="T5" s="481"/>
      <c r="U5" s="481" t="s">
        <v>819</v>
      </c>
      <c r="V5" s="481" t="s">
        <v>820</v>
      </c>
      <c r="W5" s="481" t="s">
        <v>821</v>
      </c>
      <c r="X5" s="481" t="s">
        <v>822</v>
      </c>
      <c r="Y5" s="481" t="s">
        <v>823</v>
      </c>
      <c r="Z5" s="481" t="s">
        <v>824</v>
      </c>
      <c r="AA5" s="481" t="s">
        <v>825</v>
      </c>
      <c r="AB5" s="481" t="s">
        <v>826</v>
      </c>
      <c r="AC5" s="481" t="s">
        <v>827</v>
      </c>
    </row>
    <row r="6" spans="1:29" ht="24" customHeight="1" x14ac:dyDescent="0.25">
      <c r="A6" s="247" t="s">
        <v>12</v>
      </c>
      <c r="B6" s="134"/>
      <c r="C6" s="247" t="s">
        <v>810</v>
      </c>
      <c r="D6" s="247" t="s">
        <v>811</v>
      </c>
      <c r="E6" s="247" t="s">
        <v>812</v>
      </c>
      <c r="F6" s="247" t="s">
        <v>813</v>
      </c>
      <c r="G6" s="247" t="s">
        <v>814</v>
      </c>
      <c r="H6" s="247" t="s">
        <v>815</v>
      </c>
      <c r="I6" s="247" t="s">
        <v>816</v>
      </c>
      <c r="J6" s="247" t="s">
        <v>817</v>
      </c>
      <c r="K6" s="247" t="s">
        <v>818</v>
      </c>
      <c r="L6" s="247" t="s">
        <v>810</v>
      </c>
      <c r="M6" s="247" t="s">
        <v>811</v>
      </c>
      <c r="N6" s="247" t="s">
        <v>812</v>
      </c>
      <c r="O6" s="247" t="s">
        <v>813</v>
      </c>
      <c r="P6" s="247" t="s">
        <v>814</v>
      </c>
      <c r="Q6" s="247" t="s">
        <v>815</v>
      </c>
      <c r="R6" s="247" t="s">
        <v>816</v>
      </c>
      <c r="S6" s="247" t="s">
        <v>817</v>
      </c>
      <c r="T6" s="247" t="s">
        <v>818</v>
      </c>
      <c r="U6" s="481"/>
      <c r="V6" s="481"/>
      <c r="W6" s="481"/>
      <c r="X6" s="481"/>
      <c r="Y6" s="481"/>
      <c r="Z6" s="481"/>
      <c r="AA6" s="481"/>
      <c r="AB6" s="481"/>
      <c r="AC6" s="481"/>
    </row>
    <row r="7" spans="1:29" ht="15" customHeight="1" x14ac:dyDescent="0.25">
      <c r="A7" s="104" t="s">
        <v>286</v>
      </c>
      <c r="B7" s="130" t="str">
        <f>VLOOKUP(A7,'0 Järjestäjätiedot'!A:H,2,FALSE)</f>
        <v>Suomen kansallisooppera ja -baletti sr</v>
      </c>
      <c r="C7" s="309">
        <v>12</v>
      </c>
      <c r="D7" s="309">
        <v>10</v>
      </c>
      <c r="E7" s="318">
        <v>0.83333333333333337</v>
      </c>
      <c r="F7" s="319"/>
      <c r="G7" s="313">
        <v>3.7083333333333335</v>
      </c>
      <c r="H7" s="313">
        <v>1.1789531608828041</v>
      </c>
      <c r="I7" s="309">
        <v>445</v>
      </c>
      <c r="J7" s="309">
        <v>1602</v>
      </c>
      <c r="K7" s="310">
        <v>2.5204813823399689E-4</v>
      </c>
      <c r="L7" s="319"/>
      <c r="M7" s="319"/>
      <c r="N7" s="319"/>
      <c r="O7" s="319"/>
      <c r="P7" s="319"/>
      <c r="Q7" s="319"/>
      <c r="R7" s="319"/>
      <c r="S7" s="319"/>
      <c r="T7" s="319"/>
      <c r="U7" s="309">
        <v>12</v>
      </c>
      <c r="V7" s="309">
        <v>10</v>
      </c>
      <c r="W7" s="318">
        <v>0.83333333333333337</v>
      </c>
      <c r="X7" s="319"/>
      <c r="Y7" s="313">
        <v>3.7083333333333335</v>
      </c>
      <c r="Z7" s="313">
        <v>1.1789531608828041</v>
      </c>
      <c r="AA7" s="309">
        <v>445</v>
      </c>
      <c r="AB7" s="309">
        <v>1602</v>
      </c>
      <c r="AC7" s="310">
        <v>2.4191741927585204E-4</v>
      </c>
    </row>
    <row r="8" spans="1:29" ht="15" customHeight="1" x14ac:dyDescent="0.25">
      <c r="A8" s="104" t="s">
        <v>251</v>
      </c>
      <c r="B8" s="130" t="str">
        <f>VLOOKUP(A8,'0 Järjestäjätiedot'!A:H,2,FALSE)</f>
        <v>Vantaan kaupunki</v>
      </c>
      <c r="C8" s="309">
        <v>981</v>
      </c>
      <c r="D8" s="309">
        <v>561</v>
      </c>
      <c r="E8" s="318">
        <v>0.5718654434250765</v>
      </c>
      <c r="F8" s="319"/>
      <c r="G8" s="313">
        <v>4.1381461675579319</v>
      </c>
      <c r="H8" s="313">
        <v>0.96657784829003035</v>
      </c>
      <c r="I8" s="309">
        <v>27858</v>
      </c>
      <c r="J8" s="309">
        <v>107027.50525523946</v>
      </c>
      <c r="K8" s="310">
        <v>1.6839003395388529E-2</v>
      </c>
      <c r="L8" s="309">
        <v>283</v>
      </c>
      <c r="M8" s="309">
        <v>132</v>
      </c>
      <c r="N8" s="318">
        <v>0.46643109540636041</v>
      </c>
      <c r="O8" s="319"/>
      <c r="P8" s="313">
        <v>4.0069444444444446</v>
      </c>
      <c r="Q8" s="313">
        <v>1.013458553339909</v>
      </c>
      <c r="R8" s="309">
        <v>6347</v>
      </c>
      <c r="S8" s="309">
        <v>8043.629203136511</v>
      </c>
      <c r="T8" s="310">
        <v>3.0220378376565025E-2</v>
      </c>
      <c r="U8" s="309">
        <v>1264</v>
      </c>
      <c r="V8" s="309">
        <v>693</v>
      </c>
      <c r="W8" s="318">
        <v>0.54825949367088611</v>
      </c>
      <c r="X8" s="319"/>
      <c r="Y8" s="313">
        <v>4.1131553631553635</v>
      </c>
      <c r="Z8" s="313">
        <v>0.97704047060569232</v>
      </c>
      <c r="AA8" s="309">
        <v>47313.038548752833</v>
      </c>
      <c r="AB8" s="309">
        <v>115071.13445837598</v>
      </c>
      <c r="AC8" s="310">
        <v>1.7376848864740876E-2</v>
      </c>
    </row>
    <row r="9" spans="1:29" ht="15" customHeight="1" x14ac:dyDescent="0.25">
      <c r="A9" s="104" t="s">
        <v>358</v>
      </c>
      <c r="B9" s="130" t="str">
        <f>VLOOKUP(A9,'0 Järjestäjätiedot'!A:H,2,FALSE)</f>
        <v>Kisakalliosäätiö sr</v>
      </c>
      <c r="C9" s="309">
        <v>64</v>
      </c>
      <c r="D9" s="309">
        <v>46</v>
      </c>
      <c r="E9" s="318">
        <v>0.71875</v>
      </c>
      <c r="F9" s="319"/>
      <c r="G9" s="313">
        <v>4.1557971014492754</v>
      </c>
      <c r="H9" s="313">
        <v>0.9804256777322885</v>
      </c>
      <c r="I9" s="309">
        <v>2294</v>
      </c>
      <c r="J9" s="309">
        <v>8741.7445678710938</v>
      </c>
      <c r="K9" s="310">
        <v>1.375368566322762E-3</v>
      </c>
      <c r="L9" s="309">
        <v>13</v>
      </c>
      <c r="M9" s="309">
        <v>5</v>
      </c>
      <c r="N9" s="318">
        <v>0.38461538461538464</v>
      </c>
      <c r="O9" s="319"/>
      <c r="P9" s="313">
        <v>4.3499999999999996</v>
      </c>
      <c r="Q9" s="313">
        <v>0.85293610546160059</v>
      </c>
      <c r="R9" s="309">
        <v>261</v>
      </c>
      <c r="S9" s="309">
        <v>324.94693047337279</v>
      </c>
      <c r="T9" s="310">
        <v>1.2208443406838672E-3</v>
      </c>
      <c r="U9" s="309">
        <v>77</v>
      </c>
      <c r="V9" s="309">
        <v>51</v>
      </c>
      <c r="W9" s="318">
        <v>0.66233766233766234</v>
      </c>
      <c r="X9" s="319"/>
      <c r="Y9" s="313">
        <v>4.1748366013071898</v>
      </c>
      <c r="Z9" s="313">
        <v>0.97038878036876131</v>
      </c>
      <c r="AA9" s="309">
        <v>4206.2706651287963</v>
      </c>
      <c r="AB9" s="309">
        <v>9066.6914983444658</v>
      </c>
      <c r="AC9" s="310">
        <v>1.3691576833019983E-3</v>
      </c>
    </row>
    <row r="10" spans="1:29" ht="15" customHeight="1" x14ac:dyDescent="0.25">
      <c r="A10" s="104" t="s">
        <v>295</v>
      </c>
      <c r="B10" s="130" t="str">
        <f>VLOOKUP(A10,'0 Järjestäjätiedot'!A:H,2,FALSE)</f>
        <v>Salon Seudun Koulutuskuntayhtymä</v>
      </c>
      <c r="C10" s="309">
        <v>827</v>
      </c>
      <c r="D10" s="309">
        <v>284</v>
      </c>
      <c r="E10" s="318">
        <v>0.343409915356711</v>
      </c>
      <c r="F10" s="319"/>
      <c r="G10" s="313">
        <v>4.1081871345029244</v>
      </c>
      <c r="H10" s="313">
        <v>1.0139337383672506</v>
      </c>
      <c r="I10" s="309">
        <v>14000.701754385966</v>
      </c>
      <c r="J10" s="309">
        <v>51654.764234145267</v>
      </c>
      <c r="K10" s="310">
        <v>8.127020696711838E-3</v>
      </c>
      <c r="L10" s="309">
        <v>60</v>
      </c>
      <c r="M10" s="309">
        <v>15</v>
      </c>
      <c r="N10" s="318">
        <v>0.25</v>
      </c>
      <c r="O10" s="319"/>
      <c r="P10" s="313">
        <v>3.65</v>
      </c>
      <c r="Q10" s="313">
        <v>1.3518505834595778</v>
      </c>
      <c r="R10" s="309">
        <v>657</v>
      </c>
      <c r="S10" s="309">
        <v>778.904296875</v>
      </c>
      <c r="T10" s="310">
        <v>2.9263883225144425E-3</v>
      </c>
      <c r="U10" s="309">
        <v>887</v>
      </c>
      <c r="V10" s="309">
        <v>299</v>
      </c>
      <c r="W10" s="318">
        <v>0.33709131905298761</v>
      </c>
      <c r="X10" s="319"/>
      <c r="Y10" s="313">
        <v>4.0852777777777778</v>
      </c>
      <c r="Z10" s="313">
        <v>1.0382704264280378</v>
      </c>
      <c r="AA10" s="309">
        <v>26526.525666666668</v>
      </c>
      <c r="AB10" s="309">
        <v>52433.668531020267</v>
      </c>
      <c r="AC10" s="310">
        <v>7.9179886230898115E-3</v>
      </c>
    </row>
    <row r="11" spans="1:29" ht="15" customHeight="1" x14ac:dyDescent="0.25">
      <c r="A11" s="104" t="s">
        <v>266</v>
      </c>
      <c r="B11" s="130" t="str">
        <f>VLOOKUP(A11,'0 Järjestäjätiedot'!A:H,2,FALSE)</f>
        <v>Turun Aikuiskoulutussäätiö sr</v>
      </c>
      <c r="C11" s="309">
        <v>739</v>
      </c>
      <c r="D11" s="309">
        <v>243</v>
      </c>
      <c r="E11" s="318">
        <v>0.32882273342354534</v>
      </c>
      <c r="F11" s="319"/>
      <c r="G11" s="313">
        <v>4.2389753566796369</v>
      </c>
      <c r="H11" s="313">
        <v>0.93443893466042416</v>
      </c>
      <c r="I11" s="309">
        <v>12360.852140077821</v>
      </c>
      <c r="J11" s="309">
        <v>45381.600392221175</v>
      </c>
      <c r="K11" s="310">
        <v>7.1400423776145873E-3</v>
      </c>
      <c r="L11" s="309">
        <v>360</v>
      </c>
      <c r="M11" s="309">
        <v>199</v>
      </c>
      <c r="N11" s="318">
        <v>0.55277777777777781</v>
      </c>
      <c r="O11" s="319"/>
      <c r="P11" s="313">
        <v>4.1231398809523814</v>
      </c>
      <c r="Q11" s="313">
        <v>1.0732545179011448</v>
      </c>
      <c r="R11" s="309">
        <v>9846.0580357142844</v>
      </c>
      <c r="S11" s="309">
        <v>12598.10865385402</v>
      </c>
      <c r="T11" s="310">
        <v>4.7331820094353674E-2</v>
      </c>
      <c r="U11" s="309">
        <v>1099</v>
      </c>
      <c r="V11" s="309">
        <v>442</v>
      </c>
      <c r="W11" s="318">
        <v>0.40218380345768878</v>
      </c>
      <c r="X11" s="319"/>
      <c r="Y11" s="313">
        <v>4.1850311850311854</v>
      </c>
      <c r="Z11" s="313">
        <v>1.0031470485958143</v>
      </c>
      <c r="AA11" s="309">
        <v>22349.006202428242</v>
      </c>
      <c r="AB11" s="309">
        <v>57979.709046075193</v>
      </c>
      <c r="AC11" s="310">
        <v>8.7554941215925615E-3</v>
      </c>
    </row>
    <row r="12" spans="1:29" ht="15" customHeight="1" x14ac:dyDescent="0.25">
      <c r="A12" s="104" t="s">
        <v>360</v>
      </c>
      <c r="B12" s="130" t="str">
        <f>VLOOKUP(A12,'0 Järjestäjätiedot'!A:H,2,FALSE)</f>
        <v>Kiipulasäätiö sr</v>
      </c>
      <c r="C12" s="309">
        <v>168</v>
      </c>
      <c r="D12" s="309">
        <v>75</v>
      </c>
      <c r="E12" s="318">
        <v>0.44642857142857145</v>
      </c>
      <c r="F12" s="319"/>
      <c r="G12" s="313">
        <v>4.3279220779220777</v>
      </c>
      <c r="H12" s="313">
        <v>0.94756443908713917</v>
      </c>
      <c r="I12" s="309">
        <v>3895.1298701298701</v>
      </c>
      <c r="J12" s="309">
        <v>14756.600457946472</v>
      </c>
      <c r="K12" s="310">
        <v>2.3217064120401708E-3</v>
      </c>
      <c r="L12" s="309">
        <v>56</v>
      </c>
      <c r="M12" s="309">
        <v>7</v>
      </c>
      <c r="N12" s="318">
        <v>0.125</v>
      </c>
      <c r="O12" s="319"/>
      <c r="P12" s="313">
        <v>4.3571428571428568</v>
      </c>
      <c r="Q12" s="313">
        <v>0.89499743472440629</v>
      </c>
      <c r="R12" s="309">
        <v>366</v>
      </c>
      <c r="S12" s="309">
        <v>404.4228515625</v>
      </c>
      <c r="T12" s="310">
        <v>1.5194399554845719E-3</v>
      </c>
      <c r="U12" s="309">
        <v>224</v>
      </c>
      <c r="V12" s="309">
        <v>82</v>
      </c>
      <c r="W12" s="318">
        <v>0.36607142857142855</v>
      </c>
      <c r="X12" s="319"/>
      <c r="Y12" s="313">
        <v>4.3303571428571432</v>
      </c>
      <c r="Z12" s="313">
        <v>0.94333032108121995</v>
      </c>
      <c r="AA12" s="309">
        <v>7205.7142857142853</v>
      </c>
      <c r="AB12" s="309">
        <v>15161.023309508972</v>
      </c>
      <c r="AC12" s="310">
        <v>2.2894604448298675E-3</v>
      </c>
    </row>
    <row r="13" spans="1:29" ht="15" customHeight="1" x14ac:dyDescent="0.25">
      <c r="A13" s="104" t="s">
        <v>337</v>
      </c>
      <c r="B13" s="130" t="str">
        <f>VLOOKUP(A13,'0 Järjestäjätiedot'!A:H,2,FALSE)</f>
        <v>Lahden Konservatorio Oy</v>
      </c>
      <c r="C13" s="309">
        <v>16</v>
      </c>
      <c r="D13" s="309">
        <v>10</v>
      </c>
      <c r="E13" s="318">
        <v>0.625</v>
      </c>
      <c r="F13" s="319"/>
      <c r="G13" s="313">
        <v>4.3916666666666666</v>
      </c>
      <c r="H13" s="313">
        <v>0.76698363013097559</v>
      </c>
      <c r="I13" s="309">
        <v>527</v>
      </c>
      <c r="J13" s="309">
        <v>2024.88427734375</v>
      </c>
      <c r="K13" s="310">
        <v>3.185819676927493E-4</v>
      </c>
      <c r="L13" s="319"/>
      <c r="M13" s="319"/>
      <c r="N13" s="319"/>
      <c r="O13" s="319"/>
      <c r="P13" s="319"/>
      <c r="Q13" s="319"/>
      <c r="R13" s="319"/>
      <c r="S13" s="319"/>
      <c r="T13" s="319"/>
      <c r="U13" s="309">
        <v>16</v>
      </c>
      <c r="V13" s="309">
        <v>10</v>
      </c>
      <c r="W13" s="318">
        <v>0.625</v>
      </c>
      <c r="X13" s="319"/>
      <c r="Y13" s="313">
        <v>4.3916666666666666</v>
      </c>
      <c r="Z13" s="313">
        <v>0.76698363013097559</v>
      </c>
      <c r="AA13" s="309">
        <v>527</v>
      </c>
      <c r="AB13" s="309">
        <v>2024.88427734375</v>
      </c>
      <c r="AC13" s="310">
        <v>3.0577701542275197E-4</v>
      </c>
    </row>
    <row r="14" spans="1:29" ht="15" customHeight="1" x14ac:dyDescent="0.25">
      <c r="A14" s="104" t="s">
        <v>338</v>
      </c>
      <c r="B14" s="130" t="str">
        <f>VLOOKUP(A14,'0 Järjestäjätiedot'!A:H,2,FALSE)</f>
        <v>Lahden kansanopiston säätiö sr</v>
      </c>
      <c r="C14" s="309">
        <v>15</v>
      </c>
      <c r="D14" s="309">
        <v>15</v>
      </c>
      <c r="E14" s="318">
        <v>1</v>
      </c>
      <c r="F14" s="319"/>
      <c r="G14" s="313">
        <v>4.25</v>
      </c>
      <c r="H14" s="313">
        <v>1.0374916331657278</v>
      </c>
      <c r="I14" s="309">
        <v>765</v>
      </c>
      <c r="J14" s="309">
        <v>2295</v>
      </c>
      <c r="K14" s="310">
        <v>3.6108019803184944E-4</v>
      </c>
      <c r="L14" s="319"/>
      <c r="M14" s="319"/>
      <c r="N14" s="319"/>
      <c r="O14" s="319"/>
      <c r="P14" s="319"/>
      <c r="Q14" s="319"/>
      <c r="R14" s="319"/>
      <c r="S14" s="319"/>
      <c r="T14" s="319"/>
      <c r="U14" s="309">
        <v>15</v>
      </c>
      <c r="V14" s="309">
        <v>15</v>
      </c>
      <c r="W14" s="318">
        <v>1</v>
      </c>
      <c r="X14" s="319"/>
      <c r="Y14" s="313">
        <v>4.25</v>
      </c>
      <c r="Z14" s="313">
        <v>1.0374916331657278</v>
      </c>
      <c r="AA14" s="309">
        <v>765</v>
      </c>
      <c r="AB14" s="309">
        <v>2295</v>
      </c>
      <c r="AC14" s="310">
        <v>3.4656708941203522E-4</v>
      </c>
    </row>
    <row r="15" spans="1:29" ht="15" customHeight="1" x14ac:dyDescent="0.25">
      <c r="A15" s="104" t="s">
        <v>408</v>
      </c>
      <c r="B15" s="130" t="str">
        <f>VLOOKUP(A15,'0 Järjestäjätiedot'!A:H,2,FALSE)</f>
        <v>Aitoon Emäntäkoulu Oy</v>
      </c>
      <c r="C15" s="309">
        <v>17</v>
      </c>
      <c r="D15" s="309">
        <v>17</v>
      </c>
      <c r="E15" s="318">
        <v>1</v>
      </c>
      <c r="F15" s="319"/>
      <c r="G15" s="313">
        <v>4.6078431372549016</v>
      </c>
      <c r="H15" s="313">
        <v>0.81236597983790604</v>
      </c>
      <c r="I15" s="309">
        <v>940</v>
      </c>
      <c r="J15" s="309">
        <v>2820</v>
      </c>
      <c r="K15" s="310">
        <v>4.4368024333325291E-4</v>
      </c>
      <c r="L15" s="319"/>
      <c r="M15" s="319"/>
      <c r="N15" s="319"/>
      <c r="O15" s="319"/>
      <c r="P15" s="319"/>
      <c r="Q15" s="319"/>
      <c r="R15" s="319"/>
      <c r="S15" s="319"/>
      <c r="T15" s="319"/>
      <c r="U15" s="309">
        <v>17</v>
      </c>
      <c r="V15" s="309">
        <v>17</v>
      </c>
      <c r="W15" s="318">
        <v>1</v>
      </c>
      <c r="X15" s="319"/>
      <c r="Y15" s="313">
        <v>4.6078431372549016</v>
      </c>
      <c r="Z15" s="313">
        <v>0.81236597983790604</v>
      </c>
      <c r="AA15" s="309">
        <v>940</v>
      </c>
      <c r="AB15" s="309">
        <v>2820</v>
      </c>
      <c r="AC15" s="310">
        <v>4.2584714254550733E-4</v>
      </c>
    </row>
    <row r="16" spans="1:29" ht="15" customHeight="1" x14ac:dyDescent="0.25">
      <c r="A16" s="104" t="s">
        <v>314</v>
      </c>
      <c r="B16" s="130" t="str">
        <f>VLOOKUP(A16,'0 Järjestäjätiedot'!A:H,2,FALSE)</f>
        <v>Palloilu Säätiö sr</v>
      </c>
      <c r="C16" s="309">
        <v>89</v>
      </c>
      <c r="D16" s="309">
        <v>51</v>
      </c>
      <c r="E16" s="318">
        <v>0.5730337078651685</v>
      </c>
      <c r="F16" s="319"/>
      <c r="G16" s="313">
        <v>3.9077380952380953</v>
      </c>
      <c r="H16" s="313">
        <v>1.134076980664259</v>
      </c>
      <c r="I16" s="309">
        <v>2391.5357142857142</v>
      </c>
      <c r="J16" s="309">
        <v>9188.3894350968058</v>
      </c>
      <c r="K16" s="310">
        <v>1.4456407306398728E-3</v>
      </c>
      <c r="L16" s="319"/>
      <c r="M16" s="319"/>
      <c r="N16" s="319"/>
      <c r="O16" s="319"/>
      <c r="P16" s="319"/>
      <c r="Q16" s="319"/>
      <c r="R16" s="319"/>
      <c r="S16" s="319"/>
      <c r="T16" s="319"/>
      <c r="U16" s="309">
        <v>89</v>
      </c>
      <c r="V16" s="309">
        <v>51</v>
      </c>
      <c r="W16" s="318">
        <v>0.5730337078651685</v>
      </c>
      <c r="X16" s="319"/>
      <c r="Y16" s="313">
        <v>3.9077380952380953</v>
      </c>
      <c r="Z16" s="313">
        <v>1.134076980664259</v>
      </c>
      <c r="AA16" s="309">
        <v>2391.5357142857142</v>
      </c>
      <c r="AB16" s="309">
        <v>9188.3894350968058</v>
      </c>
      <c r="AC16" s="310">
        <v>1.3875352430962066E-3</v>
      </c>
    </row>
    <row r="17" spans="1:29" ht="15" customHeight="1" x14ac:dyDescent="0.25">
      <c r="A17" s="104" t="s">
        <v>409</v>
      </c>
      <c r="B17" s="130" t="str">
        <f>VLOOKUP(A17,'0 Järjestäjätiedot'!A:H,2,FALSE)</f>
        <v>Ahlmanin koulun Säätiö sr</v>
      </c>
      <c r="C17" s="309">
        <v>155</v>
      </c>
      <c r="D17" s="309">
        <v>70</v>
      </c>
      <c r="E17" s="318">
        <v>0.45161290322580644</v>
      </c>
      <c r="F17" s="319"/>
      <c r="G17" s="313">
        <v>4.0214285714285714</v>
      </c>
      <c r="H17" s="313">
        <v>1.0302648097607203</v>
      </c>
      <c r="I17" s="309">
        <v>3378</v>
      </c>
      <c r="J17" s="309">
        <v>12809.861082206035</v>
      </c>
      <c r="K17" s="310">
        <v>2.0154192489426738E-3</v>
      </c>
      <c r="L17" s="319"/>
      <c r="M17" s="319"/>
      <c r="N17" s="319"/>
      <c r="O17" s="319"/>
      <c r="P17" s="319"/>
      <c r="Q17" s="319"/>
      <c r="R17" s="319"/>
      <c r="S17" s="319"/>
      <c r="T17" s="319"/>
      <c r="U17" s="309">
        <v>155</v>
      </c>
      <c r="V17" s="309">
        <v>70</v>
      </c>
      <c r="W17" s="318">
        <v>0.45161290322580644</v>
      </c>
      <c r="X17" s="319"/>
      <c r="Y17" s="313">
        <v>4.0214285714285714</v>
      </c>
      <c r="Z17" s="313">
        <v>1.0302648097607203</v>
      </c>
      <c r="AA17" s="309">
        <v>3378</v>
      </c>
      <c r="AB17" s="309">
        <v>12809.861082206035</v>
      </c>
      <c r="AC17" s="310">
        <v>1.9344123185327446E-3</v>
      </c>
    </row>
    <row r="18" spans="1:29" ht="15" customHeight="1" x14ac:dyDescent="0.25">
      <c r="A18" s="104" t="s">
        <v>277</v>
      </c>
      <c r="B18" s="130" t="str">
        <f>VLOOKUP(A18,'0 Järjestäjätiedot'!A:H,2,FALSE)</f>
        <v>Tampereen Aikuiskoulutussäätiö sr</v>
      </c>
      <c r="C18" s="309">
        <v>916</v>
      </c>
      <c r="D18" s="309">
        <v>444</v>
      </c>
      <c r="E18" s="318">
        <v>0.48471615720524019</v>
      </c>
      <c r="F18" s="319"/>
      <c r="G18" s="313">
        <v>4.3249103942652329</v>
      </c>
      <c r="H18" s="313">
        <v>0.9475432726897266</v>
      </c>
      <c r="I18" s="309">
        <v>23043.122580645162</v>
      </c>
      <c r="J18" s="309">
        <v>87854.225475065366</v>
      </c>
      <c r="K18" s="310">
        <v>1.3822405722209741E-2</v>
      </c>
      <c r="L18" s="309">
        <v>488</v>
      </c>
      <c r="M18" s="309">
        <v>338</v>
      </c>
      <c r="N18" s="318">
        <v>0.69262295081967218</v>
      </c>
      <c r="O18" s="319"/>
      <c r="P18" s="313">
        <v>4.2780235988200586</v>
      </c>
      <c r="Q18" s="313">
        <v>0.94574492260694054</v>
      </c>
      <c r="R18" s="309">
        <v>17351.663716814157</v>
      </c>
      <c r="S18" s="309">
        <v>22115.522172936413</v>
      </c>
      <c r="T18" s="310">
        <v>8.30892910629E-2</v>
      </c>
      <c r="U18" s="309">
        <v>1404</v>
      </c>
      <c r="V18" s="309">
        <v>782</v>
      </c>
      <c r="W18" s="318">
        <v>0.55698005698005693</v>
      </c>
      <c r="X18" s="319"/>
      <c r="Y18" s="313">
        <v>4.3051409618573802</v>
      </c>
      <c r="Z18" s="313">
        <v>0.94706850050063918</v>
      </c>
      <c r="AA18" s="309">
        <v>41257.643721690052</v>
      </c>
      <c r="AB18" s="309">
        <v>109969.74764800178</v>
      </c>
      <c r="AC18" s="310">
        <v>1.6606490355444002E-2</v>
      </c>
    </row>
    <row r="19" spans="1:29" ht="15" customHeight="1" x14ac:dyDescent="0.25">
      <c r="A19" s="104" t="s">
        <v>250</v>
      </c>
      <c r="B19" s="130" t="str">
        <f>VLOOKUP(A19,'0 Järjestäjätiedot'!A:H,2,FALSE)</f>
        <v>Varalan Säätiö sr</v>
      </c>
      <c r="C19" s="309">
        <v>151</v>
      </c>
      <c r="D19" s="309">
        <v>96</v>
      </c>
      <c r="E19" s="318">
        <v>0.63576158940397354</v>
      </c>
      <c r="F19" s="319"/>
      <c r="G19" s="313">
        <v>3.8411458333333335</v>
      </c>
      <c r="H19" s="313">
        <v>1.0598126502984559</v>
      </c>
      <c r="I19" s="309">
        <v>4425</v>
      </c>
      <c r="J19" s="309">
        <v>16995.330248673305</v>
      </c>
      <c r="K19" s="310">
        <v>2.6739334256242432E-3</v>
      </c>
      <c r="L19" s="319"/>
      <c r="M19" s="319"/>
      <c r="N19" s="319"/>
      <c r="O19" s="319"/>
      <c r="P19" s="319"/>
      <c r="Q19" s="319"/>
      <c r="R19" s="319"/>
      <c r="S19" s="319"/>
      <c r="T19" s="319"/>
      <c r="U19" s="309">
        <v>151</v>
      </c>
      <c r="V19" s="309">
        <v>96</v>
      </c>
      <c r="W19" s="318">
        <v>0.63576158940397354</v>
      </c>
      <c r="X19" s="319"/>
      <c r="Y19" s="313">
        <v>3.8411458333333335</v>
      </c>
      <c r="Z19" s="313">
        <v>1.0598126502984559</v>
      </c>
      <c r="AA19" s="309">
        <v>4425</v>
      </c>
      <c r="AB19" s="309">
        <v>16995.330248673305</v>
      </c>
      <c r="AC19" s="310">
        <v>2.566458447877572E-3</v>
      </c>
    </row>
    <row r="20" spans="1:29" ht="15" customHeight="1" x14ac:dyDescent="0.25">
      <c r="A20" s="104" t="s">
        <v>350</v>
      </c>
      <c r="B20" s="130" t="str">
        <f>VLOOKUP(A20,'0 Järjestäjätiedot'!A:H,2,FALSE)</f>
        <v>Kouvolan Aikuiskoulutussäätiö sr</v>
      </c>
      <c r="C20" s="309">
        <v>181</v>
      </c>
      <c r="D20" s="309">
        <v>153</v>
      </c>
      <c r="E20" s="318">
        <v>0.84530386740331487</v>
      </c>
      <c r="F20" s="319"/>
      <c r="G20" s="313">
        <v>4.344771241830065</v>
      </c>
      <c r="H20" s="313">
        <v>0.89014203045353613</v>
      </c>
      <c r="I20" s="309">
        <v>7977</v>
      </c>
      <c r="J20" s="309">
        <v>28310.529411764706</v>
      </c>
      <c r="K20" s="310">
        <v>4.4541924036542481E-3</v>
      </c>
      <c r="L20" s="309">
        <v>147</v>
      </c>
      <c r="M20" s="309">
        <v>43</v>
      </c>
      <c r="N20" s="318">
        <v>0.29251700680272108</v>
      </c>
      <c r="O20" s="319"/>
      <c r="P20" s="313">
        <v>3.8972868217054262</v>
      </c>
      <c r="Q20" s="313">
        <v>1.1028119463676211</v>
      </c>
      <c r="R20" s="309">
        <v>2011</v>
      </c>
      <c r="S20" s="309">
        <v>2428.0534485052526</v>
      </c>
      <c r="T20" s="310">
        <v>9.1223367063886993E-3</v>
      </c>
      <c r="U20" s="309">
        <v>328</v>
      </c>
      <c r="V20" s="309">
        <v>196</v>
      </c>
      <c r="W20" s="318">
        <v>0.59756097560975607</v>
      </c>
      <c r="X20" s="319"/>
      <c r="Y20" s="313">
        <v>4.2465986394557822</v>
      </c>
      <c r="Z20" s="313">
        <v>0.95897408092675063</v>
      </c>
      <c r="AA20" s="309">
        <v>13133.949604331528</v>
      </c>
      <c r="AB20" s="309">
        <v>30738.582860269958</v>
      </c>
      <c r="AC20" s="310">
        <v>4.6418218712568331E-3</v>
      </c>
    </row>
    <row r="21" spans="1:29" ht="15" customHeight="1" x14ac:dyDescent="0.25">
      <c r="A21" s="104" t="s">
        <v>349</v>
      </c>
      <c r="B21" s="130" t="str">
        <f>VLOOKUP(A21,'0 Järjestäjätiedot'!A:H,2,FALSE)</f>
        <v>Kouvolan kaupunki</v>
      </c>
      <c r="C21" s="309">
        <v>629</v>
      </c>
      <c r="D21" s="309">
        <v>484</v>
      </c>
      <c r="E21" s="318">
        <v>0.76947535771065179</v>
      </c>
      <c r="F21" s="319"/>
      <c r="G21" s="313">
        <v>4.1323024054982822</v>
      </c>
      <c r="H21" s="313">
        <v>0.99259519160271814</v>
      </c>
      <c r="I21" s="309">
        <v>24000.412371134022</v>
      </c>
      <c r="J21" s="309">
        <v>90635.950592978741</v>
      </c>
      <c r="K21" s="310">
        <v>1.4260064047458687E-2</v>
      </c>
      <c r="L21" s="309">
        <v>36</v>
      </c>
      <c r="M21" s="309">
        <v>29</v>
      </c>
      <c r="N21" s="318">
        <v>0.80555555555555558</v>
      </c>
      <c r="O21" s="319"/>
      <c r="P21" s="313">
        <v>3.6896551724137931</v>
      </c>
      <c r="Q21" s="313">
        <v>1.2870740659374962</v>
      </c>
      <c r="R21" s="309">
        <v>1284</v>
      </c>
      <c r="S21" s="309">
        <v>1593.9310344827586</v>
      </c>
      <c r="T21" s="310">
        <v>5.9884907361761174E-3</v>
      </c>
      <c r="U21" s="309">
        <v>665</v>
      </c>
      <c r="V21" s="309">
        <v>513</v>
      </c>
      <c r="W21" s="318">
        <v>0.77142857142857146</v>
      </c>
      <c r="X21" s="319"/>
      <c r="Y21" s="313">
        <v>4.1073281452658881</v>
      </c>
      <c r="Z21" s="313">
        <v>1.0166375977511137</v>
      </c>
      <c r="AA21" s="309">
        <v>45180.162106920623</v>
      </c>
      <c r="AB21" s="309">
        <v>92229.881627461495</v>
      </c>
      <c r="AC21" s="310">
        <v>1.3927599839845695E-2</v>
      </c>
    </row>
    <row r="22" spans="1:29" ht="15" customHeight="1" x14ac:dyDescent="0.25">
      <c r="A22" s="104" t="s">
        <v>257</v>
      </c>
      <c r="B22" s="130" t="str">
        <f>VLOOKUP(A22,'0 Järjestäjätiedot'!A:H,2,FALSE)</f>
        <v>Valkealan Kristillisen Kansanopiston kannatusyhdistys r.y.</v>
      </c>
      <c r="C22" s="309">
        <v>23</v>
      </c>
      <c r="D22" s="309">
        <v>21</v>
      </c>
      <c r="E22" s="318">
        <v>0.91304347826086951</v>
      </c>
      <c r="F22" s="319"/>
      <c r="G22" s="313">
        <v>4.5357142857142856</v>
      </c>
      <c r="H22" s="313">
        <v>0.94842930184045382</v>
      </c>
      <c r="I22" s="309">
        <v>1143</v>
      </c>
      <c r="J22" s="309">
        <v>3755.5714285714289</v>
      </c>
      <c r="K22" s="310">
        <v>5.9087689549077447E-4</v>
      </c>
      <c r="L22" s="319"/>
      <c r="M22" s="319"/>
      <c r="N22" s="319"/>
      <c r="O22" s="319"/>
      <c r="P22" s="319"/>
      <c r="Q22" s="319"/>
      <c r="R22" s="319"/>
      <c r="S22" s="319"/>
      <c r="T22" s="319"/>
      <c r="U22" s="309">
        <v>23</v>
      </c>
      <c r="V22" s="309">
        <v>21</v>
      </c>
      <c r="W22" s="318">
        <v>0.91304347826086951</v>
      </c>
      <c r="X22" s="319"/>
      <c r="Y22" s="313">
        <v>4.5357142857142856</v>
      </c>
      <c r="Z22" s="313">
        <v>0.94842930184045382</v>
      </c>
      <c r="AA22" s="309">
        <v>1143</v>
      </c>
      <c r="AB22" s="309">
        <v>3755.5714285714289</v>
      </c>
      <c r="AC22" s="310">
        <v>5.6712743314989069E-4</v>
      </c>
    </row>
    <row r="23" spans="1:29" ht="15" customHeight="1" x14ac:dyDescent="0.25">
      <c r="A23" s="104" t="s">
        <v>378</v>
      </c>
      <c r="B23" s="130" t="str">
        <f>VLOOKUP(A23,'0 Järjestäjätiedot'!A:H,2,FALSE)</f>
        <v>Itä-Suomen Liikuntaopisto Oy</v>
      </c>
      <c r="C23" s="309">
        <v>63</v>
      </c>
      <c r="D23" s="309">
        <v>51</v>
      </c>
      <c r="E23" s="318">
        <v>0.80952380952380953</v>
      </c>
      <c r="F23" s="319"/>
      <c r="G23" s="313">
        <v>4.1879084967320264</v>
      </c>
      <c r="H23" s="313">
        <v>0.93706407980797546</v>
      </c>
      <c r="I23" s="309">
        <v>2563</v>
      </c>
      <c r="J23" s="309">
        <v>9498.176470588236</v>
      </c>
      <c r="K23" s="310">
        <v>1.4943805842882148E-3</v>
      </c>
      <c r="L23" s="319"/>
      <c r="M23" s="319"/>
      <c r="N23" s="319"/>
      <c r="O23" s="319"/>
      <c r="P23" s="319"/>
      <c r="Q23" s="319"/>
      <c r="R23" s="319"/>
      <c r="S23" s="319"/>
      <c r="T23" s="319"/>
      <c r="U23" s="309">
        <v>63</v>
      </c>
      <c r="V23" s="309">
        <v>51</v>
      </c>
      <c r="W23" s="318">
        <v>0.80952380952380953</v>
      </c>
      <c r="X23" s="319"/>
      <c r="Y23" s="313">
        <v>4.1879084967320264</v>
      </c>
      <c r="Z23" s="313">
        <v>0.93706407980797546</v>
      </c>
      <c r="AA23" s="309">
        <v>2563</v>
      </c>
      <c r="AB23" s="309">
        <v>9498.176470588236</v>
      </c>
      <c r="AC23" s="310">
        <v>1.4343160671606286E-3</v>
      </c>
    </row>
    <row r="24" spans="1:29" ht="15" customHeight="1" x14ac:dyDescent="0.25">
      <c r="A24" s="104" t="s">
        <v>268</v>
      </c>
      <c r="B24" s="130" t="str">
        <f>VLOOKUP(A24,'0 Järjestäjätiedot'!A:H,2,FALSE)</f>
        <v>Tohtori Matthias Ingmanin säätiö sr</v>
      </c>
      <c r="C24" s="309">
        <v>74</v>
      </c>
      <c r="D24" s="309">
        <v>58</v>
      </c>
      <c r="E24" s="318">
        <v>0.78378378378378377</v>
      </c>
      <c r="F24" s="319"/>
      <c r="G24" s="313">
        <v>4.1293103448275863</v>
      </c>
      <c r="H24" s="313">
        <v>0.93030250067736009</v>
      </c>
      <c r="I24" s="309">
        <v>2874</v>
      </c>
      <c r="J24" s="309">
        <v>10819.421247260776</v>
      </c>
      <c r="K24" s="310">
        <v>1.7022565431594424E-3</v>
      </c>
      <c r="L24" s="309">
        <v>2</v>
      </c>
      <c r="M24" s="309">
        <v>2</v>
      </c>
      <c r="N24" s="318">
        <v>1</v>
      </c>
      <c r="O24" s="319"/>
      <c r="P24" s="313">
        <v>4.208333333333333</v>
      </c>
      <c r="Q24" s="313">
        <v>0.7058780977540593</v>
      </c>
      <c r="R24" s="309">
        <v>101</v>
      </c>
      <c r="S24" s="309">
        <v>101</v>
      </c>
      <c r="T24" s="310">
        <v>3.7946281945006597E-4</v>
      </c>
      <c r="U24" s="309">
        <v>76</v>
      </c>
      <c r="V24" s="309">
        <v>60</v>
      </c>
      <c r="W24" s="318">
        <v>0.78947368421052633</v>
      </c>
      <c r="X24" s="319"/>
      <c r="Y24" s="313">
        <v>4.1319444444444446</v>
      </c>
      <c r="Z24" s="313">
        <v>0.92380950250231608</v>
      </c>
      <c r="AA24" s="309">
        <v>5566.5555555555557</v>
      </c>
      <c r="AB24" s="309">
        <v>10920.421247260776</v>
      </c>
      <c r="AC24" s="310">
        <v>1.6490887175671088E-3</v>
      </c>
    </row>
    <row r="25" spans="1:29" ht="15" customHeight="1" x14ac:dyDescent="0.25">
      <c r="A25" s="104" t="s">
        <v>364</v>
      </c>
      <c r="B25" s="130" t="str">
        <f>VLOOKUP(A25,'0 Järjestäjätiedot'!A:H,2,FALSE)</f>
        <v>Kaustisen Evankelisen Opiston Kannatusyhdistys ry</v>
      </c>
      <c r="C25" s="309">
        <v>39</v>
      </c>
      <c r="D25" s="309">
        <v>17</v>
      </c>
      <c r="E25" s="318">
        <v>0.4358974358974359</v>
      </c>
      <c r="F25" s="319"/>
      <c r="G25" s="313">
        <v>4.083333333333333</v>
      </c>
      <c r="H25" s="313">
        <v>1.018417008211461</v>
      </c>
      <c r="I25" s="309">
        <v>833</v>
      </c>
      <c r="J25" s="309">
        <v>3149.2678131163707</v>
      </c>
      <c r="K25" s="310">
        <v>4.9548507434221721E-4</v>
      </c>
      <c r="L25" s="319"/>
      <c r="M25" s="319"/>
      <c r="N25" s="319"/>
      <c r="O25" s="319"/>
      <c r="P25" s="319"/>
      <c r="Q25" s="319"/>
      <c r="R25" s="319"/>
      <c r="S25" s="319"/>
      <c r="T25" s="319"/>
      <c r="U25" s="309">
        <v>39</v>
      </c>
      <c r="V25" s="309">
        <v>17</v>
      </c>
      <c r="W25" s="318">
        <v>0.4358974358974359</v>
      </c>
      <c r="X25" s="319"/>
      <c r="Y25" s="313">
        <v>4.083333333333333</v>
      </c>
      <c r="Z25" s="313">
        <v>1.018417008211461</v>
      </c>
      <c r="AA25" s="309">
        <v>833</v>
      </c>
      <c r="AB25" s="309">
        <v>3149.2678131163707</v>
      </c>
      <c r="AC25" s="310">
        <v>4.7556975153409408E-4</v>
      </c>
    </row>
    <row r="26" spans="1:29" ht="15" customHeight="1" x14ac:dyDescent="0.25">
      <c r="A26" s="104" t="s">
        <v>342</v>
      </c>
      <c r="B26" s="130" t="str">
        <f>VLOOKUP(A26,'0 Järjestäjätiedot'!A:H,2,FALSE)</f>
        <v>Kuortaneen Urheiluopistosäätiö sr</v>
      </c>
      <c r="C26" s="309">
        <v>90</v>
      </c>
      <c r="D26" s="309">
        <v>73</v>
      </c>
      <c r="E26" s="318">
        <v>0.81111111111111112</v>
      </c>
      <c r="F26" s="319"/>
      <c r="G26" s="313">
        <v>4.2860360360360357</v>
      </c>
      <c r="H26" s="313">
        <v>0.83783481061160137</v>
      </c>
      <c r="I26" s="309">
        <v>3754.5675675675675</v>
      </c>
      <c r="J26" s="309">
        <v>13886.756756756758</v>
      </c>
      <c r="K26" s="310">
        <v>2.1848509279955792E-3</v>
      </c>
      <c r="L26" s="319"/>
      <c r="M26" s="319"/>
      <c r="N26" s="319"/>
      <c r="O26" s="319"/>
      <c r="P26" s="319"/>
      <c r="Q26" s="319"/>
      <c r="R26" s="319"/>
      <c r="S26" s="319"/>
      <c r="T26" s="319"/>
      <c r="U26" s="309">
        <v>90</v>
      </c>
      <c r="V26" s="309">
        <v>73</v>
      </c>
      <c r="W26" s="318">
        <v>0.81111111111111112</v>
      </c>
      <c r="X26" s="319"/>
      <c r="Y26" s="313">
        <v>4.2860360360360357</v>
      </c>
      <c r="Z26" s="313">
        <v>0.83783481061160137</v>
      </c>
      <c r="AA26" s="309">
        <v>3754.5675675675675</v>
      </c>
      <c r="AB26" s="309">
        <v>13886.756756756758</v>
      </c>
      <c r="AC26" s="310">
        <v>2.0970339305281496E-3</v>
      </c>
    </row>
    <row r="27" spans="1:29" ht="15" customHeight="1" x14ac:dyDescent="0.25">
      <c r="A27" s="104" t="s">
        <v>327</v>
      </c>
      <c r="B27" s="130" t="str">
        <f>VLOOKUP(A27,'0 Järjestäjätiedot'!A:H,2,FALSE)</f>
        <v>Marttayhdistysten liitto ry</v>
      </c>
      <c r="C27" s="309">
        <v>85</v>
      </c>
      <c r="D27" s="309">
        <v>42</v>
      </c>
      <c r="E27" s="318">
        <v>0.49411764705882355</v>
      </c>
      <c r="F27" s="319"/>
      <c r="G27" s="313">
        <v>4.5595238095238093</v>
      </c>
      <c r="H27" s="313">
        <v>0.82160108609422167</v>
      </c>
      <c r="I27" s="309">
        <v>2298</v>
      </c>
      <c r="J27" s="309">
        <v>8772.5553633218005</v>
      </c>
      <c r="K27" s="310">
        <v>1.380216134132287E-3</v>
      </c>
      <c r="L27" s="309">
        <v>7</v>
      </c>
      <c r="M27" s="309">
        <v>5</v>
      </c>
      <c r="N27" s="318">
        <v>0.7142857142857143</v>
      </c>
      <c r="O27" s="319"/>
      <c r="P27" s="313">
        <v>4.0333333333333332</v>
      </c>
      <c r="Q27" s="313">
        <v>1.23782964184181</v>
      </c>
      <c r="R27" s="309">
        <v>242</v>
      </c>
      <c r="S27" s="309">
        <v>307.59311224489801</v>
      </c>
      <c r="T27" s="310">
        <v>1.1556450457016793E-3</v>
      </c>
      <c r="U27" s="309">
        <v>92</v>
      </c>
      <c r="V27" s="309">
        <v>47</v>
      </c>
      <c r="W27" s="318">
        <v>0.51086956521739135</v>
      </c>
      <c r="X27" s="319"/>
      <c r="Y27" s="313">
        <v>4.5035460992907801</v>
      </c>
      <c r="Z27" s="313">
        <v>0.89024750304012767</v>
      </c>
      <c r="AA27" s="309">
        <v>5080</v>
      </c>
      <c r="AB27" s="309">
        <v>9080.1484755666988</v>
      </c>
      <c r="AC27" s="310">
        <v>1.3711898163861784E-3</v>
      </c>
    </row>
    <row r="28" spans="1:29" ht="15" customHeight="1" x14ac:dyDescent="0.25">
      <c r="A28" s="104" t="s">
        <v>304</v>
      </c>
      <c r="B28" s="130" t="str">
        <f>VLOOKUP(A28,'0 Järjestäjätiedot'!A:H,2,FALSE)</f>
        <v>Raahen Porvari- ja Kauppakoulurahasto sr</v>
      </c>
      <c r="C28" s="319"/>
      <c r="D28" s="319"/>
      <c r="E28" s="319"/>
      <c r="F28" s="319"/>
      <c r="G28" s="319"/>
      <c r="H28" s="319"/>
      <c r="I28" s="319"/>
      <c r="J28" s="319"/>
      <c r="K28" s="319"/>
      <c r="L28" s="309">
        <v>1</v>
      </c>
      <c r="M28" s="309">
        <v>1</v>
      </c>
      <c r="N28" s="318">
        <v>1</v>
      </c>
      <c r="O28" s="319"/>
      <c r="P28" s="313">
        <v>4.916666666666667</v>
      </c>
      <c r="Q28" s="313">
        <v>0.27638539919627758</v>
      </c>
      <c r="R28" s="309">
        <v>59</v>
      </c>
      <c r="S28" s="309">
        <v>59</v>
      </c>
      <c r="T28" s="310">
        <v>2.2166639948073159E-4</v>
      </c>
      <c r="U28" s="309">
        <v>1</v>
      </c>
      <c r="V28" s="309">
        <v>1</v>
      </c>
      <c r="W28" s="318">
        <v>1</v>
      </c>
      <c r="X28" s="319"/>
      <c r="Y28" s="313">
        <v>4.916666666666667</v>
      </c>
      <c r="Z28" s="313">
        <v>0.27638539919627758</v>
      </c>
      <c r="AA28" s="309">
        <v>59</v>
      </c>
      <c r="AB28" s="309">
        <v>59</v>
      </c>
      <c r="AC28" s="310">
        <v>8.9095678759521038E-6</v>
      </c>
    </row>
    <row r="29" spans="1:29" ht="15" customHeight="1" x14ac:dyDescent="0.25">
      <c r="A29" s="104" t="s">
        <v>311</v>
      </c>
      <c r="B29" s="130" t="str">
        <f>VLOOKUP(A29,'0 Järjestäjätiedot'!A:H,2,FALSE)</f>
        <v>Peräpohjolan Kansanopiston kannatusyhdistys ry</v>
      </c>
      <c r="C29" s="309">
        <v>32</v>
      </c>
      <c r="D29" s="309">
        <v>18</v>
      </c>
      <c r="E29" s="318">
        <v>0.5625</v>
      </c>
      <c r="F29" s="319"/>
      <c r="G29" s="313">
        <v>4.0972222222222223</v>
      </c>
      <c r="H29" s="313">
        <v>1.0518025386197329</v>
      </c>
      <c r="I29" s="309">
        <v>885</v>
      </c>
      <c r="J29" s="309">
        <v>3398.8018798828125</v>
      </c>
      <c r="K29" s="310">
        <v>5.3474512237869636E-4</v>
      </c>
      <c r="L29" s="319"/>
      <c r="M29" s="319"/>
      <c r="N29" s="319"/>
      <c r="O29" s="319"/>
      <c r="P29" s="319"/>
      <c r="Q29" s="319"/>
      <c r="R29" s="319"/>
      <c r="S29" s="319"/>
      <c r="T29" s="319"/>
      <c r="U29" s="309">
        <v>32</v>
      </c>
      <c r="V29" s="309">
        <v>18</v>
      </c>
      <c r="W29" s="318">
        <v>0.5625</v>
      </c>
      <c r="X29" s="319"/>
      <c r="Y29" s="313">
        <v>4.0972222222222223</v>
      </c>
      <c r="Z29" s="313">
        <v>1.0518025386197329</v>
      </c>
      <c r="AA29" s="309">
        <v>885</v>
      </c>
      <c r="AB29" s="309">
        <v>3398.8018798828125</v>
      </c>
      <c r="AC29" s="310">
        <v>5.1325179738524621E-4</v>
      </c>
    </row>
    <row r="30" spans="1:29" ht="15" customHeight="1" x14ac:dyDescent="0.25">
      <c r="A30" s="104" t="s">
        <v>301</v>
      </c>
      <c r="B30" s="130" t="str">
        <f>VLOOKUP(A30,'0 Järjestäjätiedot'!A:H,2,FALSE)</f>
        <v>Raudaskylän Kristillinen Opisto r.y.</v>
      </c>
      <c r="C30" s="309">
        <v>33</v>
      </c>
      <c r="D30" s="309">
        <v>15</v>
      </c>
      <c r="E30" s="318">
        <v>0.45454545454545453</v>
      </c>
      <c r="F30" s="319"/>
      <c r="G30" s="313">
        <v>4.4375</v>
      </c>
      <c r="H30" s="313">
        <v>0.92772683659217925</v>
      </c>
      <c r="I30" s="309">
        <v>798.75</v>
      </c>
      <c r="J30" s="309">
        <v>3030.5878744834713</v>
      </c>
      <c r="K30" s="310">
        <v>4.7681275375660722E-4</v>
      </c>
      <c r="L30" s="319"/>
      <c r="M30" s="319"/>
      <c r="N30" s="319"/>
      <c r="O30" s="319"/>
      <c r="P30" s="319"/>
      <c r="Q30" s="319"/>
      <c r="R30" s="319"/>
      <c r="S30" s="319"/>
      <c r="T30" s="319"/>
      <c r="U30" s="309">
        <v>33</v>
      </c>
      <c r="V30" s="309">
        <v>15</v>
      </c>
      <c r="W30" s="318">
        <v>0.45454545454545453</v>
      </c>
      <c r="X30" s="319"/>
      <c r="Y30" s="313">
        <v>4.4375</v>
      </c>
      <c r="Z30" s="313">
        <v>0.92772683659217925</v>
      </c>
      <c r="AA30" s="309">
        <v>798.75</v>
      </c>
      <c r="AB30" s="309">
        <v>3030.5878744834713</v>
      </c>
      <c r="AC30" s="310">
        <v>4.5764793850420175E-4</v>
      </c>
    </row>
    <row r="31" spans="1:29" ht="15" customHeight="1" x14ac:dyDescent="0.25">
      <c r="A31" s="104" t="s">
        <v>384</v>
      </c>
      <c r="B31" s="130" t="str">
        <f>VLOOKUP(A31,'0 Järjestäjätiedot'!A:H,2,FALSE)</f>
        <v>Laajasalon opiston säätiö sr</v>
      </c>
      <c r="C31" s="309">
        <v>37</v>
      </c>
      <c r="D31" s="309">
        <v>21</v>
      </c>
      <c r="E31" s="318">
        <v>0.56756756756756754</v>
      </c>
      <c r="F31" s="319"/>
      <c r="G31" s="313">
        <v>4.1515151515151514</v>
      </c>
      <c r="H31" s="313">
        <v>1.051585012088524</v>
      </c>
      <c r="I31" s="309">
        <v>1046.1818181818182</v>
      </c>
      <c r="J31" s="309">
        <v>4018.6822083139655</v>
      </c>
      <c r="K31" s="310">
        <v>6.3227301420700507E-4</v>
      </c>
      <c r="L31" s="319"/>
      <c r="M31" s="319"/>
      <c r="N31" s="319"/>
      <c r="O31" s="319"/>
      <c r="P31" s="319"/>
      <c r="Q31" s="319"/>
      <c r="R31" s="319"/>
      <c r="S31" s="319"/>
      <c r="T31" s="319"/>
      <c r="U31" s="309">
        <v>37</v>
      </c>
      <c r="V31" s="309">
        <v>21</v>
      </c>
      <c r="W31" s="318">
        <v>0.56756756756756754</v>
      </c>
      <c r="X31" s="319"/>
      <c r="Y31" s="313">
        <v>4.1515151515151514</v>
      </c>
      <c r="Z31" s="313">
        <v>1.051585012088524</v>
      </c>
      <c r="AA31" s="309">
        <v>1046.1818181818182</v>
      </c>
      <c r="AB31" s="309">
        <v>4018.6822083139655</v>
      </c>
      <c r="AC31" s="310">
        <v>6.0685969333651468E-4</v>
      </c>
    </row>
    <row r="32" spans="1:29" ht="15" customHeight="1" x14ac:dyDescent="0.25">
      <c r="A32" s="104" t="s">
        <v>385</v>
      </c>
      <c r="B32" s="130" t="str">
        <f>VLOOKUP(A32,'0 Järjestäjätiedot'!A:H,2,FALSE)</f>
        <v>Helsingin Konservatorion Säätiö sr</v>
      </c>
      <c r="C32" s="309">
        <v>20</v>
      </c>
      <c r="D32" s="309">
        <v>16</v>
      </c>
      <c r="E32" s="318">
        <v>0.8</v>
      </c>
      <c r="F32" s="319"/>
      <c r="G32" s="313">
        <v>3.96875</v>
      </c>
      <c r="H32" s="313">
        <v>1.0098795823430298</v>
      </c>
      <c r="I32" s="309">
        <v>762</v>
      </c>
      <c r="J32" s="309">
        <v>2857.5</v>
      </c>
      <c r="K32" s="310">
        <v>4.4958024656906745E-4</v>
      </c>
      <c r="L32" s="309">
        <v>1</v>
      </c>
      <c r="M32" s="309">
        <v>1</v>
      </c>
      <c r="N32" s="318">
        <v>1</v>
      </c>
      <c r="O32" s="319"/>
      <c r="P32" s="313">
        <v>4.416666666666667</v>
      </c>
      <c r="Q32" s="313">
        <v>0.86200670273238222</v>
      </c>
      <c r="R32" s="309">
        <v>53</v>
      </c>
      <c r="S32" s="309">
        <v>53</v>
      </c>
      <c r="T32" s="310">
        <v>1.9912405377082667E-4</v>
      </c>
      <c r="U32" s="309">
        <v>21</v>
      </c>
      <c r="V32" s="309">
        <v>17</v>
      </c>
      <c r="W32" s="318">
        <v>0.80952380952380953</v>
      </c>
      <c r="X32" s="319"/>
      <c r="Y32" s="313">
        <v>3.9950980392156863</v>
      </c>
      <c r="Z32" s="313">
        <v>1.0073141779670385</v>
      </c>
      <c r="AA32" s="309">
        <v>1449.5155709342559</v>
      </c>
      <c r="AB32" s="309">
        <v>2910.5</v>
      </c>
      <c r="AC32" s="310">
        <v>4.3951351360946777E-4</v>
      </c>
    </row>
    <row r="33" spans="1:29" ht="15" customHeight="1" x14ac:dyDescent="0.25">
      <c r="A33" s="104" t="s">
        <v>389</v>
      </c>
      <c r="B33" s="130" t="str">
        <f>VLOOKUP(A33,'0 Järjestäjätiedot'!A:H,2,FALSE)</f>
        <v>Helsingin kaupunki</v>
      </c>
      <c r="C33" s="309">
        <v>2610</v>
      </c>
      <c r="D33" s="309">
        <v>635</v>
      </c>
      <c r="E33" s="318">
        <v>0.24329501915708812</v>
      </c>
      <c r="F33" s="319"/>
      <c r="G33" s="313">
        <v>4.1286089238845145</v>
      </c>
      <c r="H33" s="313">
        <v>1.0279533506701355</v>
      </c>
      <c r="I33" s="309">
        <v>31460</v>
      </c>
      <c r="J33" s="309">
        <v>111542.5279030145</v>
      </c>
      <c r="K33" s="310">
        <v>1.7549367348232491E-2</v>
      </c>
      <c r="L33" s="309">
        <v>599</v>
      </c>
      <c r="M33" s="309">
        <v>136</v>
      </c>
      <c r="N33" s="318">
        <v>0.22704507512520869</v>
      </c>
      <c r="O33" s="319"/>
      <c r="P33" s="313">
        <v>3.8713235294117645</v>
      </c>
      <c r="Q33" s="313">
        <v>1.0905616529376654</v>
      </c>
      <c r="R33" s="309">
        <v>6318</v>
      </c>
      <c r="S33" s="309">
        <v>7408.371417582448</v>
      </c>
      <c r="T33" s="310">
        <v>2.7833678273753638E-2</v>
      </c>
      <c r="U33" s="309">
        <v>3209</v>
      </c>
      <c r="V33" s="309">
        <v>771</v>
      </c>
      <c r="W33" s="318">
        <v>0.24026176378934247</v>
      </c>
      <c r="X33" s="319"/>
      <c r="Y33" s="313">
        <v>4.0832252485948981</v>
      </c>
      <c r="Z33" s="313">
        <v>1.0438875965146581</v>
      </c>
      <c r="AA33" s="309">
        <v>54813.215737137922</v>
      </c>
      <c r="AB33" s="309">
        <v>118950.89932059695</v>
      </c>
      <c r="AC33" s="310">
        <v>1.7962730701735652E-2</v>
      </c>
    </row>
    <row r="34" spans="1:29" ht="15" customHeight="1" x14ac:dyDescent="0.25">
      <c r="A34" s="104" t="s">
        <v>381</v>
      </c>
      <c r="B34" s="130" t="str">
        <f>VLOOKUP(A34,'0 Järjestäjätiedot'!A:H,2,FALSE)</f>
        <v>Invalidisäätiö sr</v>
      </c>
      <c r="C34" s="309">
        <v>208</v>
      </c>
      <c r="D34" s="309">
        <v>95</v>
      </c>
      <c r="E34" s="318">
        <v>0.45673076923076922</v>
      </c>
      <c r="F34" s="319"/>
      <c r="G34" s="313">
        <v>4.3964912280701753</v>
      </c>
      <c r="H34" s="313">
        <v>0.86995965066358294</v>
      </c>
      <c r="I34" s="309">
        <v>5012</v>
      </c>
      <c r="J34" s="309">
        <v>19023.757792275333</v>
      </c>
      <c r="K34" s="310">
        <v>2.9930728675140379E-3</v>
      </c>
      <c r="L34" s="309">
        <v>41</v>
      </c>
      <c r="M34" s="309">
        <v>7</v>
      </c>
      <c r="N34" s="318">
        <v>0.17073170731707318</v>
      </c>
      <c r="O34" s="319"/>
      <c r="P34" s="313">
        <v>4.0119047619047619</v>
      </c>
      <c r="Q34" s="313">
        <v>1.2391822151557355</v>
      </c>
      <c r="R34" s="309">
        <v>337</v>
      </c>
      <c r="S34" s="309">
        <v>383.26608045806074</v>
      </c>
      <c r="T34" s="310">
        <v>1.4399527474276391E-3</v>
      </c>
      <c r="U34" s="309">
        <v>249</v>
      </c>
      <c r="V34" s="309">
        <v>102</v>
      </c>
      <c r="W34" s="318">
        <v>0.40963855421686746</v>
      </c>
      <c r="X34" s="319"/>
      <c r="Y34" s="313">
        <v>4.3700980392156863</v>
      </c>
      <c r="Z34" s="313">
        <v>0.90538764503053293</v>
      </c>
      <c r="AA34" s="309">
        <v>9330.4163783160311</v>
      </c>
      <c r="AB34" s="309">
        <v>19407.023872733393</v>
      </c>
      <c r="AC34" s="310">
        <v>2.9306473977006955E-3</v>
      </c>
    </row>
    <row r="35" spans="1:29" ht="15" customHeight="1" x14ac:dyDescent="0.25">
      <c r="A35" s="104" t="s">
        <v>387</v>
      </c>
      <c r="B35" s="130" t="str">
        <f>VLOOKUP(A35,'0 Järjestäjätiedot'!A:H,2,FALSE)</f>
        <v>Hengitysliitto ry</v>
      </c>
      <c r="C35" s="309">
        <v>360</v>
      </c>
      <c r="D35" s="309">
        <v>307</v>
      </c>
      <c r="E35" s="318">
        <v>0.85277777777777775</v>
      </c>
      <c r="F35" s="319"/>
      <c r="G35" s="313">
        <v>4.3507057546145491</v>
      </c>
      <c r="H35" s="313">
        <v>0.92423166508654353</v>
      </c>
      <c r="I35" s="309">
        <v>16028</v>
      </c>
      <c r="J35" s="309">
        <v>56385.146579804561</v>
      </c>
      <c r="K35" s="310">
        <v>8.8712679272726323E-3</v>
      </c>
      <c r="L35" s="309">
        <v>88</v>
      </c>
      <c r="M35" s="309">
        <v>59</v>
      </c>
      <c r="N35" s="318">
        <v>0.67045454545454541</v>
      </c>
      <c r="O35" s="319"/>
      <c r="P35" s="313">
        <v>4.0621468926553677</v>
      </c>
      <c r="Q35" s="313">
        <v>1.0743974376964798</v>
      </c>
      <c r="R35" s="309">
        <v>2876</v>
      </c>
      <c r="S35" s="309">
        <v>3673.7218653150821</v>
      </c>
      <c r="T35" s="310">
        <v>1.3802384721661549E-2</v>
      </c>
      <c r="U35" s="309">
        <v>448</v>
      </c>
      <c r="V35" s="309">
        <v>366</v>
      </c>
      <c r="W35" s="318">
        <v>0.8169642857142857</v>
      </c>
      <c r="X35" s="319"/>
      <c r="Y35" s="313">
        <v>4.3041894353369763</v>
      </c>
      <c r="Z35" s="313">
        <v>0.95595188954051269</v>
      </c>
      <c r="AA35" s="309">
        <v>27583.503837080832</v>
      </c>
      <c r="AB35" s="309">
        <v>60058.868445119646</v>
      </c>
      <c r="AC35" s="310">
        <v>9.0694672027910421E-3</v>
      </c>
    </row>
    <row r="36" spans="1:29" ht="15" customHeight="1" x14ac:dyDescent="0.25">
      <c r="A36" s="104" t="s">
        <v>328</v>
      </c>
      <c r="B36" s="130" t="str">
        <f>VLOOKUP(A36,'0 Järjestäjätiedot'!A:H,2,FALSE)</f>
        <v>Markkinointi-instituutin Kannatusyhdistys ry</v>
      </c>
      <c r="C36" s="309">
        <v>1275</v>
      </c>
      <c r="D36" s="309">
        <v>442</v>
      </c>
      <c r="E36" s="318">
        <v>0.34666666666666668</v>
      </c>
      <c r="F36" s="319"/>
      <c r="G36" s="313">
        <v>4.3787707390648567</v>
      </c>
      <c r="H36" s="313">
        <v>0.88774648025273251</v>
      </c>
      <c r="I36" s="309">
        <v>23225</v>
      </c>
      <c r="J36" s="309">
        <v>85777.666666666657</v>
      </c>
      <c r="K36" s="310">
        <v>1.3495693623838767E-2</v>
      </c>
      <c r="L36" s="309">
        <v>37</v>
      </c>
      <c r="M36" s="309">
        <v>12</v>
      </c>
      <c r="N36" s="318">
        <v>0.32432432432432434</v>
      </c>
      <c r="O36" s="319"/>
      <c r="P36" s="313">
        <v>4.291666666666667</v>
      </c>
      <c r="Q36" s="313">
        <v>0.8154327412825374</v>
      </c>
      <c r="R36" s="309">
        <v>618</v>
      </c>
      <c r="S36" s="309">
        <v>755.12016070124173</v>
      </c>
      <c r="T36" s="310">
        <v>2.8370299525077233E-3</v>
      </c>
      <c r="U36" s="309">
        <v>1312</v>
      </c>
      <c r="V36" s="309">
        <v>454</v>
      </c>
      <c r="W36" s="318">
        <v>0.34603658536585363</v>
      </c>
      <c r="X36" s="319"/>
      <c r="Y36" s="313">
        <v>4.3764684287812043</v>
      </c>
      <c r="Z36" s="313">
        <v>0.88602123940030642</v>
      </c>
      <c r="AA36" s="309">
        <v>45538.561412020419</v>
      </c>
      <c r="AB36" s="309">
        <v>86532.786827367905</v>
      </c>
      <c r="AC36" s="310">
        <v>1.3067283690402177E-2</v>
      </c>
    </row>
    <row r="37" spans="1:29" ht="15" customHeight="1" x14ac:dyDescent="0.25">
      <c r="A37" s="104" t="s">
        <v>262</v>
      </c>
      <c r="B37" s="130" t="str">
        <f>VLOOKUP(A37,'0 Järjestäjätiedot'!A:H,2,FALSE)</f>
        <v>Työtehoseura ry</v>
      </c>
      <c r="C37" s="309">
        <v>481</v>
      </c>
      <c r="D37" s="309">
        <v>109</v>
      </c>
      <c r="E37" s="318">
        <v>0.22661122661122662</v>
      </c>
      <c r="F37" s="319"/>
      <c r="G37" s="313">
        <v>4.1077586206896548</v>
      </c>
      <c r="H37" s="313">
        <v>1.0387036733575066</v>
      </c>
      <c r="I37" s="309">
        <v>5372.9482758620688</v>
      </c>
      <c r="J37" s="309">
        <v>18896.585509228171</v>
      </c>
      <c r="K37" s="310">
        <v>2.9730644173411262E-3</v>
      </c>
      <c r="L37" s="309">
        <v>301</v>
      </c>
      <c r="M37" s="309">
        <v>229</v>
      </c>
      <c r="N37" s="318">
        <v>0.76079734219269102</v>
      </c>
      <c r="O37" s="319"/>
      <c r="P37" s="313">
        <v>4.059679767103348</v>
      </c>
      <c r="Q37" s="313">
        <v>0.9648503210303534</v>
      </c>
      <c r="R37" s="309">
        <v>11156</v>
      </c>
      <c r="S37" s="309">
        <v>14068.275671626139</v>
      </c>
      <c r="T37" s="310">
        <v>5.2855322288673512E-2</v>
      </c>
      <c r="U37" s="309">
        <v>782</v>
      </c>
      <c r="V37" s="309">
        <v>338</v>
      </c>
      <c r="W37" s="318">
        <v>0.43222506393861893</v>
      </c>
      <c r="X37" s="319"/>
      <c r="Y37" s="313">
        <v>4.0758454106280197</v>
      </c>
      <c r="Z37" s="313">
        <v>0.99055741652152307</v>
      </c>
      <c r="AA37" s="309">
        <v>18454.010333963455</v>
      </c>
      <c r="AB37" s="309">
        <v>32964.861180854306</v>
      </c>
      <c r="AC37" s="310">
        <v>4.9780113256298313E-3</v>
      </c>
    </row>
    <row r="38" spans="1:29" ht="15" customHeight="1" x14ac:dyDescent="0.25">
      <c r="A38" s="104" t="s">
        <v>283</v>
      </c>
      <c r="B38" s="130" t="str">
        <f>VLOOKUP(A38,'0 Järjestäjätiedot'!A:H,2,FALSE)</f>
        <v>Suomen Urheiluopiston Kannatusosakeyhtiö</v>
      </c>
      <c r="C38" s="309">
        <v>158</v>
      </c>
      <c r="D38" s="309">
        <v>102</v>
      </c>
      <c r="E38" s="318">
        <v>0.64556962025316456</v>
      </c>
      <c r="F38" s="319"/>
      <c r="G38" s="313">
        <v>3.9901960784313726</v>
      </c>
      <c r="H38" s="313">
        <v>1.0625388700852954</v>
      </c>
      <c r="I38" s="309">
        <v>4884</v>
      </c>
      <c r="J38" s="309">
        <v>18749.104530523953</v>
      </c>
      <c r="K38" s="310">
        <v>2.9498607306324334E-3</v>
      </c>
      <c r="L38" s="309">
        <v>16</v>
      </c>
      <c r="M38" s="309">
        <v>9</v>
      </c>
      <c r="N38" s="318">
        <v>0.5625</v>
      </c>
      <c r="O38" s="319"/>
      <c r="P38" s="313">
        <v>4.5092592592592595</v>
      </c>
      <c r="Q38" s="313">
        <v>0.77573585579746163</v>
      </c>
      <c r="R38" s="309">
        <v>487</v>
      </c>
      <c r="S38" s="309">
        <v>623.4337158203125</v>
      </c>
      <c r="T38" s="310">
        <v>2.3422763915386829E-3</v>
      </c>
      <c r="U38" s="309">
        <v>174</v>
      </c>
      <c r="V38" s="309">
        <v>111</v>
      </c>
      <c r="W38" s="318">
        <v>0.63793103448275867</v>
      </c>
      <c r="X38" s="319"/>
      <c r="Y38" s="313">
        <v>4.0322822822822824</v>
      </c>
      <c r="Z38" s="313">
        <v>1.0518151984108264</v>
      </c>
      <c r="AA38" s="309">
        <v>9141.2929145361577</v>
      </c>
      <c r="AB38" s="309">
        <v>19372.538246344266</v>
      </c>
      <c r="AC38" s="310">
        <v>2.9254397361912266E-3</v>
      </c>
    </row>
    <row r="39" spans="1:29" ht="15" customHeight="1" x14ac:dyDescent="0.25">
      <c r="A39" s="104" t="s">
        <v>332</v>
      </c>
      <c r="B39" s="130" t="str">
        <f>VLOOKUP(A39,'0 Järjestäjätiedot'!A:H,2,FALSE)</f>
        <v>Luksia, Länsi-Uudenmaan koulutuskuntayhtymä</v>
      </c>
      <c r="C39" s="309">
        <v>1020</v>
      </c>
      <c r="D39" s="309">
        <v>408</v>
      </c>
      <c r="E39" s="318">
        <v>0.4</v>
      </c>
      <c r="F39" s="319"/>
      <c r="G39" s="313">
        <v>4.1660554197229009</v>
      </c>
      <c r="H39" s="313">
        <v>1.0529642282814338</v>
      </c>
      <c r="I39" s="309">
        <v>20397.007334963328</v>
      </c>
      <c r="J39" s="309">
        <v>76488.77750611247</v>
      </c>
      <c r="K39" s="310">
        <v>1.2034240927721639E-2</v>
      </c>
      <c r="L39" s="309">
        <v>62</v>
      </c>
      <c r="M39" s="309">
        <v>16</v>
      </c>
      <c r="N39" s="318">
        <v>0.25806451612903225</v>
      </c>
      <c r="O39" s="319"/>
      <c r="P39" s="313">
        <v>4.494791666666667</v>
      </c>
      <c r="Q39" s="313">
        <v>0.7216690422882347</v>
      </c>
      <c r="R39" s="309">
        <v>863</v>
      </c>
      <c r="S39" s="309">
        <v>1026.8891779396461</v>
      </c>
      <c r="T39" s="310">
        <v>3.8580818091459262E-3</v>
      </c>
      <c r="U39" s="309">
        <v>1082</v>
      </c>
      <c r="V39" s="309">
        <v>424</v>
      </c>
      <c r="W39" s="318">
        <v>0.39186691312384475</v>
      </c>
      <c r="X39" s="319"/>
      <c r="Y39" s="313">
        <v>4.1784313725490199</v>
      </c>
      <c r="Z39" s="313">
        <v>1.0442773513136931</v>
      </c>
      <c r="AA39" s="309">
        <v>39435.268429065749</v>
      </c>
      <c r="AB39" s="309">
        <v>77515.666684052121</v>
      </c>
      <c r="AC39" s="310">
        <v>1.1705611758834602E-2</v>
      </c>
    </row>
    <row r="40" spans="1:29" ht="15" customHeight="1" x14ac:dyDescent="0.25">
      <c r="A40" s="104" t="s">
        <v>397</v>
      </c>
      <c r="B40" s="130" t="str">
        <f>VLOOKUP(A40,'0 Järjestäjätiedot'!A:H,2,FALSE)</f>
        <v>Eurajoen kristillisen opiston kannatusyhdistys r.y.</v>
      </c>
      <c r="C40" s="309">
        <v>24</v>
      </c>
      <c r="D40" s="309">
        <v>24</v>
      </c>
      <c r="E40" s="318">
        <v>1</v>
      </c>
      <c r="F40" s="319"/>
      <c r="G40" s="313">
        <v>4.2222222222222223</v>
      </c>
      <c r="H40" s="313">
        <v>0.92754488094799947</v>
      </c>
      <c r="I40" s="309">
        <v>1216</v>
      </c>
      <c r="J40" s="309">
        <v>3648</v>
      </c>
      <c r="K40" s="310">
        <v>5.7395231478003783E-4</v>
      </c>
      <c r="L40" s="309">
        <v>2</v>
      </c>
      <c r="M40" s="309">
        <v>2</v>
      </c>
      <c r="N40" s="318">
        <v>1</v>
      </c>
      <c r="O40" s="319"/>
      <c r="P40" s="313">
        <v>4.416666666666667</v>
      </c>
      <c r="Q40" s="313">
        <v>0.57130455003341762</v>
      </c>
      <c r="R40" s="309">
        <v>106</v>
      </c>
      <c r="S40" s="309">
        <v>106</v>
      </c>
      <c r="T40" s="310">
        <v>3.9824810754165334E-4</v>
      </c>
      <c r="U40" s="309">
        <v>26</v>
      </c>
      <c r="V40" s="309">
        <v>26</v>
      </c>
      <c r="W40" s="318">
        <v>1</v>
      </c>
      <c r="X40" s="319"/>
      <c r="Y40" s="313">
        <v>4.2371794871794872</v>
      </c>
      <c r="Z40" s="313">
        <v>0.90661514385454867</v>
      </c>
      <c r="AA40" s="309">
        <v>2268.5207100591715</v>
      </c>
      <c r="AB40" s="309">
        <v>3754</v>
      </c>
      <c r="AC40" s="310">
        <v>5.6689013231057961E-4</v>
      </c>
    </row>
    <row r="41" spans="1:29" ht="15" customHeight="1" x14ac:dyDescent="0.25">
      <c r="A41" s="104" t="s">
        <v>292</v>
      </c>
      <c r="B41" s="130" t="str">
        <f>VLOOKUP(A41,'0 Järjestäjätiedot'!A:H,2,FALSE)</f>
        <v>Satakunnan koulutuskuntayhtymä</v>
      </c>
      <c r="C41" s="309">
        <v>799</v>
      </c>
      <c r="D41" s="309">
        <v>639</v>
      </c>
      <c r="E41" s="318">
        <v>0.79974968710888605</v>
      </c>
      <c r="F41" s="319"/>
      <c r="G41" s="313">
        <v>4.1938377535101408</v>
      </c>
      <c r="H41" s="313">
        <v>0.96317990887403759</v>
      </c>
      <c r="I41" s="309">
        <v>32158.347893915754</v>
      </c>
      <c r="J41" s="309">
        <v>120601.34642565984</v>
      </c>
      <c r="K41" s="310">
        <v>1.897462224413287E-2</v>
      </c>
      <c r="L41" s="309">
        <v>242</v>
      </c>
      <c r="M41" s="309">
        <v>125</v>
      </c>
      <c r="N41" s="318">
        <v>0.51652892561983466</v>
      </c>
      <c r="O41" s="319"/>
      <c r="P41" s="313">
        <v>4.28</v>
      </c>
      <c r="Q41" s="313">
        <v>0.93537871118244464</v>
      </c>
      <c r="R41" s="309">
        <v>6420</v>
      </c>
      <c r="S41" s="309">
        <v>8190.6790327675708</v>
      </c>
      <c r="T41" s="310">
        <v>3.0772853059252689E-2</v>
      </c>
      <c r="U41" s="309">
        <v>1041</v>
      </c>
      <c r="V41" s="309">
        <v>764</v>
      </c>
      <c r="W41" s="318">
        <v>0.73390970220941398</v>
      </c>
      <c r="X41" s="319"/>
      <c r="Y41" s="313">
        <v>4.2078981723237598</v>
      </c>
      <c r="Z41" s="313">
        <v>0.95922679012205903</v>
      </c>
      <c r="AA41" s="309">
        <v>56061.59662960413</v>
      </c>
      <c r="AB41" s="309">
        <v>128792.02545842741</v>
      </c>
      <c r="AC41" s="310">
        <v>1.9448835469545938E-2</v>
      </c>
    </row>
    <row r="42" spans="1:29" ht="15" customHeight="1" x14ac:dyDescent="0.25">
      <c r="A42" s="104" t="s">
        <v>333</v>
      </c>
      <c r="B42" s="130" t="str">
        <f>VLOOKUP(A42,'0 Järjestäjätiedot'!A:H,2,FALSE)</f>
        <v>Lounais-Suomen koulutuskuntayhtymä</v>
      </c>
      <c r="C42" s="309">
        <v>564</v>
      </c>
      <c r="D42" s="309">
        <v>423</v>
      </c>
      <c r="E42" s="318">
        <v>0.75</v>
      </c>
      <c r="F42" s="319"/>
      <c r="G42" s="313">
        <v>3.9875886524822697</v>
      </c>
      <c r="H42" s="313">
        <v>1.0258881182984969</v>
      </c>
      <c r="I42" s="309">
        <v>20241</v>
      </c>
      <c r="J42" s="309">
        <v>76733.947265625</v>
      </c>
      <c r="K42" s="310">
        <v>1.2072814324373581E-2</v>
      </c>
      <c r="L42" s="309">
        <v>54</v>
      </c>
      <c r="M42" s="309">
        <v>35</v>
      </c>
      <c r="N42" s="318">
        <v>0.64814814814814814</v>
      </c>
      <c r="O42" s="319"/>
      <c r="P42" s="313">
        <v>4.25</v>
      </c>
      <c r="Q42" s="313">
        <v>0.97063362275867493</v>
      </c>
      <c r="R42" s="309">
        <v>1785</v>
      </c>
      <c r="S42" s="309">
        <v>2283.798386059671</v>
      </c>
      <c r="T42" s="310">
        <v>8.5803621250466634E-3</v>
      </c>
      <c r="U42" s="309">
        <v>618</v>
      </c>
      <c r="V42" s="309">
        <v>458</v>
      </c>
      <c r="W42" s="318">
        <v>0.74110032362459544</v>
      </c>
      <c r="X42" s="319"/>
      <c r="Y42" s="313">
        <v>4.0081699346405228</v>
      </c>
      <c r="Z42" s="313">
        <v>1.0240953597727038</v>
      </c>
      <c r="AA42" s="309">
        <v>37763.562475970779</v>
      </c>
      <c r="AB42" s="309">
        <v>79017.745651684672</v>
      </c>
      <c r="AC42" s="310">
        <v>1.1932440140481421E-2</v>
      </c>
    </row>
    <row r="43" spans="1:29" ht="15" customHeight="1" x14ac:dyDescent="0.25">
      <c r="A43" s="104" t="s">
        <v>303</v>
      </c>
      <c r="B43" s="130" t="str">
        <f>VLOOKUP(A43,'0 Järjestäjätiedot'!A:H,2,FALSE)</f>
        <v>Raision Seudun Koulutuskuntayhtymä</v>
      </c>
      <c r="C43" s="309">
        <v>603</v>
      </c>
      <c r="D43" s="309">
        <v>438</v>
      </c>
      <c r="E43" s="318">
        <v>0.72636815920398012</v>
      </c>
      <c r="F43" s="319"/>
      <c r="G43" s="313">
        <v>4.2201293759512941</v>
      </c>
      <c r="H43" s="313">
        <v>0.92799253805704895</v>
      </c>
      <c r="I43" s="309">
        <v>22181</v>
      </c>
      <c r="J43" s="309">
        <v>84428.047430756676</v>
      </c>
      <c r="K43" s="310">
        <v>1.3283353414265795E-2</v>
      </c>
      <c r="L43" s="309">
        <v>92</v>
      </c>
      <c r="M43" s="309">
        <v>71</v>
      </c>
      <c r="N43" s="318">
        <v>0.77173913043478259</v>
      </c>
      <c r="O43" s="319"/>
      <c r="P43" s="313">
        <v>3.8556338028169015</v>
      </c>
      <c r="Q43" s="313">
        <v>1.1844270012536366</v>
      </c>
      <c r="R43" s="309">
        <v>3285</v>
      </c>
      <c r="S43" s="309">
        <v>4133.2118199137522</v>
      </c>
      <c r="T43" s="310">
        <v>1.5528714956126838E-2</v>
      </c>
      <c r="U43" s="309">
        <v>695</v>
      </c>
      <c r="V43" s="309">
        <v>509</v>
      </c>
      <c r="W43" s="318">
        <v>0.73237410071942444</v>
      </c>
      <c r="X43" s="319"/>
      <c r="Y43" s="313">
        <v>4.1692861820563198</v>
      </c>
      <c r="Z43" s="313">
        <v>0.97605232514118545</v>
      </c>
      <c r="AA43" s="309">
        <v>38705.064516502563</v>
      </c>
      <c r="AB43" s="309">
        <v>88561.259250670424</v>
      </c>
      <c r="AC43" s="310">
        <v>1.3373602550400666E-2</v>
      </c>
    </row>
    <row r="44" spans="1:29" ht="15" customHeight="1" x14ac:dyDescent="0.25">
      <c r="A44" s="104" t="s">
        <v>264</v>
      </c>
      <c r="B44" s="130" t="str">
        <f>VLOOKUP(A44,'0 Järjestäjätiedot'!A:H,2,FALSE)</f>
        <v>Turun kaupunki</v>
      </c>
      <c r="C44" s="309">
        <v>1635</v>
      </c>
      <c r="D44" s="309">
        <v>758</v>
      </c>
      <c r="E44" s="318">
        <v>0.46360856269113149</v>
      </c>
      <c r="F44" s="319"/>
      <c r="G44" s="313">
        <v>4.1768640350877195</v>
      </c>
      <c r="H44" s="313">
        <v>0.97421348795324725</v>
      </c>
      <c r="I44" s="309">
        <v>37992.755263157895</v>
      </c>
      <c r="J44" s="309">
        <v>144378.1726973223</v>
      </c>
      <c r="K44" s="310">
        <v>2.2715511629205095E-2</v>
      </c>
      <c r="L44" s="309">
        <v>83</v>
      </c>
      <c r="M44" s="309">
        <v>60</v>
      </c>
      <c r="N44" s="318">
        <v>0.72289156626506024</v>
      </c>
      <c r="O44" s="319"/>
      <c r="P44" s="313">
        <v>3.9959016393442623</v>
      </c>
      <c r="Q44" s="313">
        <v>0.96452634608516208</v>
      </c>
      <c r="R44" s="309">
        <v>2877.0491803278687</v>
      </c>
      <c r="S44" s="309">
        <v>3652.2738197506592</v>
      </c>
      <c r="T44" s="310">
        <v>1.3721803178675714E-2</v>
      </c>
      <c r="U44" s="309">
        <v>1718</v>
      </c>
      <c r="V44" s="309">
        <v>818</v>
      </c>
      <c r="W44" s="318">
        <v>0.47613504074505236</v>
      </c>
      <c r="X44" s="319"/>
      <c r="Y44" s="313">
        <v>4.1634185952090945</v>
      </c>
      <c r="Z44" s="313">
        <v>0.97465319428942832</v>
      </c>
      <c r="AA44" s="309">
        <v>70558.839358436642</v>
      </c>
      <c r="AB44" s="309">
        <v>148030.44651707297</v>
      </c>
      <c r="AC44" s="310">
        <v>2.2354022219514564E-2</v>
      </c>
    </row>
    <row r="45" spans="1:29" ht="15" customHeight="1" x14ac:dyDescent="0.25">
      <c r="A45" s="104" t="s">
        <v>293</v>
      </c>
      <c r="B45" s="130" t="str">
        <f>VLOOKUP(A45,'0 Järjestäjätiedot'!A:H,2,FALSE)</f>
        <v>SASKY koulutuskuntayhtymä</v>
      </c>
      <c r="C45" s="309">
        <v>1466</v>
      </c>
      <c r="D45" s="309">
        <v>667</v>
      </c>
      <c r="E45" s="318">
        <v>0.45497953615279674</v>
      </c>
      <c r="F45" s="319"/>
      <c r="G45" s="313">
        <v>4.0182408795602198</v>
      </c>
      <c r="H45" s="313">
        <v>1.0361613237346896</v>
      </c>
      <c r="I45" s="309">
        <v>32162</v>
      </c>
      <c r="J45" s="309">
        <v>122037.38219680771</v>
      </c>
      <c r="K45" s="310">
        <v>1.9200558662706677E-2</v>
      </c>
      <c r="L45" s="309">
        <v>80</v>
      </c>
      <c r="M45" s="309">
        <v>51</v>
      </c>
      <c r="N45" s="318">
        <v>0.63749999999999996</v>
      </c>
      <c r="O45" s="319"/>
      <c r="P45" s="313">
        <v>3.7810457516339868</v>
      </c>
      <c r="Q45" s="313">
        <v>1.0760768513743113</v>
      </c>
      <c r="R45" s="309">
        <v>2314</v>
      </c>
      <c r="S45" s="309">
        <v>2962.270263671875</v>
      </c>
      <c r="T45" s="310">
        <v>1.1129420061643762E-2</v>
      </c>
      <c r="U45" s="309">
        <v>1546</v>
      </c>
      <c r="V45" s="309">
        <v>718</v>
      </c>
      <c r="W45" s="318">
        <v>0.4644243208279431</v>
      </c>
      <c r="X45" s="319"/>
      <c r="Y45" s="313">
        <v>4.0013927576601676</v>
      </c>
      <c r="Z45" s="313">
        <v>1.0408320678954073</v>
      </c>
      <c r="AA45" s="309">
        <v>59852.364739565957</v>
      </c>
      <c r="AB45" s="309">
        <v>124999.65246047958</v>
      </c>
      <c r="AC45" s="310">
        <v>1.8876150645204513E-2</v>
      </c>
    </row>
    <row r="46" spans="1:29" ht="15" customHeight="1" x14ac:dyDescent="0.25">
      <c r="A46" s="104" t="s">
        <v>351</v>
      </c>
      <c r="B46" s="130" t="str">
        <f>VLOOKUP(A46,'0 Järjestäjätiedot'!A:H,2,FALSE)</f>
        <v>Koulutuskuntayhtymä Tavastia</v>
      </c>
      <c r="C46" s="309">
        <v>845</v>
      </c>
      <c r="D46" s="309">
        <v>472</v>
      </c>
      <c r="E46" s="318">
        <v>0.55857988165680472</v>
      </c>
      <c r="F46" s="319"/>
      <c r="G46" s="313">
        <v>4.1420534458509142</v>
      </c>
      <c r="H46" s="313">
        <v>0.97265900718611298</v>
      </c>
      <c r="I46" s="309">
        <v>23460.590717299579</v>
      </c>
      <c r="J46" s="309">
        <v>90082.310559810037</v>
      </c>
      <c r="K46" s="310">
        <v>1.4172957967800772E-2</v>
      </c>
      <c r="L46" s="309">
        <v>265</v>
      </c>
      <c r="M46" s="309">
        <v>102</v>
      </c>
      <c r="N46" s="318">
        <v>0.38490566037735852</v>
      </c>
      <c r="O46" s="319"/>
      <c r="P46" s="313">
        <v>4.1781045751633989</v>
      </c>
      <c r="Q46" s="313">
        <v>1.0045538479884868</v>
      </c>
      <c r="R46" s="309">
        <v>5114</v>
      </c>
      <c r="S46" s="309">
        <v>6367.46707013172</v>
      </c>
      <c r="T46" s="310">
        <v>2.3922940665224091E-2</v>
      </c>
      <c r="U46" s="309">
        <v>1110</v>
      </c>
      <c r="V46" s="309">
        <v>574</v>
      </c>
      <c r="W46" s="318">
        <v>0.51711711711711716</v>
      </c>
      <c r="X46" s="319"/>
      <c r="Y46" s="313">
        <v>4.1484375</v>
      </c>
      <c r="Z46" s="313">
        <v>0.97847959974251331</v>
      </c>
      <c r="AA46" s="309">
        <v>40470.08203125</v>
      </c>
      <c r="AB46" s="309">
        <v>96449.77762994176</v>
      </c>
      <c r="AC46" s="310">
        <v>1.4564844752787338E-2</v>
      </c>
    </row>
    <row r="47" spans="1:29" ht="15" customHeight="1" x14ac:dyDescent="0.25">
      <c r="A47" s="104" t="s">
        <v>275</v>
      </c>
      <c r="B47" s="130" t="str">
        <f>VLOOKUP(A47,'0 Järjestäjätiedot'!A:H,2,FALSE)</f>
        <v>Tampereen Musiikkiopiston Säätiö sr</v>
      </c>
      <c r="C47" s="309">
        <v>28</v>
      </c>
      <c r="D47" s="309">
        <v>23</v>
      </c>
      <c r="E47" s="318">
        <v>0.8214285714285714</v>
      </c>
      <c r="F47" s="319"/>
      <c r="G47" s="313">
        <v>4.0942028985507246</v>
      </c>
      <c r="H47" s="313">
        <v>0.95087816893938237</v>
      </c>
      <c r="I47" s="309">
        <v>1130</v>
      </c>
      <c r="J47" s="309">
        <v>4126.9565217391309</v>
      </c>
      <c r="K47" s="310">
        <v>6.4930818219538044E-4</v>
      </c>
      <c r="L47" s="319"/>
      <c r="M47" s="319"/>
      <c r="N47" s="319"/>
      <c r="O47" s="319"/>
      <c r="P47" s="319"/>
      <c r="Q47" s="319"/>
      <c r="R47" s="319"/>
      <c r="S47" s="319"/>
      <c r="T47" s="319"/>
      <c r="U47" s="309">
        <v>28</v>
      </c>
      <c r="V47" s="309">
        <v>23</v>
      </c>
      <c r="W47" s="318">
        <v>0.8214285714285714</v>
      </c>
      <c r="X47" s="319"/>
      <c r="Y47" s="313">
        <v>4.0942028985507246</v>
      </c>
      <c r="Z47" s="313">
        <v>0.95087816893938237</v>
      </c>
      <c r="AA47" s="309">
        <v>1130</v>
      </c>
      <c r="AB47" s="309">
        <v>4126.9565217391309</v>
      </c>
      <c r="AC47" s="310">
        <v>6.2321015680572868E-4</v>
      </c>
    </row>
    <row r="48" spans="1:29" ht="15" customHeight="1" x14ac:dyDescent="0.25">
      <c r="A48" s="104" t="s">
        <v>258</v>
      </c>
      <c r="B48" s="130" t="str">
        <f>VLOOKUP(A48,'0 Järjestäjätiedot'!A:H,2,FALSE)</f>
        <v>Valkeakosken seudun koulutuskuntayhtymä</v>
      </c>
      <c r="C48" s="309">
        <v>359</v>
      </c>
      <c r="D48" s="309">
        <v>240</v>
      </c>
      <c r="E48" s="318">
        <v>0.66852367688022285</v>
      </c>
      <c r="F48" s="319"/>
      <c r="G48" s="313">
        <v>4.2232638888888889</v>
      </c>
      <c r="H48" s="313">
        <v>0.95223445544699381</v>
      </c>
      <c r="I48" s="309">
        <v>12163</v>
      </c>
      <c r="J48" s="309">
        <v>46617.676647449967</v>
      </c>
      <c r="K48" s="310">
        <v>7.3345184817629446E-3</v>
      </c>
      <c r="L48" s="309">
        <v>19</v>
      </c>
      <c r="M48" s="309">
        <v>9</v>
      </c>
      <c r="N48" s="318">
        <v>0.47368421052631576</v>
      </c>
      <c r="O48" s="319"/>
      <c r="P48" s="313">
        <v>3.9166666666666665</v>
      </c>
      <c r="Q48" s="313">
        <v>0.98248551021263431</v>
      </c>
      <c r="R48" s="309">
        <v>423</v>
      </c>
      <c r="S48" s="309">
        <v>536.69589681440448</v>
      </c>
      <c r="T48" s="310">
        <v>2.0163974078462928E-3</v>
      </c>
      <c r="U48" s="309">
        <v>378</v>
      </c>
      <c r="V48" s="309">
        <v>249</v>
      </c>
      <c r="W48" s="318">
        <v>0.65873015873015872</v>
      </c>
      <c r="X48" s="319"/>
      <c r="Y48" s="313">
        <v>4.2121820615796519</v>
      </c>
      <c r="Z48" s="313">
        <v>0.95506060226677425</v>
      </c>
      <c r="AA48" s="309">
        <v>23418.108288575993</v>
      </c>
      <c r="AB48" s="309">
        <v>47154.37254426437</v>
      </c>
      <c r="AC48" s="310">
        <v>7.1207641157806046E-3</v>
      </c>
    </row>
    <row r="49" spans="1:29" ht="15" customHeight="1" x14ac:dyDescent="0.25">
      <c r="A49" s="104" t="s">
        <v>284</v>
      </c>
      <c r="B49" s="130" t="str">
        <f>VLOOKUP(A49,'0 Järjestäjätiedot'!A:H,2,FALSE)</f>
        <v>Suomen Nuoriso-Opiston kannatusyhdistys ry</v>
      </c>
      <c r="C49" s="309">
        <v>25</v>
      </c>
      <c r="D49" s="309">
        <v>23</v>
      </c>
      <c r="E49" s="318">
        <v>0.92</v>
      </c>
      <c r="F49" s="319"/>
      <c r="G49" s="313">
        <v>4.2971014492753623</v>
      </c>
      <c r="H49" s="313">
        <v>0.85473464218353901</v>
      </c>
      <c r="I49" s="309">
        <v>1186</v>
      </c>
      <c r="J49" s="309">
        <v>3867.391304347826</v>
      </c>
      <c r="K49" s="310">
        <v>6.0846989892835096E-4</v>
      </c>
      <c r="L49" s="319"/>
      <c r="M49" s="319"/>
      <c r="N49" s="319"/>
      <c r="O49" s="319"/>
      <c r="P49" s="319"/>
      <c r="Q49" s="319"/>
      <c r="R49" s="319"/>
      <c r="S49" s="319"/>
      <c r="T49" s="319"/>
      <c r="U49" s="309">
        <v>25</v>
      </c>
      <c r="V49" s="309">
        <v>23</v>
      </c>
      <c r="W49" s="318">
        <v>0.92</v>
      </c>
      <c r="X49" s="319"/>
      <c r="Y49" s="313">
        <v>4.2971014492753623</v>
      </c>
      <c r="Z49" s="313">
        <v>0.85473464218353901</v>
      </c>
      <c r="AA49" s="309">
        <v>1186</v>
      </c>
      <c r="AB49" s="309">
        <v>3867.391304347826</v>
      </c>
      <c r="AC49" s="310">
        <v>5.8401331066023547E-4</v>
      </c>
    </row>
    <row r="50" spans="1:29" ht="15" customHeight="1" x14ac:dyDescent="0.25">
      <c r="A50" s="104" t="s">
        <v>380</v>
      </c>
      <c r="B50" s="130" t="str">
        <f>VLOOKUP(A50,'0 Järjestäjätiedot'!A:H,2,FALSE)</f>
        <v>Itä-Karjalan Kansanopistoseura ry</v>
      </c>
      <c r="C50" s="309">
        <v>30</v>
      </c>
      <c r="D50" s="309">
        <v>23</v>
      </c>
      <c r="E50" s="318">
        <v>0.76666666666666672</v>
      </c>
      <c r="F50" s="319"/>
      <c r="G50" s="313">
        <v>4.5615942028985508</v>
      </c>
      <c r="H50" s="313">
        <v>0.71209249356153437</v>
      </c>
      <c r="I50" s="309">
        <v>1259</v>
      </c>
      <c r="J50" s="309">
        <v>4757.315104166667</v>
      </c>
      <c r="K50" s="310">
        <v>7.484846535566051E-4</v>
      </c>
      <c r="L50" s="319"/>
      <c r="M50" s="319"/>
      <c r="N50" s="319"/>
      <c r="O50" s="319"/>
      <c r="P50" s="319"/>
      <c r="Q50" s="319"/>
      <c r="R50" s="319"/>
      <c r="S50" s="319"/>
      <c r="T50" s="319"/>
      <c r="U50" s="309">
        <v>30</v>
      </c>
      <c r="V50" s="309">
        <v>23</v>
      </c>
      <c r="W50" s="318">
        <v>0.76666666666666672</v>
      </c>
      <c r="X50" s="319"/>
      <c r="Y50" s="313">
        <v>4.5615942028985508</v>
      </c>
      <c r="Z50" s="313">
        <v>0.71209249356153437</v>
      </c>
      <c r="AA50" s="309">
        <v>1259</v>
      </c>
      <c r="AB50" s="309">
        <v>4757.315104166667</v>
      </c>
      <c r="AC50" s="310">
        <v>7.184003699638148E-4</v>
      </c>
    </row>
    <row r="51" spans="1:29" ht="15" customHeight="1" x14ac:dyDescent="0.25">
      <c r="A51" s="104" t="s">
        <v>379</v>
      </c>
      <c r="B51" s="130" t="str">
        <f>VLOOKUP(A51,'0 Järjestäjätiedot'!A:H,2,FALSE)</f>
        <v>Itä-Savon koulutuskuntayhtymä</v>
      </c>
      <c r="C51" s="309">
        <v>538</v>
      </c>
      <c r="D51" s="309">
        <v>190</v>
      </c>
      <c r="E51" s="318">
        <v>0.35315985130111527</v>
      </c>
      <c r="F51" s="319"/>
      <c r="G51" s="313">
        <v>4.0593368237347294</v>
      </c>
      <c r="H51" s="313">
        <v>1.0380900605486054</v>
      </c>
      <c r="I51" s="309">
        <v>9255.2879581151828</v>
      </c>
      <c r="J51" s="309">
        <v>34253.313304381147</v>
      </c>
      <c r="K51" s="310">
        <v>5.3891909155524744E-3</v>
      </c>
      <c r="L51" s="309">
        <v>137</v>
      </c>
      <c r="M51" s="309">
        <v>10</v>
      </c>
      <c r="N51" s="318">
        <v>7.2992700729927001E-2</v>
      </c>
      <c r="O51" s="319"/>
      <c r="P51" s="313">
        <v>4.2</v>
      </c>
      <c r="Q51" s="313">
        <v>0.97979589711327164</v>
      </c>
      <c r="R51" s="309">
        <v>504</v>
      </c>
      <c r="S51" s="309">
        <v>536.39117694070001</v>
      </c>
      <c r="T51" s="310">
        <v>2.0152525577233388E-3</v>
      </c>
      <c r="U51" s="309">
        <v>675</v>
      </c>
      <c r="V51" s="309">
        <v>200</v>
      </c>
      <c r="W51" s="318">
        <v>0.29629629629629628</v>
      </c>
      <c r="X51" s="319"/>
      <c r="Y51" s="313">
        <v>4.0663349917081257</v>
      </c>
      <c r="Z51" s="313">
        <v>1.035719120580374</v>
      </c>
      <c r="AA51" s="309">
        <v>17668.52899680701</v>
      </c>
      <c r="AB51" s="309">
        <v>34789.704481321845</v>
      </c>
      <c r="AC51" s="310">
        <v>5.2535802281466447E-3</v>
      </c>
    </row>
    <row r="52" spans="1:29" ht="15" customHeight="1" x14ac:dyDescent="0.25">
      <c r="A52" s="104" t="s">
        <v>357</v>
      </c>
      <c r="B52" s="130" t="str">
        <f>VLOOKUP(A52,'0 Järjestäjätiedot'!A:H,2,FALSE)</f>
        <v>Kiteen Evankelisen Kansanopiston kannatusyhdistys ry</v>
      </c>
      <c r="C52" s="309">
        <v>10</v>
      </c>
      <c r="D52" s="309">
        <v>9</v>
      </c>
      <c r="E52" s="318">
        <v>0.9</v>
      </c>
      <c r="F52" s="319"/>
      <c r="G52" s="313">
        <v>4.5370370370370372</v>
      </c>
      <c r="H52" s="313">
        <v>0.92722131608296454</v>
      </c>
      <c r="I52" s="309">
        <v>490</v>
      </c>
      <c r="J52" s="309">
        <v>1633.3333333333335</v>
      </c>
      <c r="K52" s="310">
        <v>2.5697791871547748E-4</v>
      </c>
      <c r="L52" s="309">
        <v>2</v>
      </c>
      <c r="M52" s="309">
        <v>1</v>
      </c>
      <c r="N52" s="318">
        <v>0.5</v>
      </c>
      <c r="O52" s="319"/>
      <c r="P52" s="313">
        <v>4.833333333333333</v>
      </c>
      <c r="Q52" s="313">
        <v>0.37267799624997022</v>
      </c>
      <c r="R52" s="309">
        <v>58</v>
      </c>
      <c r="S52" s="309">
        <v>73.859375</v>
      </c>
      <c r="T52" s="310">
        <v>2.7749392752791794E-4</v>
      </c>
      <c r="U52" s="309">
        <v>12</v>
      </c>
      <c r="V52" s="309">
        <v>10</v>
      </c>
      <c r="W52" s="318">
        <v>0.83333333333333337</v>
      </c>
      <c r="X52" s="319"/>
      <c r="Y52" s="313">
        <v>4.5666666666666664</v>
      </c>
      <c r="Z52" s="313">
        <v>0.89193921068397686</v>
      </c>
      <c r="AA52" s="309">
        <v>898.71999999999991</v>
      </c>
      <c r="AB52" s="309">
        <v>1707.1927083333335</v>
      </c>
      <c r="AC52" s="310">
        <v>2.5780253071570062E-4</v>
      </c>
    </row>
    <row r="53" spans="1:29" ht="15" customHeight="1" x14ac:dyDescent="0.25">
      <c r="A53" s="104" t="s">
        <v>344</v>
      </c>
      <c r="B53" s="130" t="str">
        <f>VLOOKUP(A53,'0 Järjestäjätiedot'!A:H,2,FALSE)</f>
        <v>Kuopion Konservatorion kannatusyhdistys r.y.</v>
      </c>
      <c r="C53" s="309">
        <v>17</v>
      </c>
      <c r="D53" s="309">
        <v>6</v>
      </c>
      <c r="E53" s="318">
        <v>0.35294117647058826</v>
      </c>
      <c r="F53" s="319"/>
      <c r="G53" s="313">
        <v>4.2222222222222223</v>
      </c>
      <c r="H53" s="313">
        <v>0.96064535921058736</v>
      </c>
      <c r="I53" s="309">
        <v>304</v>
      </c>
      <c r="J53" s="309">
        <v>1125.0103806228376</v>
      </c>
      <c r="K53" s="310">
        <v>1.7700173029332485E-4</v>
      </c>
      <c r="L53" s="319"/>
      <c r="M53" s="319"/>
      <c r="N53" s="319"/>
      <c r="O53" s="319"/>
      <c r="P53" s="319"/>
      <c r="Q53" s="319"/>
      <c r="R53" s="319"/>
      <c r="S53" s="319"/>
      <c r="T53" s="319"/>
      <c r="U53" s="309">
        <v>17</v>
      </c>
      <c r="V53" s="309">
        <v>6</v>
      </c>
      <c r="W53" s="318">
        <v>0.35294117647058826</v>
      </c>
      <c r="X53" s="319"/>
      <c r="Y53" s="313">
        <v>4.2222222222222223</v>
      </c>
      <c r="Z53" s="313">
        <v>0.96064535921058736</v>
      </c>
      <c r="AA53" s="309">
        <v>304</v>
      </c>
      <c r="AB53" s="309">
        <v>1125.0103806228376</v>
      </c>
      <c r="AC53" s="310">
        <v>1.6988739571711665E-4</v>
      </c>
    </row>
    <row r="54" spans="1:29" ht="15" customHeight="1" x14ac:dyDescent="0.25">
      <c r="A54" s="104" t="s">
        <v>343</v>
      </c>
      <c r="B54" s="130" t="str">
        <f>VLOOKUP(A54,'0 Järjestäjätiedot'!A:H,2,FALSE)</f>
        <v>Kuopion Talouskoulun kannatusyhdistys r.y.</v>
      </c>
      <c r="C54" s="309">
        <v>48</v>
      </c>
      <c r="D54" s="309">
        <v>39</v>
      </c>
      <c r="E54" s="318">
        <v>0.8125</v>
      </c>
      <c r="F54" s="319"/>
      <c r="G54" s="313">
        <v>4.5320512820512819</v>
      </c>
      <c r="H54" s="313">
        <v>0.76866966715176921</v>
      </c>
      <c r="I54" s="309">
        <v>2121</v>
      </c>
      <c r="J54" s="309">
        <v>7831.3846153846162</v>
      </c>
      <c r="K54" s="310">
        <v>1.2321385219113972E-3</v>
      </c>
      <c r="L54" s="309">
        <v>3</v>
      </c>
      <c r="M54" s="309">
        <v>2</v>
      </c>
      <c r="N54" s="318">
        <v>0.66666666666666663</v>
      </c>
      <c r="O54" s="319"/>
      <c r="P54" s="313">
        <v>4.833333333333333</v>
      </c>
      <c r="Q54" s="313">
        <v>0.47140452079103462</v>
      </c>
      <c r="R54" s="309">
        <v>116</v>
      </c>
      <c r="S54" s="309">
        <v>148.22222222222223</v>
      </c>
      <c r="T54" s="310">
        <v>5.5687942920394716E-4</v>
      </c>
      <c r="U54" s="309">
        <v>51</v>
      </c>
      <c r="V54" s="309">
        <v>41</v>
      </c>
      <c r="W54" s="318">
        <v>0.80392156862745101</v>
      </c>
      <c r="X54" s="319"/>
      <c r="Y54" s="313">
        <v>4.5467479674796749</v>
      </c>
      <c r="Z54" s="313">
        <v>0.7596597397647491</v>
      </c>
      <c r="AA54" s="309">
        <v>4058.8042831647831</v>
      </c>
      <c r="AB54" s="309">
        <v>7979.6068376068388</v>
      </c>
      <c r="AC54" s="310">
        <v>1.2049974363232143E-3</v>
      </c>
    </row>
    <row r="55" spans="1:29" ht="15" customHeight="1" x14ac:dyDescent="0.25">
      <c r="A55" s="104" t="s">
        <v>309</v>
      </c>
      <c r="B55" s="130" t="str">
        <f>VLOOKUP(A55,'0 Järjestäjätiedot'!A:H,2,FALSE)</f>
        <v>Portaanpää ry</v>
      </c>
      <c r="C55" s="309">
        <v>32</v>
      </c>
      <c r="D55" s="309">
        <v>26</v>
      </c>
      <c r="E55" s="318">
        <v>0.8125</v>
      </c>
      <c r="F55" s="319"/>
      <c r="G55" s="313">
        <v>4.4743589743589745</v>
      </c>
      <c r="H55" s="313">
        <v>0.72012034205044195</v>
      </c>
      <c r="I55" s="309">
        <v>1396</v>
      </c>
      <c r="J55" s="309">
        <v>5154.461538461539</v>
      </c>
      <c r="K55" s="310">
        <v>8.1096906015479036E-4</v>
      </c>
      <c r="L55" s="319"/>
      <c r="M55" s="319"/>
      <c r="N55" s="319"/>
      <c r="O55" s="319"/>
      <c r="P55" s="319"/>
      <c r="Q55" s="319"/>
      <c r="R55" s="319"/>
      <c r="S55" s="319"/>
      <c r="T55" s="319"/>
      <c r="U55" s="309">
        <v>32</v>
      </c>
      <c r="V55" s="309">
        <v>26</v>
      </c>
      <c r="W55" s="318">
        <v>0.8125</v>
      </c>
      <c r="X55" s="319"/>
      <c r="Y55" s="313">
        <v>4.4743589743589745</v>
      </c>
      <c r="Z55" s="313">
        <v>0.72012034205044195</v>
      </c>
      <c r="AA55" s="309">
        <v>1396</v>
      </c>
      <c r="AB55" s="309">
        <v>5154.461538461539</v>
      </c>
      <c r="AC55" s="310">
        <v>7.7837330408317949E-4</v>
      </c>
    </row>
    <row r="56" spans="1:29" ht="15" customHeight="1" x14ac:dyDescent="0.25">
      <c r="A56" s="104" t="s">
        <v>372</v>
      </c>
      <c r="B56" s="130" t="str">
        <f>VLOOKUP(A56,'0 Järjestäjätiedot'!A:H,2,FALSE)</f>
        <v>Jyväskylän Koulutuskuntayhtymä</v>
      </c>
      <c r="C56" s="309">
        <v>3228</v>
      </c>
      <c r="D56" s="309">
        <v>1318</v>
      </c>
      <c r="E56" s="318">
        <v>0.40830235439900869</v>
      </c>
      <c r="F56" s="319"/>
      <c r="G56" s="313">
        <v>4.2327520849128124</v>
      </c>
      <c r="H56" s="313">
        <v>0.92914716968049471</v>
      </c>
      <c r="I56" s="309">
        <v>66945.206974981047</v>
      </c>
      <c r="J56" s="309">
        <v>251554.77614371289</v>
      </c>
      <c r="K56" s="310">
        <v>3.9577973152866847E-2</v>
      </c>
      <c r="L56" s="309">
        <v>932</v>
      </c>
      <c r="M56" s="309">
        <v>102</v>
      </c>
      <c r="N56" s="318">
        <v>0.10944206008583691</v>
      </c>
      <c r="O56" s="319"/>
      <c r="P56" s="313">
        <v>4.1462418300653594</v>
      </c>
      <c r="Q56" s="313">
        <v>1.0559598645951767</v>
      </c>
      <c r="R56" s="309">
        <v>5075</v>
      </c>
      <c r="S56" s="309">
        <v>5548.2156296913281</v>
      </c>
      <c r="T56" s="310">
        <v>2.0844965799599945E-2</v>
      </c>
      <c r="U56" s="309">
        <v>4160</v>
      </c>
      <c r="V56" s="309">
        <v>1420</v>
      </c>
      <c r="W56" s="318">
        <v>0.34134615384615385</v>
      </c>
      <c r="X56" s="319"/>
      <c r="Y56" s="313">
        <v>4.226542341074361</v>
      </c>
      <c r="Z56" s="313">
        <v>0.93908619620873401</v>
      </c>
      <c r="AA56" s="309">
        <v>124840.05630432424</v>
      </c>
      <c r="AB56" s="309">
        <v>257102.99177340421</v>
      </c>
      <c r="AC56" s="310">
        <v>3.8825026378228815E-2</v>
      </c>
    </row>
    <row r="57" spans="1:29" ht="15" customHeight="1" x14ac:dyDescent="0.25">
      <c r="A57" s="104" t="s">
        <v>366</v>
      </c>
      <c r="B57" s="130" t="str">
        <f>VLOOKUP(A57,'0 Järjestäjätiedot'!A:H,2,FALSE)</f>
        <v>Karstulan Evankelisen Kansanopiston kannatusyhdistys ry</v>
      </c>
      <c r="C57" s="309">
        <v>19</v>
      </c>
      <c r="D57" s="309">
        <v>16</v>
      </c>
      <c r="E57" s="318">
        <v>0.84210526315789469</v>
      </c>
      <c r="F57" s="319"/>
      <c r="G57" s="313">
        <v>4.4313725490196081</v>
      </c>
      <c r="H57" s="313">
        <v>0.79223936669948625</v>
      </c>
      <c r="I57" s="309">
        <v>850.82352941176464</v>
      </c>
      <c r="J57" s="309">
        <v>3031.0588235294113</v>
      </c>
      <c r="K57" s="310">
        <v>4.7688684978047254E-4</v>
      </c>
      <c r="L57" s="319"/>
      <c r="M57" s="319"/>
      <c r="N57" s="319"/>
      <c r="O57" s="319"/>
      <c r="P57" s="319"/>
      <c r="Q57" s="319"/>
      <c r="R57" s="319"/>
      <c r="S57" s="319"/>
      <c r="T57" s="319"/>
      <c r="U57" s="309">
        <v>19</v>
      </c>
      <c r="V57" s="309">
        <v>16</v>
      </c>
      <c r="W57" s="318">
        <v>0.84210526315789469</v>
      </c>
      <c r="X57" s="319"/>
      <c r="Y57" s="313">
        <v>4.4313725490196081</v>
      </c>
      <c r="Z57" s="313">
        <v>0.79223936669948625</v>
      </c>
      <c r="AA57" s="309">
        <v>850.82352941176464</v>
      </c>
      <c r="AB57" s="309">
        <v>3031.0588235294113</v>
      </c>
      <c r="AC57" s="310">
        <v>4.5771905634303081E-4</v>
      </c>
    </row>
    <row r="58" spans="1:29" ht="15" customHeight="1" x14ac:dyDescent="0.25">
      <c r="A58" s="104" t="s">
        <v>241</v>
      </c>
      <c r="B58" s="130" t="str">
        <f>VLOOKUP(A58,'0 Järjestäjätiedot'!A:H,2,FALSE)</f>
        <v>Äänekosken Ammatillisen Koulutuksen kuntayhtymä</v>
      </c>
      <c r="C58" s="309">
        <v>692</v>
      </c>
      <c r="D58" s="309">
        <v>504</v>
      </c>
      <c r="E58" s="318">
        <v>0.72832369942196529</v>
      </c>
      <c r="F58" s="319"/>
      <c r="G58" s="313">
        <v>4.130621693121693</v>
      </c>
      <c r="H58" s="313">
        <v>0.97444266244174282</v>
      </c>
      <c r="I58" s="309">
        <v>24982</v>
      </c>
      <c r="J58" s="309">
        <v>95060.395569514541</v>
      </c>
      <c r="K58" s="310">
        <v>1.4956177105545209E-2</v>
      </c>
      <c r="L58" s="309">
        <v>108</v>
      </c>
      <c r="M58" s="309">
        <v>54</v>
      </c>
      <c r="N58" s="318">
        <v>0.5</v>
      </c>
      <c r="O58" s="319"/>
      <c r="P58" s="313">
        <v>4.2654320987654319</v>
      </c>
      <c r="Q58" s="313">
        <v>0.95285930896086357</v>
      </c>
      <c r="R58" s="309">
        <v>2764</v>
      </c>
      <c r="S58" s="309">
        <v>3519.78125</v>
      </c>
      <c r="T58" s="310">
        <v>1.3224020960123539E-2</v>
      </c>
      <c r="U58" s="309">
        <v>800</v>
      </c>
      <c r="V58" s="309">
        <v>558</v>
      </c>
      <c r="W58" s="318">
        <v>0.69750000000000001</v>
      </c>
      <c r="X58" s="319"/>
      <c r="Y58" s="313">
        <v>4.1436678614097966</v>
      </c>
      <c r="Z58" s="313">
        <v>0.97319138974911257</v>
      </c>
      <c r="AA58" s="309">
        <v>45791.005202913628</v>
      </c>
      <c r="AB58" s="309">
        <v>98580.176819514541</v>
      </c>
      <c r="AC58" s="310">
        <v>1.4886555535539407E-2</v>
      </c>
    </row>
    <row r="59" spans="1:29" ht="15" customHeight="1" x14ac:dyDescent="0.25">
      <c r="A59" s="104" t="s">
        <v>281</v>
      </c>
      <c r="B59" s="130" t="str">
        <f>VLOOKUP(A59,'0 Järjestäjätiedot'!A:H,2,FALSE)</f>
        <v>Suomen Yrittäjäopisto Oy</v>
      </c>
      <c r="C59" s="309">
        <v>460</v>
      </c>
      <c r="D59" s="309">
        <v>265</v>
      </c>
      <c r="E59" s="318">
        <v>0.57608695652173914</v>
      </c>
      <c r="F59" s="319"/>
      <c r="G59" s="313">
        <v>4.2583612040133776</v>
      </c>
      <c r="H59" s="313">
        <v>0.92643259816394818</v>
      </c>
      <c r="I59" s="309">
        <v>13541.588628762542</v>
      </c>
      <c r="J59" s="309">
        <v>52032.332379234242</v>
      </c>
      <c r="K59" s="310">
        <v>8.1864247841189168E-3</v>
      </c>
      <c r="L59" s="309">
        <v>87</v>
      </c>
      <c r="M59" s="309">
        <v>46</v>
      </c>
      <c r="N59" s="318">
        <v>0.52873563218390807</v>
      </c>
      <c r="O59" s="319"/>
      <c r="P59" s="313">
        <v>3.9782608695652173</v>
      </c>
      <c r="Q59" s="313">
        <v>1.0865941424919401</v>
      </c>
      <c r="R59" s="309">
        <v>2196</v>
      </c>
      <c r="S59" s="309">
        <v>2804.9120095124849</v>
      </c>
      <c r="T59" s="310">
        <v>1.0538216034049086E-2</v>
      </c>
      <c r="U59" s="309">
        <v>547</v>
      </c>
      <c r="V59" s="309">
        <v>311</v>
      </c>
      <c r="W59" s="318">
        <v>0.56855575868372943</v>
      </c>
      <c r="X59" s="319"/>
      <c r="Y59" s="313">
        <v>4.2210144927536231</v>
      </c>
      <c r="Z59" s="313">
        <v>0.95411285388795153</v>
      </c>
      <c r="AA59" s="309">
        <v>23887.565217391304</v>
      </c>
      <c r="AB59" s="309">
        <v>54837.244388746723</v>
      </c>
      <c r="AC59" s="310">
        <v>8.2809517120629242E-3</v>
      </c>
    </row>
    <row r="60" spans="1:29" ht="15" customHeight="1" x14ac:dyDescent="0.25">
      <c r="A60" s="104" t="s">
        <v>347</v>
      </c>
      <c r="B60" s="130" t="str">
        <f>VLOOKUP(A60,'0 Järjestäjätiedot'!A:H,2,FALSE)</f>
        <v>Keski-Pohjanmaan Koulutusyhtymä</v>
      </c>
      <c r="C60" s="309">
        <v>1047</v>
      </c>
      <c r="D60" s="309">
        <v>618</v>
      </c>
      <c r="E60" s="318">
        <v>0.5902578796561605</v>
      </c>
      <c r="F60" s="319"/>
      <c r="G60" s="313">
        <v>4.1157781367797526</v>
      </c>
      <c r="H60" s="313">
        <v>0.98729345074549557</v>
      </c>
      <c r="I60" s="309">
        <v>30522.610662358646</v>
      </c>
      <c r="J60" s="309">
        <v>117314.49519983596</v>
      </c>
      <c r="K60" s="310">
        <v>1.8457490700986151E-2</v>
      </c>
      <c r="L60" s="309">
        <v>89</v>
      </c>
      <c r="M60" s="309">
        <v>62</v>
      </c>
      <c r="N60" s="318">
        <v>0.6966292134831461</v>
      </c>
      <c r="O60" s="319"/>
      <c r="P60" s="313">
        <v>4.248655913978495</v>
      </c>
      <c r="Q60" s="313">
        <v>1.0297970986560929</v>
      </c>
      <c r="R60" s="309">
        <v>3161</v>
      </c>
      <c r="S60" s="309">
        <v>4026.9727307158191</v>
      </c>
      <c r="T60" s="310">
        <v>1.5129568576692632E-2</v>
      </c>
      <c r="U60" s="309">
        <v>1136</v>
      </c>
      <c r="V60" s="309">
        <v>680</v>
      </c>
      <c r="W60" s="318">
        <v>0.59859154929577463</v>
      </c>
      <c r="X60" s="319"/>
      <c r="Y60" s="313">
        <v>4.127875673029858</v>
      </c>
      <c r="Z60" s="313">
        <v>0.99197526150729276</v>
      </c>
      <c r="AA60" s="309">
        <v>56209.810389403159</v>
      </c>
      <c r="AB60" s="309">
        <v>121341.46793055178</v>
      </c>
      <c r="AC60" s="310">
        <v>1.8323729571100279E-2</v>
      </c>
    </row>
    <row r="61" spans="1:29" ht="15" customHeight="1" x14ac:dyDescent="0.25">
      <c r="A61" s="104" t="s">
        <v>394</v>
      </c>
      <c r="B61" s="130" t="str">
        <f>VLOOKUP(A61,'0 Järjestäjätiedot'!A:H,2,FALSE)</f>
        <v>Fria Kristliga Folkhögskolföreningen FKF rf</v>
      </c>
      <c r="C61" s="309">
        <v>7</v>
      </c>
      <c r="D61" s="309">
        <v>5</v>
      </c>
      <c r="E61" s="318">
        <v>0.7142857142857143</v>
      </c>
      <c r="F61" s="319"/>
      <c r="G61" s="313">
        <v>4.0166666666666666</v>
      </c>
      <c r="H61" s="313">
        <v>1.0876835732673151</v>
      </c>
      <c r="I61" s="309">
        <v>241</v>
      </c>
      <c r="J61" s="309">
        <v>918.96619897959192</v>
      </c>
      <c r="K61" s="310">
        <v>1.4458409460223399E-4</v>
      </c>
      <c r="L61" s="319"/>
      <c r="M61" s="319"/>
      <c r="N61" s="319"/>
      <c r="O61" s="319"/>
      <c r="P61" s="319"/>
      <c r="Q61" s="319"/>
      <c r="R61" s="319"/>
      <c r="S61" s="319"/>
      <c r="T61" s="319"/>
      <c r="U61" s="309">
        <v>7</v>
      </c>
      <c r="V61" s="309">
        <v>5</v>
      </c>
      <c r="W61" s="318">
        <v>0.7142857142857143</v>
      </c>
      <c r="X61" s="319"/>
      <c r="Y61" s="313">
        <v>4.0166666666666666</v>
      </c>
      <c r="Z61" s="313">
        <v>1.0876835732673151</v>
      </c>
      <c r="AA61" s="309">
        <v>241</v>
      </c>
      <c r="AB61" s="309">
        <v>918.96619897959192</v>
      </c>
      <c r="AC61" s="310">
        <v>1.3877274111041325E-4</v>
      </c>
    </row>
    <row r="62" spans="1:29" ht="15" customHeight="1" x14ac:dyDescent="0.25">
      <c r="A62" s="104" t="s">
        <v>259</v>
      </c>
      <c r="B62" s="130" t="str">
        <f>VLOOKUP(A62,'0 Järjestäjätiedot'!A:H,2,FALSE)</f>
        <v>Vaasan kaupunki</v>
      </c>
      <c r="C62" s="309">
        <v>509</v>
      </c>
      <c r="D62" s="309">
        <v>367</v>
      </c>
      <c r="E62" s="318">
        <v>0.7210216110019646</v>
      </c>
      <c r="F62" s="319"/>
      <c r="G62" s="313">
        <v>4.1759510869565215</v>
      </c>
      <c r="H62" s="313">
        <v>0.97944060369082075</v>
      </c>
      <c r="I62" s="309">
        <v>18390.888586956524</v>
      </c>
      <c r="J62" s="309">
        <v>70058.672091561937</v>
      </c>
      <c r="K62" s="310">
        <v>1.1022570454322261E-2</v>
      </c>
      <c r="L62" s="309">
        <v>30</v>
      </c>
      <c r="M62" s="309">
        <v>28</v>
      </c>
      <c r="N62" s="318">
        <v>0.93333333333333335</v>
      </c>
      <c r="O62" s="319"/>
      <c r="P62" s="313">
        <v>4.0505952380952381</v>
      </c>
      <c r="Q62" s="313">
        <v>1.1445261560497801</v>
      </c>
      <c r="R62" s="309">
        <v>1361</v>
      </c>
      <c r="S62" s="309">
        <v>1458.2142857142858</v>
      </c>
      <c r="T62" s="310">
        <v>5.4785950912822467E-3</v>
      </c>
      <c r="U62" s="309">
        <v>539</v>
      </c>
      <c r="V62" s="309">
        <v>395</v>
      </c>
      <c r="W62" s="318">
        <v>0.73283858998144713</v>
      </c>
      <c r="X62" s="319"/>
      <c r="Y62" s="313">
        <v>4.1670875420875424</v>
      </c>
      <c r="Z62" s="313">
        <v>0.99253659445195264</v>
      </c>
      <c r="AA62" s="309">
        <v>34306.49525558616</v>
      </c>
      <c r="AB62" s="309">
        <v>71516.886377276227</v>
      </c>
      <c r="AC62" s="310">
        <v>1.0799738194154185E-2</v>
      </c>
    </row>
    <row r="63" spans="1:29" ht="15" customHeight="1" x14ac:dyDescent="0.25">
      <c r="A63" s="104" t="s">
        <v>392</v>
      </c>
      <c r="B63" s="130" t="str">
        <f>VLOOKUP(A63,'0 Järjestäjätiedot'!A:H,2,FALSE)</f>
        <v>Haapaveden Opiston kannatusyhdistys ry</v>
      </c>
      <c r="C63" s="309">
        <v>64</v>
      </c>
      <c r="D63" s="309">
        <v>39</v>
      </c>
      <c r="E63" s="318">
        <v>0.609375</v>
      </c>
      <c r="F63" s="319"/>
      <c r="G63" s="313">
        <v>4.5299145299145298</v>
      </c>
      <c r="H63" s="313">
        <v>0.80141594322947296</v>
      </c>
      <c r="I63" s="309">
        <v>2120</v>
      </c>
      <c r="J63" s="309">
        <v>8148.3132934570313</v>
      </c>
      <c r="K63" s="310">
        <v>1.2820019946087216E-3</v>
      </c>
      <c r="L63" s="309">
        <v>9</v>
      </c>
      <c r="M63" s="309">
        <v>1</v>
      </c>
      <c r="N63" s="318">
        <v>0.1111111111111111</v>
      </c>
      <c r="O63" s="319"/>
      <c r="P63" s="313">
        <v>3.4166666666666665</v>
      </c>
      <c r="Q63" s="313">
        <v>1.1149240133549709</v>
      </c>
      <c r="R63" s="309">
        <v>41</v>
      </c>
      <c r="S63" s="309">
        <v>44.87538580246914</v>
      </c>
      <c r="T63" s="310">
        <v>1.6859941010410296E-4</v>
      </c>
      <c r="U63" s="309">
        <v>73</v>
      </c>
      <c r="V63" s="309">
        <v>40</v>
      </c>
      <c r="W63" s="318">
        <v>0.54794520547945202</v>
      </c>
      <c r="X63" s="319"/>
      <c r="Y63" s="313">
        <v>4.5020833333333332</v>
      </c>
      <c r="Z63" s="313">
        <v>0.82915358029874275</v>
      </c>
      <c r="AA63" s="309">
        <v>4111.3024999999998</v>
      </c>
      <c r="AB63" s="309">
        <v>8193.1886792594996</v>
      </c>
      <c r="AC63" s="310">
        <v>1.2372503501414387E-3</v>
      </c>
    </row>
    <row r="64" spans="1:29" ht="15" customHeight="1" x14ac:dyDescent="0.25">
      <c r="A64" s="104" t="s">
        <v>369</v>
      </c>
      <c r="B64" s="130" t="str">
        <f>VLOOKUP(A64,'0 Järjestäjätiedot'!A:H,2,FALSE)</f>
        <v>Kalajoen Kristillisen Opiston Kannatusyhdistys ry</v>
      </c>
      <c r="C64" s="309">
        <v>46</v>
      </c>
      <c r="D64" s="309">
        <v>37</v>
      </c>
      <c r="E64" s="318">
        <v>0.80434782608695654</v>
      </c>
      <c r="F64" s="319"/>
      <c r="G64" s="313">
        <v>4.5112612612612617</v>
      </c>
      <c r="H64" s="313">
        <v>0.84755038343644784</v>
      </c>
      <c r="I64" s="309">
        <v>2003</v>
      </c>
      <c r="J64" s="309">
        <v>7470.6486486486483</v>
      </c>
      <c r="K64" s="310">
        <v>1.1753826986842799E-3</v>
      </c>
      <c r="L64" s="309">
        <v>16</v>
      </c>
      <c r="M64" s="309">
        <v>10</v>
      </c>
      <c r="N64" s="318">
        <v>0.625</v>
      </c>
      <c r="O64" s="319"/>
      <c r="P64" s="313">
        <v>4.5750000000000002</v>
      </c>
      <c r="Q64" s="313">
        <v>0.78169154189275014</v>
      </c>
      <c r="R64" s="309">
        <v>549</v>
      </c>
      <c r="S64" s="309">
        <v>703.13818359375</v>
      </c>
      <c r="T64" s="310">
        <v>2.6417306694008166E-3</v>
      </c>
      <c r="U64" s="309">
        <v>62</v>
      </c>
      <c r="V64" s="309">
        <v>47</v>
      </c>
      <c r="W64" s="318">
        <v>0.75806451612903225</v>
      </c>
      <c r="X64" s="319"/>
      <c r="Y64" s="313">
        <v>4.5248226950354606</v>
      </c>
      <c r="Z64" s="313">
        <v>0.83438141425218637</v>
      </c>
      <c r="AA64" s="309">
        <v>3394.1946582163873</v>
      </c>
      <c r="AB64" s="309">
        <v>8173.7868322423983</v>
      </c>
      <c r="AC64" s="310">
        <v>1.2343204844987657E-3</v>
      </c>
    </row>
    <row r="65" spans="1:29" ht="15" customHeight="1" x14ac:dyDescent="0.25">
      <c r="A65" s="104" t="s">
        <v>374</v>
      </c>
      <c r="B65" s="130" t="str">
        <f>VLOOKUP(A65,'0 Järjestäjätiedot'!A:H,2,FALSE)</f>
        <v>Jokilaaksojen koulutuskuntayhtymä</v>
      </c>
      <c r="C65" s="309">
        <v>1005</v>
      </c>
      <c r="D65" s="309">
        <v>423</v>
      </c>
      <c r="E65" s="318">
        <v>0.42089552238805972</v>
      </c>
      <c r="F65" s="319"/>
      <c r="G65" s="313">
        <v>4.152876280535855</v>
      </c>
      <c r="H65" s="313">
        <v>0.94753714248452603</v>
      </c>
      <c r="I65" s="309">
        <v>21080</v>
      </c>
      <c r="J65" s="309">
        <v>79441.375863221227</v>
      </c>
      <c r="K65" s="310">
        <v>1.2498783324015035E-2</v>
      </c>
      <c r="L65" s="309">
        <v>85</v>
      </c>
      <c r="M65" s="309">
        <v>26</v>
      </c>
      <c r="N65" s="318">
        <v>0.30588235294117649</v>
      </c>
      <c r="O65" s="319"/>
      <c r="P65" s="313">
        <v>4.0448717948717947</v>
      </c>
      <c r="Q65" s="313">
        <v>1.0939398844282684</v>
      </c>
      <c r="R65" s="309">
        <v>1262</v>
      </c>
      <c r="S65" s="309">
        <v>1531.6487889273355</v>
      </c>
      <c r="T65" s="310">
        <v>5.7544927510261952E-3</v>
      </c>
      <c r="U65" s="309">
        <v>1090</v>
      </c>
      <c r="V65" s="309">
        <v>449</v>
      </c>
      <c r="W65" s="318">
        <v>0.41192660550458715</v>
      </c>
      <c r="X65" s="319"/>
      <c r="Y65" s="313">
        <v>4.1466221232368223</v>
      </c>
      <c r="Z65" s="313">
        <v>0.95695870127560434</v>
      </c>
      <c r="AA65" s="309">
        <v>39808.680611703312</v>
      </c>
      <c r="AB65" s="309">
        <v>80973.024652148568</v>
      </c>
      <c r="AC65" s="310">
        <v>1.2227706089143401E-2</v>
      </c>
    </row>
    <row r="66" spans="1:29" ht="15" customHeight="1" x14ac:dyDescent="0.25">
      <c r="A66" s="104" t="s">
        <v>305</v>
      </c>
      <c r="B66" s="130" t="str">
        <f>VLOOKUP(A66,'0 Järjestäjätiedot'!A:H,2,FALSE)</f>
        <v>Raahen Koulutuskuntayhtymä</v>
      </c>
      <c r="C66" s="309">
        <v>329</v>
      </c>
      <c r="D66" s="309">
        <v>226</v>
      </c>
      <c r="E66" s="318">
        <v>0.68693009118541037</v>
      </c>
      <c r="F66" s="319"/>
      <c r="G66" s="313">
        <v>4.1069321533923304</v>
      </c>
      <c r="H66" s="313">
        <v>0.95954098760879636</v>
      </c>
      <c r="I66" s="309">
        <v>11138</v>
      </c>
      <c r="J66" s="309">
        <v>42614.418533642522</v>
      </c>
      <c r="K66" s="310">
        <v>6.7046721930892192E-3</v>
      </c>
      <c r="L66" s="309">
        <v>17</v>
      </c>
      <c r="M66" s="309">
        <v>4</v>
      </c>
      <c r="N66" s="318">
        <v>0.23529411764705882</v>
      </c>
      <c r="O66" s="319"/>
      <c r="P66" s="313">
        <v>4.6875</v>
      </c>
      <c r="Q66" s="313">
        <v>0.61766529501556733</v>
      </c>
      <c r="R66" s="309">
        <v>225</v>
      </c>
      <c r="S66" s="309">
        <v>264.90051903114187</v>
      </c>
      <c r="T66" s="310">
        <v>9.9524651312220746E-4</v>
      </c>
      <c r="U66" s="309">
        <v>346</v>
      </c>
      <c r="V66" s="309">
        <v>230</v>
      </c>
      <c r="W66" s="318">
        <v>0.66473988439306353</v>
      </c>
      <c r="X66" s="319"/>
      <c r="Y66" s="313">
        <v>4.1170289855072459</v>
      </c>
      <c r="Z66" s="313">
        <v>0.95765407011113524</v>
      </c>
      <c r="AA66" s="309">
        <v>21949.277731568996</v>
      </c>
      <c r="AB66" s="309">
        <v>42879.319052673665</v>
      </c>
      <c r="AC66" s="310">
        <v>6.4751898910915644E-3</v>
      </c>
    </row>
    <row r="67" spans="1:29" ht="15" customHeight="1" x14ac:dyDescent="0.25">
      <c r="A67" s="104" t="s">
        <v>298</v>
      </c>
      <c r="B67" s="130" t="str">
        <f>VLOOKUP(A67,'0 Järjestäjätiedot'!A:H,2,FALSE)</f>
        <v>Rovalan Setlementti ry</v>
      </c>
      <c r="C67" s="309">
        <v>24</v>
      </c>
      <c r="D67" s="309">
        <v>14</v>
      </c>
      <c r="E67" s="318">
        <v>0.58333333333333337</v>
      </c>
      <c r="F67" s="319"/>
      <c r="G67" s="313">
        <v>4.2023809523809526</v>
      </c>
      <c r="H67" s="313">
        <v>0.8698626315300737</v>
      </c>
      <c r="I67" s="309">
        <v>706</v>
      </c>
      <c r="J67" s="309">
        <v>2713.2278645833335</v>
      </c>
      <c r="K67" s="310">
        <v>4.2688141814783531E-4</v>
      </c>
      <c r="L67" s="309">
        <v>8</v>
      </c>
      <c r="M67" s="309">
        <v>4</v>
      </c>
      <c r="N67" s="318">
        <v>0.5</v>
      </c>
      <c r="O67" s="319"/>
      <c r="P67" s="313">
        <v>4.395833333333333</v>
      </c>
      <c r="Q67" s="313">
        <v>0.78367678640850214</v>
      </c>
      <c r="R67" s="309">
        <v>211</v>
      </c>
      <c r="S67" s="309">
        <v>268.6953125</v>
      </c>
      <c r="T67" s="310">
        <v>1.0095037708343223E-3</v>
      </c>
      <c r="U67" s="309">
        <v>32</v>
      </c>
      <c r="V67" s="309">
        <v>18</v>
      </c>
      <c r="W67" s="318">
        <v>0.5625</v>
      </c>
      <c r="X67" s="319"/>
      <c r="Y67" s="313">
        <v>4.2453703703703702</v>
      </c>
      <c r="Z67" s="313">
        <v>0.85525437620100886</v>
      </c>
      <c r="AA67" s="309">
        <v>1200.0246913580247</v>
      </c>
      <c r="AB67" s="309">
        <v>2981.9231770833335</v>
      </c>
      <c r="AC67" s="310">
        <v>4.5029910079828311E-4</v>
      </c>
    </row>
    <row r="68" spans="1:29" ht="15" customHeight="1" x14ac:dyDescent="0.25">
      <c r="A68" s="104" t="s">
        <v>405</v>
      </c>
      <c r="B68" s="130" t="str">
        <f>VLOOKUP(A68,'0 Järjestäjätiedot'!A:H,2,FALSE)</f>
        <v>Ava-instituutin kannatusyhdistys ry</v>
      </c>
      <c r="C68" s="309">
        <v>108</v>
      </c>
      <c r="D68" s="309">
        <v>74</v>
      </c>
      <c r="E68" s="318">
        <v>0.68518518518518523</v>
      </c>
      <c r="F68" s="319"/>
      <c r="G68" s="313">
        <v>4.3693693693693696</v>
      </c>
      <c r="H68" s="313">
        <v>0.84685882682727953</v>
      </c>
      <c r="I68" s="309">
        <v>3880</v>
      </c>
      <c r="J68" s="309">
        <v>14847.761059670784</v>
      </c>
      <c r="K68" s="310">
        <v>2.3360490212442305E-3</v>
      </c>
      <c r="L68" s="319"/>
      <c r="M68" s="319"/>
      <c r="N68" s="319"/>
      <c r="O68" s="319"/>
      <c r="P68" s="319"/>
      <c r="Q68" s="319"/>
      <c r="R68" s="319"/>
      <c r="S68" s="319"/>
      <c r="T68" s="319"/>
      <c r="U68" s="309">
        <v>108</v>
      </c>
      <c r="V68" s="309">
        <v>74</v>
      </c>
      <c r="W68" s="318">
        <v>0.68518518518518523</v>
      </c>
      <c r="X68" s="319"/>
      <c r="Y68" s="313">
        <v>4.3693693693693696</v>
      </c>
      <c r="Z68" s="313">
        <v>0.84685882682727953</v>
      </c>
      <c r="AA68" s="309">
        <v>3880</v>
      </c>
      <c r="AB68" s="309">
        <v>14847.761059670784</v>
      </c>
      <c r="AC68" s="310">
        <v>2.2421548299500914E-3</v>
      </c>
    </row>
    <row r="69" spans="1:29" ht="15" customHeight="1" x14ac:dyDescent="0.25">
      <c r="A69" s="104" t="s">
        <v>276</v>
      </c>
      <c r="B69" s="130" t="str">
        <f>VLOOKUP(A69,'0 Järjestäjätiedot'!A:H,2,FALSE)</f>
        <v>Tampereen kaupunki</v>
      </c>
      <c r="C69" s="309">
        <v>3220</v>
      </c>
      <c r="D69" s="309">
        <v>1589</v>
      </c>
      <c r="E69" s="318">
        <v>0.4934782608695652</v>
      </c>
      <c r="F69" s="319"/>
      <c r="G69" s="313">
        <v>4.117474302496329</v>
      </c>
      <c r="H69" s="313">
        <v>1.0230421026636876</v>
      </c>
      <c r="I69" s="309">
        <v>78512</v>
      </c>
      <c r="J69" s="309">
        <v>299692.53207703208</v>
      </c>
      <c r="K69" s="310">
        <v>4.7151650906771737E-2</v>
      </c>
      <c r="L69" s="309">
        <v>347</v>
      </c>
      <c r="M69" s="309">
        <v>87</v>
      </c>
      <c r="N69" s="318">
        <v>0.25072046109510088</v>
      </c>
      <c r="O69" s="319"/>
      <c r="P69" s="313">
        <v>4.3074712643678161</v>
      </c>
      <c r="Q69" s="313">
        <v>0.98567407169461685</v>
      </c>
      <c r="R69" s="309">
        <v>4497</v>
      </c>
      <c r="S69" s="309">
        <v>5333.1743009762567</v>
      </c>
      <c r="T69" s="310">
        <v>2.0037043137297872E-2</v>
      </c>
      <c r="U69" s="309">
        <v>3567</v>
      </c>
      <c r="V69" s="309">
        <v>1676</v>
      </c>
      <c r="W69" s="318">
        <v>0.46986262966077935</v>
      </c>
      <c r="X69" s="319"/>
      <c r="Y69" s="313">
        <v>4.1273369132856006</v>
      </c>
      <c r="Z69" s="313">
        <v>1.0220055451812606</v>
      </c>
      <c r="AA69" s="309">
        <v>149676.93736792338</v>
      </c>
      <c r="AB69" s="309">
        <v>305025.70637800836</v>
      </c>
      <c r="AC69" s="310">
        <v>4.6061817540425459E-2</v>
      </c>
    </row>
    <row r="70" spans="1:29" ht="15" customHeight="1" x14ac:dyDescent="0.25">
      <c r="A70" s="104" t="s">
        <v>318</v>
      </c>
      <c r="B70" s="130" t="str">
        <f>VLOOKUP(A70,'0 Järjestäjätiedot'!A:H,2,FALSE)</f>
        <v>Pohjois-Karjalan Koulutuskuntayhtymä</v>
      </c>
      <c r="C70" s="309">
        <v>1938</v>
      </c>
      <c r="D70" s="309">
        <v>1017</v>
      </c>
      <c r="E70" s="318">
        <v>0.52476780185758509</v>
      </c>
      <c r="F70" s="319"/>
      <c r="G70" s="313">
        <v>4.1990876507005543</v>
      </c>
      <c r="H70" s="313">
        <v>0.95078596655303282</v>
      </c>
      <c r="I70" s="309">
        <v>51245.665689149559</v>
      </c>
      <c r="J70" s="309">
        <v>196295.73568473442</v>
      </c>
      <c r="K70" s="310">
        <v>3.0883879352440732E-2</v>
      </c>
      <c r="L70" s="309">
        <v>331</v>
      </c>
      <c r="M70" s="309">
        <v>70</v>
      </c>
      <c r="N70" s="318">
        <v>0.21148036253776434</v>
      </c>
      <c r="O70" s="319"/>
      <c r="P70" s="313">
        <v>3.9345238095238093</v>
      </c>
      <c r="Q70" s="313">
        <v>1.1969200601483327</v>
      </c>
      <c r="R70" s="309">
        <v>3305</v>
      </c>
      <c r="S70" s="309">
        <v>3844.7800654429957</v>
      </c>
      <c r="T70" s="310">
        <v>1.4445060235627805E-2</v>
      </c>
      <c r="U70" s="309">
        <v>2269</v>
      </c>
      <c r="V70" s="309">
        <v>1087</v>
      </c>
      <c r="W70" s="318">
        <v>0.47906566769501985</v>
      </c>
      <c r="X70" s="319"/>
      <c r="Y70" s="313">
        <v>4.1821439463250991</v>
      </c>
      <c r="Z70" s="313">
        <v>0.97058986539745085</v>
      </c>
      <c r="AA70" s="309">
        <v>95990.282037652898</v>
      </c>
      <c r="AB70" s="309">
        <v>200140.51575017741</v>
      </c>
      <c r="AC70" s="310">
        <v>3.0223144233970621E-2</v>
      </c>
    </row>
    <row r="71" spans="1:29" ht="15" customHeight="1" x14ac:dyDescent="0.25">
      <c r="A71" s="104" t="s">
        <v>367</v>
      </c>
      <c r="B71" s="130" t="str">
        <f>VLOOKUP(A71,'0 Järjestäjätiedot'!A:H,2,FALSE)</f>
        <v>Kansan Sivistystyön Liitto KSL ry</v>
      </c>
      <c r="C71" s="309">
        <v>15</v>
      </c>
      <c r="D71" s="309">
        <v>13</v>
      </c>
      <c r="E71" s="318">
        <v>0.8666666666666667</v>
      </c>
      <c r="F71" s="319"/>
      <c r="G71" s="313">
        <v>4.5576923076923075</v>
      </c>
      <c r="H71" s="313">
        <v>0.7182634383455061</v>
      </c>
      <c r="I71" s="309">
        <v>711</v>
      </c>
      <c r="J71" s="309">
        <v>2461.1538461538457</v>
      </c>
      <c r="K71" s="310">
        <v>3.8722175083053532E-4</v>
      </c>
      <c r="L71" s="309">
        <v>0</v>
      </c>
      <c r="M71" s="309">
        <v>0</v>
      </c>
      <c r="N71" s="318"/>
      <c r="O71" s="319"/>
      <c r="P71" s="313"/>
      <c r="Q71" s="313"/>
      <c r="R71" s="309">
        <v>0</v>
      </c>
      <c r="S71" s="309">
        <v>0</v>
      </c>
      <c r="T71" s="310">
        <v>0</v>
      </c>
      <c r="U71" s="309">
        <v>15</v>
      </c>
      <c r="V71" s="309">
        <v>13</v>
      </c>
      <c r="W71" s="318">
        <v>0.8666666666666667</v>
      </c>
      <c r="X71" s="319"/>
      <c r="Y71" s="313">
        <v>4.5892857142857144</v>
      </c>
      <c r="Z71" s="313">
        <v>0.70144711933579718</v>
      </c>
      <c r="AA71" s="309">
        <v>1329.5816326530612</v>
      </c>
      <c r="AB71" s="309">
        <v>2461.1538461538457</v>
      </c>
      <c r="AC71" s="310">
        <v>3.7165791941471646E-4</v>
      </c>
    </row>
    <row r="72" spans="1:29" ht="15" customHeight="1" x14ac:dyDescent="0.25">
      <c r="A72" s="104" t="s">
        <v>341</v>
      </c>
      <c r="B72" s="130" t="str">
        <f>VLOOKUP(A72,'0 Järjestäjätiedot'!A:H,2,FALSE)</f>
        <v>Keski-Uudenmaan koulutuskuntayhtymä</v>
      </c>
      <c r="C72" s="309">
        <v>2306</v>
      </c>
      <c r="D72" s="309">
        <v>805</v>
      </c>
      <c r="E72" s="318">
        <v>0.34908933217692972</v>
      </c>
      <c r="F72" s="319"/>
      <c r="G72" s="313">
        <v>4.1709109730848866</v>
      </c>
      <c r="H72" s="313">
        <v>0.96549293256877378</v>
      </c>
      <c r="I72" s="309">
        <v>40291</v>
      </c>
      <c r="J72" s="309">
        <v>148923.45287672826</v>
      </c>
      <c r="K72" s="310">
        <v>2.3430636102969866E-2</v>
      </c>
      <c r="L72" s="309">
        <v>324</v>
      </c>
      <c r="M72" s="309">
        <v>51</v>
      </c>
      <c r="N72" s="318">
        <v>0.15740740740740741</v>
      </c>
      <c r="O72" s="319"/>
      <c r="P72" s="313">
        <v>4.2761437908496731</v>
      </c>
      <c r="Q72" s="313">
        <v>0.8597116283378724</v>
      </c>
      <c r="R72" s="309">
        <v>2617</v>
      </c>
      <c r="S72" s="309">
        <v>2952.5316974236966</v>
      </c>
      <c r="T72" s="310">
        <v>1.1092831707129554E-2</v>
      </c>
      <c r="U72" s="309">
        <v>2630</v>
      </c>
      <c r="V72" s="309">
        <v>856</v>
      </c>
      <c r="W72" s="318">
        <v>0.32547528517110264</v>
      </c>
      <c r="X72" s="319"/>
      <c r="Y72" s="313">
        <v>4.1771806853582554</v>
      </c>
      <c r="Z72" s="313">
        <v>0.95984057041981286</v>
      </c>
      <c r="AA72" s="309">
        <v>79382.400002183596</v>
      </c>
      <c r="AB72" s="309">
        <v>151875.98457415195</v>
      </c>
      <c r="AC72" s="310">
        <v>2.2934735479499348E-2</v>
      </c>
    </row>
    <row r="73" spans="1:29" ht="15" customHeight="1" x14ac:dyDescent="0.25">
      <c r="A73" s="104" t="s">
        <v>368</v>
      </c>
      <c r="B73" s="130" t="str">
        <f>VLOOKUP(A73,'0 Järjestäjätiedot'!A:H,2,FALSE)</f>
        <v>Kanneljärven Kansanopiston kannatusyhdistys r.y.</v>
      </c>
      <c r="C73" s="309">
        <v>48</v>
      </c>
      <c r="D73" s="309">
        <v>11</v>
      </c>
      <c r="E73" s="318">
        <v>0.22916666666666666</v>
      </c>
      <c r="F73" s="319"/>
      <c r="G73" s="313">
        <v>4.2575757575757578</v>
      </c>
      <c r="H73" s="313">
        <v>0.99712626568320506</v>
      </c>
      <c r="I73" s="309">
        <v>562</v>
      </c>
      <c r="J73" s="309">
        <v>1979.0513509114583</v>
      </c>
      <c r="K73" s="310">
        <v>3.1137091664588609E-4</v>
      </c>
      <c r="L73" s="309">
        <v>1</v>
      </c>
      <c r="M73" s="309">
        <v>1</v>
      </c>
      <c r="N73" s="318">
        <v>1</v>
      </c>
      <c r="O73" s="319"/>
      <c r="P73" s="313">
        <v>3.25</v>
      </c>
      <c r="Q73" s="313">
        <v>1.0103629710818454</v>
      </c>
      <c r="R73" s="309">
        <v>39</v>
      </c>
      <c r="S73" s="309">
        <v>39</v>
      </c>
      <c r="T73" s="310">
        <v>1.4652524711438191E-4</v>
      </c>
      <c r="U73" s="309">
        <v>49</v>
      </c>
      <c r="V73" s="309">
        <v>12</v>
      </c>
      <c r="W73" s="318">
        <v>0.24489795918367346</v>
      </c>
      <c r="X73" s="319"/>
      <c r="Y73" s="313">
        <v>4.1736111111111107</v>
      </c>
      <c r="Z73" s="313">
        <v>1.0363521837509859</v>
      </c>
      <c r="AA73" s="309">
        <v>1018.3611111111111</v>
      </c>
      <c r="AB73" s="309">
        <v>2018.0513509114583</v>
      </c>
      <c r="AC73" s="310">
        <v>3.0474517776444871E-4</v>
      </c>
    </row>
    <row r="74" spans="1:29" ht="15" customHeight="1" x14ac:dyDescent="0.25">
      <c r="A74" s="104" t="s">
        <v>243</v>
      </c>
      <c r="B74" s="130" t="str">
        <f>VLOOKUP(A74,'0 Järjestäjätiedot'!A:H,2,FALSE)</f>
        <v>Ylä-Savon koulutuskuntayhtymä</v>
      </c>
      <c r="C74" s="309">
        <v>689</v>
      </c>
      <c r="D74" s="309">
        <v>147</v>
      </c>
      <c r="E74" s="318">
        <v>0.21335268505079827</v>
      </c>
      <c r="F74" s="319"/>
      <c r="G74" s="313">
        <v>4.0470521541950113</v>
      </c>
      <c r="H74" s="313">
        <v>1.096555799247219</v>
      </c>
      <c r="I74" s="309">
        <v>7139</v>
      </c>
      <c r="J74" s="309">
        <v>24939.157060739355</v>
      </c>
      <c r="K74" s="310">
        <v>3.9237628628493084E-3</v>
      </c>
      <c r="L74" s="309">
        <v>121</v>
      </c>
      <c r="M74" s="309">
        <v>13</v>
      </c>
      <c r="N74" s="318">
        <v>0.10743801652892562</v>
      </c>
      <c r="O74" s="319"/>
      <c r="P74" s="313">
        <v>3.9807692307692308</v>
      </c>
      <c r="Q74" s="313">
        <v>1.0829160173308534</v>
      </c>
      <c r="R74" s="309">
        <v>621</v>
      </c>
      <c r="S74" s="309">
        <v>677.94894687862836</v>
      </c>
      <c r="T74" s="310">
        <v>2.5470932557006662E-3</v>
      </c>
      <c r="U74" s="309">
        <v>810</v>
      </c>
      <c r="V74" s="309">
        <v>160</v>
      </c>
      <c r="W74" s="318">
        <v>0.19753086419753085</v>
      </c>
      <c r="X74" s="319"/>
      <c r="Y74" s="313">
        <v>4.041666666666667</v>
      </c>
      <c r="Z74" s="313">
        <v>1.0956035880838562</v>
      </c>
      <c r="AA74" s="309">
        <v>13202.912500000002</v>
      </c>
      <c r="AB74" s="309">
        <v>25617.106007617982</v>
      </c>
      <c r="AC74" s="310">
        <v>3.8684295722090306E-3</v>
      </c>
    </row>
    <row r="75" spans="1:29" ht="15" customHeight="1" x14ac:dyDescent="0.25">
      <c r="A75" s="104" t="s">
        <v>307</v>
      </c>
      <c r="B75" s="130" t="str">
        <f>VLOOKUP(A75,'0 Järjestäjätiedot'!A:H,2,FALSE)</f>
        <v>Pohjois-Savon Kansanopistoseura r.y.</v>
      </c>
      <c r="C75" s="309">
        <v>21</v>
      </c>
      <c r="D75" s="309">
        <v>14</v>
      </c>
      <c r="E75" s="318">
        <v>0.66666666666666663</v>
      </c>
      <c r="F75" s="319"/>
      <c r="G75" s="313">
        <v>4.3869047619047619</v>
      </c>
      <c r="H75" s="313">
        <v>0.78623269333738621</v>
      </c>
      <c r="I75" s="309">
        <v>737</v>
      </c>
      <c r="J75" s="309">
        <v>2825.166666666667</v>
      </c>
      <c r="K75" s="310">
        <v>4.4449313266796517E-4</v>
      </c>
      <c r="L75" s="319"/>
      <c r="M75" s="319"/>
      <c r="N75" s="319"/>
      <c r="O75" s="319"/>
      <c r="P75" s="319"/>
      <c r="Q75" s="319"/>
      <c r="R75" s="319"/>
      <c r="S75" s="319"/>
      <c r="T75" s="319"/>
      <c r="U75" s="309">
        <v>21</v>
      </c>
      <c r="V75" s="309">
        <v>14</v>
      </c>
      <c r="W75" s="318">
        <v>0.66666666666666663</v>
      </c>
      <c r="X75" s="319"/>
      <c r="Y75" s="313">
        <v>4.3869047619047619</v>
      </c>
      <c r="Z75" s="313">
        <v>0.78623269333738621</v>
      </c>
      <c r="AA75" s="309">
        <v>737</v>
      </c>
      <c r="AB75" s="309">
        <v>2825.166666666667</v>
      </c>
      <c r="AC75" s="310">
        <v>4.2662735894142406E-4</v>
      </c>
    </row>
    <row r="76" spans="1:29" ht="15" customHeight="1" x14ac:dyDescent="0.25">
      <c r="A76" s="104" t="s">
        <v>370</v>
      </c>
      <c r="B76" s="130" t="str">
        <f>VLOOKUP(A76,'0 Järjestäjätiedot'!A:H,2,FALSE)</f>
        <v>Kajaanin kaupunki</v>
      </c>
      <c r="C76" s="309">
        <v>1029</v>
      </c>
      <c r="D76" s="309">
        <v>683</v>
      </c>
      <c r="E76" s="318">
        <v>0.66375121477162291</v>
      </c>
      <c r="F76" s="319"/>
      <c r="G76" s="313">
        <v>4.2614022319262492</v>
      </c>
      <c r="H76" s="313">
        <v>0.91470799012860649</v>
      </c>
      <c r="I76" s="309">
        <v>34926.45269286754</v>
      </c>
      <c r="J76" s="309">
        <v>133915.86028143048</v>
      </c>
      <c r="K76" s="310">
        <v>2.1069440239662049E-2</v>
      </c>
      <c r="L76" s="309">
        <v>83</v>
      </c>
      <c r="M76" s="309">
        <v>39</v>
      </c>
      <c r="N76" s="318">
        <v>0.46987951807228917</v>
      </c>
      <c r="O76" s="319"/>
      <c r="P76" s="313">
        <v>4.1773504273504276</v>
      </c>
      <c r="Q76" s="313">
        <v>1.0318433369811841</v>
      </c>
      <c r="R76" s="309">
        <v>1955</v>
      </c>
      <c r="S76" s="309">
        <v>2478.9837739512268</v>
      </c>
      <c r="T76" s="310">
        <v>9.3136848736088858E-3</v>
      </c>
      <c r="U76" s="309">
        <v>1112</v>
      </c>
      <c r="V76" s="309">
        <v>722</v>
      </c>
      <c r="W76" s="318">
        <v>0.64928057553956831</v>
      </c>
      <c r="X76" s="319"/>
      <c r="Y76" s="313">
        <v>4.2568870523415976</v>
      </c>
      <c r="Z76" s="313">
        <v>0.92157381610893974</v>
      </c>
      <c r="AA76" s="309">
        <v>66244.480158459119</v>
      </c>
      <c r="AB76" s="309">
        <v>136394.84405538169</v>
      </c>
      <c r="AC76" s="310">
        <v>2.0596934254937721E-2</v>
      </c>
    </row>
    <row r="77" spans="1:29" ht="15" customHeight="1" x14ac:dyDescent="0.25">
      <c r="A77" s="104" t="s">
        <v>359</v>
      </c>
      <c r="B77" s="130" t="str">
        <f>VLOOKUP(A77,'0 Järjestäjätiedot'!A:H,2,FALSE)</f>
        <v>Kirkkopalvelut ry</v>
      </c>
      <c r="C77" s="309">
        <v>725</v>
      </c>
      <c r="D77" s="309">
        <v>293</v>
      </c>
      <c r="E77" s="318">
        <v>0.40413793103448276</v>
      </c>
      <c r="F77" s="319"/>
      <c r="G77" s="313">
        <v>4.2389078498293511</v>
      </c>
      <c r="H77" s="313">
        <v>1.0030269044400226</v>
      </c>
      <c r="I77" s="309">
        <v>14904</v>
      </c>
      <c r="J77" s="309">
        <v>55947.21913198573</v>
      </c>
      <c r="K77" s="310">
        <v>8.8023673043610817E-3</v>
      </c>
      <c r="L77" s="309">
        <v>78</v>
      </c>
      <c r="M77" s="309">
        <v>38</v>
      </c>
      <c r="N77" s="318">
        <v>0.48717948717948717</v>
      </c>
      <c r="O77" s="319"/>
      <c r="P77" s="313">
        <v>4.3092105263157894</v>
      </c>
      <c r="Q77" s="313">
        <v>0.99273823402380679</v>
      </c>
      <c r="R77" s="309">
        <v>1965</v>
      </c>
      <c r="S77" s="309">
        <v>2498.1160626232745</v>
      </c>
      <c r="T77" s="310">
        <v>9.3855659845200525E-3</v>
      </c>
      <c r="U77" s="309">
        <v>803</v>
      </c>
      <c r="V77" s="309">
        <v>331</v>
      </c>
      <c r="W77" s="318">
        <v>0.41220423412204232</v>
      </c>
      <c r="X77" s="319"/>
      <c r="Y77" s="313">
        <v>4.2469788519637461</v>
      </c>
      <c r="Z77" s="313">
        <v>1.0021017372495087</v>
      </c>
      <c r="AA77" s="309">
        <v>26971.061490858974</v>
      </c>
      <c r="AB77" s="309">
        <v>58445.335194609004</v>
      </c>
      <c r="AC77" s="310">
        <v>8.8258081516803602E-3</v>
      </c>
    </row>
    <row r="78" spans="1:29" ht="15" customHeight="1" x14ac:dyDescent="0.25">
      <c r="A78" s="104" t="s">
        <v>302</v>
      </c>
      <c r="B78" s="130" t="str">
        <f>VLOOKUP(A78,'0 Järjestäjätiedot'!A:H,2,FALSE)</f>
        <v>Rakennusteollisuus RT ry</v>
      </c>
      <c r="C78" s="309">
        <v>48</v>
      </c>
      <c r="D78" s="309">
        <v>29</v>
      </c>
      <c r="E78" s="318">
        <v>0.60416666666666663</v>
      </c>
      <c r="F78" s="319"/>
      <c r="G78" s="313">
        <v>4.4138888888888888</v>
      </c>
      <c r="H78" s="313">
        <v>0.73282284420428412</v>
      </c>
      <c r="I78" s="309">
        <v>1536.0333333333333</v>
      </c>
      <c r="J78" s="309">
        <v>5904.0656236436635</v>
      </c>
      <c r="K78" s="310">
        <v>9.2890683423890578E-4</v>
      </c>
      <c r="L78" s="319"/>
      <c r="M78" s="319"/>
      <c r="N78" s="319"/>
      <c r="O78" s="319"/>
      <c r="P78" s="319"/>
      <c r="Q78" s="319"/>
      <c r="R78" s="319"/>
      <c r="S78" s="319"/>
      <c r="T78" s="319"/>
      <c r="U78" s="309">
        <v>48</v>
      </c>
      <c r="V78" s="309">
        <v>29</v>
      </c>
      <c r="W78" s="318">
        <v>0.60416666666666663</v>
      </c>
      <c r="X78" s="319"/>
      <c r="Y78" s="313">
        <v>4.4138888888888888</v>
      </c>
      <c r="Z78" s="313">
        <v>0.73282284420428412</v>
      </c>
      <c r="AA78" s="309">
        <v>1536.0333333333333</v>
      </c>
      <c r="AB78" s="309">
        <v>5904.0656236436635</v>
      </c>
      <c r="AC78" s="310">
        <v>8.9157073589709668E-4</v>
      </c>
    </row>
    <row r="79" spans="1:29" ht="15" customHeight="1" x14ac:dyDescent="0.25">
      <c r="A79" s="104" t="s">
        <v>329</v>
      </c>
      <c r="B79" s="130" t="str">
        <f>VLOOKUP(A79,'0 Järjestäjätiedot'!A:H,2,FALSE)</f>
        <v>Maalariammattikoulun kannatusyhdistys r.y.</v>
      </c>
      <c r="C79" s="309">
        <v>108</v>
      </c>
      <c r="D79" s="309">
        <v>59</v>
      </c>
      <c r="E79" s="318">
        <v>0.54629629629629628</v>
      </c>
      <c r="F79" s="319"/>
      <c r="G79" s="313">
        <v>4.2612994350282483</v>
      </c>
      <c r="H79" s="313">
        <v>0.94828093387334644</v>
      </c>
      <c r="I79" s="309">
        <v>3017</v>
      </c>
      <c r="J79" s="309">
        <v>11576.200094843107</v>
      </c>
      <c r="K79" s="310">
        <v>1.8213231471469558E-3</v>
      </c>
      <c r="L79" s="309">
        <v>14</v>
      </c>
      <c r="M79" s="309">
        <v>1</v>
      </c>
      <c r="N79" s="318">
        <v>7.1428571428571425E-2</v>
      </c>
      <c r="O79" s="319"/>
      <c r="P79" s="313">
        <v>5</v>
      </c>
      <c r="Q79" s="313">
        <v>0</v>
      </c>
      <c r="R79" s="309">
        <v>60</v>
      </c>
      <c r="S79" s="309">
        <v>63.778698979591844</v>
      </c>
      <c r="T79" s="310">
        <v>2.3962024688765313E-4</v>
      </c>
      <c r="U79" s="309">
        <v>122</v>
      </c>
      <c r="V79" s="309">
        <v>60</v>
      </c>
      <c r="W79" s="318">
        <v>0.49180327868852458</v>
      </c>
      <c r="X79" s="319"/>
      <c r="Y79" s="313">
        <v>4.2736111111111112</v>
      </c>
      <c r="Z79" s="313">
        <v>0.94508862834767926</v>
      </c>
      <c r="AA79" s="309">
        <v>6154</v>
      </c>
      <c r="AB79" s="309">
        <v>11639.978793822698</v>
      </c>
      <c r="AC79" s="310">
        <v>1.7577488328509563E-3</v>
      </c>
    </row>
    <row r="80" spans="1:29" ht="15" customHeight="1" x14ac:dyDescent="0.25">
      <c r="A80" s="104" t="s">
        <v>285</v>
      </c>
      <c r="B80" s="130" t="str">
        <f>VLOOKUP(A80,'0 Järjestäjätiedot'!A:H,2,FALSE)</f>
        <v>Suomen Luterilainen Evankeliumiyhdistys ry</v>
      </c>
      <c r="C80" s="309">
        <v>0</v>
      </c>
      <c r="D80" s="309">
        <v>0</v>
      </c>
      <c r="E80" s="318"/>
      <c r="F80" s="319"/>
      <c r="G80" s="313"/>
      <c r="H80" s="313"/>
      <c r="I80" s="309">
        <v>0</v>
      </c>
      <c r="J80" s="309">
        <v>0</v>
      </c>
      <c r="K80" s="310">
        <v>0</v>
      </c>
      <c r="L80" s="319"/>
      <c r="M80" s="319"/>
      <c r="N80" s="319"/>
      <c r="O80" s="319"/>
      <c r="P80" s="319"/>
      <c r="Q80" s="319"/>
      <c r="R80" s="319"/>
      <c r="S80" s="319"/>
      <c r="T80" s="319"/>
      <c r="U80" s="309">
        <v>0</v>
      </c>
      <c r="V80" s="309">
        <v>0</v>
      </c>
      <c r="W80" s="318"/>
      <c r="X80" s="319"/>
      <c r="Y80" s="313"/>
      <c r="Z80" s="313"/>
      <c r="AA80" s="309">
        <v>0</v>
      </c>
      <c r="AB80" s="309">
        <v>0</v>
      </c>
      <c r="AC80" s="310">
        <v>0</v>
      </c>
    </row>
    <row r="81" spans="1:29" ht="15" customHeight="1" x14ac:dyDescent="0.25">
      <c r="A81" s="104" t="s">
        <v>375</v>
      </c>
      <c r="B81" s="130" t="str">
        <f>VLOOKUP(A81,'0 Järjestäjätiedot'!A:H,2,FALSE)</f>
        <v>Joensuun kaupunki</v>
      </c>
      <c r="C81" s="309">
        <v>26</v>
      </c>
      <c r="D81" s="309">
        <v>15</v>
      </c>
      <c r="E81" s="318">
        <v>0.57692307692307687</v>
      </c>
      <c r="F81" s="319"/>
      <c r="G81" s="313">
        <v>4.2222222222222223</v>
      </c>
      <c r="H81" s="313">
        <v>1.0517475169954869</v>
      </c>
      <c r="I81" s="309">
        <v>760</v>
      </c>
      <c r="J81" s="309">
        <v>2920.3014053254442</v>
      </c>
      <c r="K81" s="310">
        <v>4.5946100642596933E-4</v>
      </c>
      <c r="L81" s="319"/>
      <c r="M81" s="319"/>
      <c r="N81" s="319"/>
      <c r="O81" s="319"/>
      <c r="P81" s="319"/>
      <c r="Q81" s="319"/>
      <c r="R81" s="319"/>
      <c r="S81" s="319"/>
      <c r="T81" s="319"/>
      <c r="U81" s="309">
        <v>26</v>
      </c>
      <c r="V81" s="309">
        <v>15</v>
      </c>
      <c r="W81" s="318">
        <v>0.57692307692307687</v>
      </c>
      <c r="X81" s="319"/>
      <c r="Y81" s="313">
        <v>4.2222222222222223</v>
      </c>
      <c r="Z81" s="313">
        <v>1.0517475169954869</v>
      </c>
      <c r="AA81" s="309">
        <v>760</v>
      </c>
      <c r="AB81" s="309">
        <v>2920.3014053254442</v>
      </c>
      <c r="AC81" s="310">
        <v>4.4099362015229425E-4</v>
      </c>
    </row>
    <row r="82" spans="1:29" ht="15" customHeight="1" x14ac:dyDescent="0.25">
      <c r="A82" s="104" t="s">
        <v>265</v>
      </c>
      <c r="B82" s="130" t="str">
        <f>VLOOKUP(A82,'0 Järjestäjätiedot'!A:H,2,FALSE)</f>
        <v>Turun Ammattiopistosäätiö sr</v>
      </c>
      <c r="C82" s="309">
        <v>102</v>
      </c>
      <c r="D82" s="309">
        <v>68</v>
      </c>
      <c r="E82" s="318">
        <v>0.66666666666666663</v>
      </c>
      <c r="F82" s="319"/>
      <c r="G82" s="313">
        <v>3.9178921568627452</v>
      </c>
      <c r="H82" s="313">
        <v>1.0070211693051347</v>
      </c>
      <c r="I82" s="309">
        <v>3197</v>
      </c>
      <c r="J82" s="309">
        <v>12255.166666666668</v>
      </c>
      <c r="K82" s="310">
        <v>1.9281472797007934E-3</v>
      </c>
      <c r="L82" s="309">
        <v>6</v>
      </c>
      <c r="M82" s="309">
        <v>1</v>
      </c>
      <c r="N82" s="318">
        <v>0.16666666666666666</v>
      </c>
      <c r="O82" s="319"/>
      <c r="P82" s="313">
        <v>5</v>
      </c>
      <c r="Q82" s="313">
        <v>0</v>
      </c>
      <c r="R82" s="309">
        <v>60</v>
      </c>
      <c r="S82" s="309">
        <v>68.072916666666671</v>
      </c>
      <c r="T82" s="310">
        <v>2.557538701635913E-4</v>
      </c>
      <c r="U82" s="309">
        <v>108</v>
      </c>
      <c r="V82" s="309">
        <v>69</v>
      </c>
      <c r="W82" s="318">
        <v>0.63888888888888884</v>
      </c>
      <c r="X82" s="319"/>
      <c r="Y82" s="313">
        <v>3.9335748792270531</v>
      </c>
      <c r="Z82" s="313">
        <v>1.0080273331098142</v>
      </c>
      <c r="AA82" s="309">
        <v>6327.9248057130853</v>
      </c>
      <c r="AB82" s="309">
        <v>12323.239583333334</v>
      </c>
      <c r="AC82" s="310">
        <v>1.8609277884631874E-3</v>
      </c>
    </row>
    <row r="83" spans="1:29" ht="15" customHeight="1" x14ac:dyDescent="0.25">
      <c r="A83" s="104" t="s">
        <v>308</v>
      </c>
      <c r="B83" s="130" t="str">
        <f>VLOOKUP(A83,'0 Järjestäjätiedot'!A:H,2,FALSE)</f>
        <v>Pohjois-Satakunnan Kansanopiston kannatusyhdistys r.y.</v>
      </c>
      <c r="C83" s="319"/>
      <c r="D83" s="319"/>
      <c r="E83" s="319"/>
      <c r="F83" s="319"/>
      <c r="G83" s="319"/>
      <c r="H83" s="319"/>
      <c r="I83" s="319"/>
      <c r="J83" s="319"/>
      <c r="K83" s="319"/>
      <c r="L83" s="309">
        <v>9</v>
      </c>
      <c r="M83" s="309">
        <v>3</v>
      </c>
      <c r="N83" s="318">
        <v>0.33333333333333331</v>
      </c>
      <c r="O83" s="319"/>
      <c r="P83" s="313">
        <v>3.3611111111111112</v>
      </c>
      <c r="Q83" s="313">
        <v>1.2942775285801935</v>
      </c>
      <c r="R83" s="309">
        <v>121</v>
      </c>
      <c r="S83" s="309">
        <v>148.30902777777777</v>
      </c>
      <c r="T83" s="310">
        <v>5.5720556267775938E-4</v>
      </c>
      <c r="U83" s="309">
        <v>9</v>
      </c>
      <c r="V83" s="309">
        <v>3</v>
      </c>
      <c r="W83" s="318">
        <v>0.33333333333333331</v>
      </c>
      <c r="X83" s="319"/>
      <c r="Y83" s="313">
        <v>3.3611111111111112</v>
      </c>
      <c r="Z83" s="313">
        <v>1.2942775285801935</v>
      </c>
      <c r="AA83" s="309">
        <v>121</v>
      </c>
      <c r="AB83" s="309">
        <v>148.30902777777777</v>
      </c>
      <c r="AC83" s="310">
        <v>2.2396090671230121E-5</v>
      </c>
    </row>
    <row r="84" spans="1:29" ht="15" customHeight="1" x14ac:dyDescent="0.25">
      <c r="A84" s="104" t="s">
        <v>316</v>
      </c>
      <c r="B84" s="130" t="str">
        <f>VLOOKUP(A84,'0 Järjestäjätiedot'!A:H,2,FALSE)</f>
        <v>Paasikiviopistoyhdistys r.y.</v>
      </c>
      <c r="C84" s="309">
        <v>13</v>
      </c>
      <c r="D84" s="309">
        <v>11</v>
      </c>
      <c r="E84" s="318">
        <v>0.84615384615384615</v>
      </c>
      <c r="F84" s="319"/>
      <c r="G84" s="313">
        <v>4.3409090909090908</v>
      </c>
      <c r="H84" s="313">
        <v>0.73679841261124335</v>
      </c>
      <c r="I84" s="309">
        <v>573</v>
      </c>
      <c r="J84" s="309">
        <v>2031.5454545454547</v>
      </c>
      <c r="K84" s="310">
        <v>3.1962999348059975E-4</v>
      </c>
      <c r="L84" s="319"/>
      <c r="M84" s="319"/>
      <c r="N84" s="319"/>
      <c r="O84" s="319"/>
      <c r="P84" s="319"/>
      <c r="Q84" s="319"/>
      <c r="R84" s="319"/>
      <c r="S84" s="319"/>
      <c r="T84" s="319"/>
      <c r="U84" s="309">
        <v>13</v>
      </c>
      <c r="V84" s="309">
        <v>11</v>
      </c>
      <c r="W84" s="318">
        <v>0.84615384615384615</v>
      </c>
      <c r="X84" s="319"/>
      <c r="Y84" s="313">
        <v>4.3409090909090908</v>
      </c>
      <c r="Z84" s="313">
        <v>0.73679841261124335</v>
      </c>
      <c r="AA84" s="309">
        <v>573</v>
      </c>
      <c r="AB84" s="309">
        <v>2031.5454545454547</v>
      </c>
      <c r="AC84" s="310">
        <v>3.0678291729414745E-4</v>
      </c>
    </row>
    <row r="85" spans="1:29" ht="15" customHeight="1" x14ac:dyDescent="0.25">
      <c r="A85" s="104" t="s">
        <v>401</v>
      </c>
      <c r="B85" s="130" t="str">
        <f>VLOOKUP(A85,'0 Järjestäjätiedot'!A:H,2,FALSE)</f>
        <v>Espoon seudun koulutuskuntayhtymä Omnia</v>
      </c>
      <c r="C85" s="309">
        <v>2826</v>
      </c>
      <c r="D85" s="309">
        <v>699</v>
      </c>
      <c r="E85" s="318">
        <v>0.24734607218683652</v>
      </c>
      <c r="F85" s="319"/>
      <c r="G85" s="313">
        <v>4.1515259895088219</v>
      </c>
      <c r="H85" s="313">
        <v>1.0342495861280743</v>
      </c>
      <c r="I85" s="309">
        <v>34823</v>
      </c>
      <c r="J85" s="309">
        <v>123700.69879747066</v>
      </c>
      <c r="K85" s="310">
        <v>1.9462253951402556E-2</v>
      </c>
      <c r="L85" s="309">
        <v>889</v>
      </c>
      <c r="M85" s="309">
        <v>68</v>
      </c>
      <c r="N85" s="318">
        <v>7.6490438695163102E-2</v>
      </c>
      <c r="O85" s="319"/>
      <c r="P85" s="313">
        <v>4.1482843137254903</v>
      </c>
      <c r="Q85" s="313">
        <v>0.93610687211901678</v>
      </c>
      <c r="R85" s="309">
        <v>3385</v>
      </c>
      <c r="S85" s="309">
        <v>3612.2650369280332</v>
      </c>
      <c r="T85" s="310">
        <v>1.3571487876372357E-2</v>
      </c>
      <c r="U85" s="309">
        <v>3715</v>
      </c>
      <c r="V85" s="309">
        <v>767</v>
      </c>
      <c r="W85" s="318">
        <v>0.20646029609690444</v>
      </c>
      <c r="X85" s="319"/>
      <c r="Y85" s="313">
        <v>4.1512385919165578</v>
      </c>
      <c r="Z85" s="313">
        <v>1.0259283052172374</v>
      </c>
      <c r="AA85" s="309">
        <v>64067.629345440764</v>
      </c>
      <c r="AB85" s="309">
        <v>127312.96383439869</v>
      </c>
      <c r="AC85" s="310">
        <v>1.9225482928325602E-2</v>
      </c>
    </row>
    <row r="86" spans="1:29" ht="15" customHeight="1" x14ac:dyDescent="0.25">
      <c r="A86" s="104" t="s">
        <v>365</v>
      </c>
      <c r="B86" s="130" t="str">
        <f>VLOOKUP(A86,'0 Järjestäjätiedot'!A:H,2,FALSE)</f>
        <v>Kauppiaitten Kauppaoppilaitos Oy</v>
      </c>
      <c r="C86" s="309">
        <v>322</v>
      </c>
      <c r="D86" s="309">
        <v>258</v>
      </c>
      <c r="E86" s="318">
        <v>0.80124223602484468</v>
      </c>
      <c r="F86" s="319"/>
      <c r="G86" s="313">
        <v>4.4247416020671837</v>
      </c>
      <c r="H86" s="313">
        <v>0.81698395854977768</v>
      </c>
      <c r="I86" s="309">
        <v>13699</v>
      </c>
      <c r="J86" s="309">
        <v>51291.604651162794</v>
      </c>
      <c r="K86" s="310">
        <v>8.0698835576528075E-3</v>
      </c>
      <c r="L86" s="319"/>
      <c r="M86" s="319"/>
      <c r="N86" s="319"/>
      <c r="O86" s="319"/>
      <c r="P86" s="319"/>
      <c r="Q86" s="319"/>
      <c r="R86" s="319"/>
      <c r="S86" s="319"/>
      <c r="T86" s="319"/>
      <c r="U86" s="309">
        <v>322</v>
      </c>
      <c r="V86" s="309">
        <v>258</v>
      </c>
      <c r="W86" s="318">
        <v>0.80124223602484468</v>
      </c>
      <c r="X86" s="319"/>
      <c r="Y86" s="313">
        <v>4.4247416020671837</v>
      </c>
      <c r="Z86" s="313">
        <v>0.81698395854977768</v>
      </c>
      <c r="AA86" s="309">
        <v>13699</v>
      </c>
      <c r="AB86" s="309">
        <v>51291.604651162794</v>
      </c>
      <c r="AC86" s="310">
        <v>7.7455259848480595E-3</v>
      </c>
    </row>
    <row r="87" spans="1:29" ht="15" customHeight="1" x14ac:dyDescent="0.25">
      <c r="A87" s="104" t="s">
        <v>354</v>
      </c>
      <c r="B87" s="130" t="str">
        <f>VLOOKUP(A87,'0 Järjestäjätiedot'!A:H,2,FALSE)</f>
        <v>Korpisaaren Säätiö sr</v>
      </c>
      <c r="C87" s="309">
        <v>17</v>
      </c>
      <c r="D87" s="309">
        <v>12</v>
      </c>
      <c r="E87" s="318">
        <v>0.70588235294117652</v>
      </c>
      <c r="F87" s="319"/>
      <c r="G87" s="313">
        <v>4.395833333333333</v>
      </c>
      <c r="H87" s="313">
        <v>0.86777773331910657</v>
      </c>
      <c r="I87" s="309">
        <v>633</v>
      </c>
      <c r="J87" s="309">
        <v>2416.46107266436</v>
      </c>
      <c r="K87" s="310">
        <v>3.8019008394505553E-4</v>
      </c>
      <c r="L87" s="319"/>
      <c r="M87" s="319"/>
      <c r="N87" s="319"/>
      <c r="O87" s="319"/>
      <c r="P87" s="319"/>
      <c r="Q87" s="319"/>
      <c r="R87" s="319"/>
      <c r="S87" s="319"/>
      <c r="T87" s="319"/>
      <c r="U87" s="309">
        <v>17</v>
      </c>
      <c r="V87" s="309">
        <v>12</v>
      </c>
      <c r="W87" s="318">
        <v>0.70588235294117652</v>
      </c>
      <c r="X87" s="319"/>
      <c r="Y87" s="313">
        <v>4.395833333333333</v>
      </c>
      <c r="Z87" s="313">
        <v>0.86777773331910657</v>
      </c>
      <c r="AA87" s="309">
        <v>633</v>
      </c>
      <c r="AB87" s="309">
        <v>2416.46107266436</v>
      </c>
      <c r="AC87" s="310">
        <v>3.6490888044913802E-4</v>
      </c>
    </row>
    <row r="88" spans="1:29" ht="15" customHeight="1" x14ac:dyDescent="0.25">
      <c r="A88" s="104" t="s">
        <v>335</v>
      </c>
      <c r="B88" s="130" t="str">
        <f>VLOOKUP(A88,'0 Järjestäjätiedot'!A:H,2,FALSE)</f>
        <v>Lounais-Hämeen koulutuskuntayhtymä</v>
      </c>
      <c r="C88" s="309">
        <v>512</v>
      </c>
      <c r="D88" s="309">
        <v>322</v>
      </c>
      <c r="E88" s="318">
        <v>0.62890625</v>
      </c>
      <c r="F88" s="319"/>
      <c r="G88" s="313">
        <v>4.1392339544513455</v>
      </c>
      <c r="H88" s="313">
        <v>0.9685921957901833</v>
      </c>
      <c r="I88" s="309">
        <v>15994</v>
      </c>
      <c r="J88" s="309">
        <v>61445.615326881409</v>
      </c>
      <c r="K88" s="310">
        <v>9.667448780139077E-3</v>
      </c>
      <c r="L88" s="309">
        <v>161</v>
      </c>
      <c r="M88" s="309">
        <v>59</v>
      </c>
      <c r="N88" s="318">
        <v>0.36645962732919257</v>
      </c>
      <c r="O88" s="319"/>
      <c r="P88" s="313">
        <v>3.9571078431372548</v>
      </c>
      <c r="Q88" s="313">
        <v>1.1351658201999619</v>
      </c>
      <c r="R88" s="309">
        <v>2801.6323529411766</v>
      </c>
      <c r="S88" s="309">
        <v>3470.213228610206</v>
      </c>
      <c r="T88" s="310">
        <v>1.3037791047736089E-2</v>
      </c>
      <c r="U88" s="309">
        <v>673</v>
      </c>
      <c r="V88" s="309">
        <v>381</v>
      </c>
      <c r="W88" s="318">
        <v>0.56612184249628528</v>
      </c>
      <c r="X88" s="319"/>
      <c r="Y88" s="313">
        <v>4.1074786324786325</v>
      </c>
      <c r="Z88" s="313">
        <v>1.0020212743045005</v>
      </c>
      <c r="AA88" s="309">
        <v>27222.093464825775</v>
      </c>
      <c r="AB88" s="309">
        <v>64915.828555491615</v>
      </c>
      <c r="AC88" s="310">
        <v>9.80291492777665E-3</v>
      </c>
    </row>
    <row r="89" spans="1:29" ht="15" customHeight="1" x14ac:dyDescent="0.25">
      <c r="A89" s="104" t="s">
        <v>282</v>
      </c>
      <c r="B89" s="130" t="str">
        <f>VLOOKUP(A89,'0 Järjestäjätiedot'!A:H,2,FALSE)</f>
        <v>Suomen ympäristöopisto SYKLI Oy</v>
      </c>
      <c r="C89" s="309">
        <v>138</v>
      </c>
      <c r="D89" s="309">
        <v>102</v>
      </c>
      <c r="E89" s="318">
        <v>0.73913043478260865</v>
      </c>
      <c r="F89" s="319"/>
      <c r="G89" s="313">
        <v>4.3006535947712417</v>
      </c>
      <c r="H89" s="313">
        <v>0.94857972484262143</v>
      </c>
      <c r="I89" s="309">
        <v>5264</v>
      </c>
      <c r="J89" s="309">
        <v>19994.679584120986</v>
      </c>
      <c r="K89" s="310">
        <v>3.145831313210363E-3</v>
      </c>
      <c r="L89" s="309">
        <v>26</v>
      </c>
      <c r="M89" s="309">
        <v>23</v>
      </c>
      <c r="N89" s="318">
        <v>0.88461538461538458</v>
      </c>
      <c r="O89" s="319"/>
      <c r="P89" s="313">
        <v>3.818840579710145</v>
      </c>
      <c r="Q89" s="313">
        <v>1.1840455536574157</v>
      </c>
      <c r="R89" s="309">
        <v>1054</v>
      </c>
      <c r="S89" s="309">
        <v>1191.4782608695652</v>
      </c>
      <c r="T89" s="310">
        <v>4.4764524770596675E-3</v>
      </c>
      <c r="U89" s="309">
        <v>164</v>
      </c>
      <c r="V89" s="309">
        <v>125</v>
      </c>
      <c r="W89" s="318">
        <v>0.76219512195121952</v>
      </c>
      <c r="X89" s="319"/>
      <c r="Y89" s="313">
        <v>4.2119999999999997</v>
      </c>
      <c r="Z89" s="313">
        <v>1.0134377139222726</v>
      </c>
      <c r="AA89" s="309">
        <v>8841.5608319999992</v>
      </c>
      <c r="AB89" s="309">
        <v>21186.15784499055</v>
      </c>
      <c r="AC89" s="310">
        <v>3.1993137517047194E-3</v>
      </c>
    </row>
    <row r="90" spans="1:29" ht="15" customHeight="1" x14ac:dyDescent="0.25">
      <c r="A90" s="104" t="s">
        <v>393</v>
      </c>
      <c r="B90" s="130" t="str">
        <f>VLOOKUP(A90,'0 Järjestäjätiedot'!A:H,2,FALSE)</f>
        <v>Fysikaalinen hoitolaitos Arcus Lumio &amp; Pirttimaa</v>
      </c>
      <c r="C90" s="309">
        <v>54</v>
      </c>
      <c r="D90" s="309">
        <v>41</v>
      </c>
      <c r="E90" s="318">
        <v>0.7592592592592593</v>
      </c>
      <c r="F90" s="319"/>
      <c r="G90" s="313">
        <v>4.1547619047619051</v>
      </c>
      <c r="H90" s="313">
        <v>0.99992913581112708</v>
      </c>
      <c r="I90" s="309">
        <v>2044.1428571428571</v>
      </c>
      <c r="J90" s="309">
        <v>7735.6585418503828</v>
      </c>
      <c r="K90" s="310">
        <v>1.2170776114152958E-3</v>
      </c>
      <c r="L90" s="319"/>
      <c r="M90" s="319"/>
      <c r="N90" s="319"/>
      <c r="O90" s="319"/>
      <c r="P90" s="319"/>
      <c r="Q90" s="319"/>
      <c r="R90" s="319"/>
      <c r="S90" s="319"/>
      <c r="T90" s="319"/>
      <c r="U90" s="309">
        <v>54</v>
      </c>
      <c r="V90" s="309">
        <v>41</v>
      </c>
      <c r="W90" s="318">
        <v>0.7592592592592593</v>
      </c>
      <c r="X90" s="319"/>
      <c r="Y90" s="313">
        <v>4.1547619047619051</v>
      </c>
      <c r="Z90" s="313">
        <v>0.99992913581112708</v>
      </c>
      <c r="AA90" s="309">
        <v>2044.1428571428571</v>
      </c>
      <c r="AB90" s="309">
        <v>7735.6585418503828</v>
      </c>
      <c r="AC90" s="310">
        <v>1.1681588956577061E-3</v>
      </c>
    </row>
    <row r="91" spans="1:29" ht="15" customHeight="1" x14ac:dyDescent="0.25">
      <c r="A91" s="104" t="s">
        <v>361</v>
      </c>
      <c r="B91" s="130" t="str">
        <f>VLOOKUP(A91,'0 Järjestäjätiedot'!A:H,2,FALSE)</f>
        <v>Kiinteistöalan Koulutussäätiö sr</v>
      </c>
      <c r="C91" s="309">
        <v>49</v>
      </c>
      <c r="D91" s="309">
        <v>29</v>
      </c>
      <c r="E91" s="318">
        <v>0.59183673469387754</v>
      </c>
      <c r="F91" s="319"/>
      <c r="G91" s="313">
        <v>4.3793859649122808</v>
      </c>
      <c r="H91" s="313">
        <v>0.96809433450711246</v>
      </c>
      <c r="I91" s="309">
        <v>1524.0263157894738</v>
      </c>
      <c r="J91" s="309">
        <v>5857.7381213830868</v>
      </c>
      <c r="K91" s="310">
        <v>9.2161796988571624E-4</v>
      </c>
      <c r="L91" s="309">
        <v>8</v>
      </c>
      <c r="M91" s="309">
        <v>1</v>
      </c>
      <c r="N91" s="318">
        <v>0.125</v>
      </c>
      <c r="O91" s="319"/>
      <c r="P91" s="313">
        <v>4.916666666666667</v>
      </c>
      <c r="Q91" s="313">
        <v>0.27638539919627758</v>
      </c>
      <c r="R91" s="309">
        <v>59</v>
      </c>
      <c r="S91" s="309">
        <v>65.19384765625</v>
      </c>
      <c r="T91" s="310">
        <v>2.4493704200434356E-4</v>
      </c>
      <c r="U91" s="309">
        <v>57</v>
      </c>
      <c r="V91" s="309">
        <v>30</v>
      </c>
      <c r="W91" s="318">
        <v>0.52631578947368418</v>
      </c>
      <c r="X91" s="319"/>
      <c r="Y91" s="313">
        <v>4.3931623931623935</v>
      </c>
      <c r="Z91" s="313">
        <v>0.96038867627950164</v>
      </c>
      <c r="AA91" s="309">
        <v>2981.9434582511508</v>
      </c>
      <c r="AB91" s="309">
        <v>5922.9319690393368</v>
      </c>
      <c r="AC91" s="310">
        <v>8.944197356407223E-4</v>
      </c>
    </row>
    <row r="92" spans="1:29" ht="15" customHeight="1" x14ac:dyDescent="0.25">
      <c r="A92" s="104" t="s">
        <v>321</v>
      </c>
      <c r="B92" s="130" t="str">
        <f>VLOOKUP(A92,'0 Järjestäjätiedot'!A:H,2,FALSE)</f>
        <v>Optima samkommun</v>
      </c>
      <c r="C92" s="309">
        <v>511</v>
      </c>
      <c r="D92" s="309">
        <v>420</v>
      </c>
      <c r="E92" s="318">
        <v>0.82191780821917804</v>
      </c>
      <c r="F92" s="319"/>
      <c r="G92" s="313">
        <v>4.1267857142857141</v>
      </c>
      <c r="H92" s="313">
        <v>0.92774516810316987</v>
      </c>
      <c r="I92" s="309">
        <v>20799</v>
      </c>
      <c r="J92" s="309">
        <v>75916.350000000006</v>
      </c>
      <c r="K92" s="310">
        <v>1.1944178950699432E-2</v>
      </c>
      <c r="L92" s="309">
        <v>26</v>
      </c>
      <c r="M92" s="309">
        <v>5</v>
      </c>
      <c r="N92" s="318">
        <v>0.19230769230769232</v>
      </c>
      <c r="O92" s="319"/>
      <c r="P92" s="313">
        <v>3.3166666666666669</v>
      </c>
      <c r="Q92" s="313">
        <v>1.1617754611895625</v>
      </c>
      <c r="R92" s="309">
        <v>199</v>
      </c>
      <c r="S92" s="309">
        <v>229.12781989644969</v>
      </c>
      <c r="T92" s="310">
        <v>8.6084642131043279E-4</v>
      </c>
      <c r="U92" s="309">
        <v>537</v>
      </c>
      <c r="V92" s="309">
        <v>425</v>
      </c>
      <c r="W92" s="318">
        <v>0.79143389199255121</v>
      </c>
      <c r="X92" s="319"/>
      <c r="Y92" s="313">
        <v>4.1172549019607843</v>
      </c>
      <c r="Z92" s="313">
        <v>0.93493017130749756</v>
      </c>
      <c r="AA92" s="309">
        <v>41019.484013840833</v>
      </c>
      <c r="AB92" s="309">
        <v>76145.477819896449</v>
      </c>
      <c r="AC92" s="310">
        <v>1.1498700052257166E-2</v>
      </c>
    </row>
    <row r="93" spans="1:29" ht="15" customHeight="1" x14ac:dyDescent="0.25">
      <c r="A93" s="104" t="s">
        <v>313</v>
      </c>
      <c r="B93" s="130" t="str">
        <f>VLOOKUP(A93,'0 Järjestäjätiedot'!A:H,2,FALSE)</f>
        <v>Peimarin koulutuskuntayhtymä</v>
      </c>
      <c r="C93" s="309">
        <v>209</v>
      </c>
      <c r="D93" s="309">
        <v>117</v>
      </c>
      <c r="E93" s="318">
        <v>0.55980861244019142</v>
      </c>
      <c r="F93" s="319"/>
      <c r="G93" s="313">
        <v>4.2088541666666668</v>
      </c>
      <c r="H93" s="313">
        <v>0.88248273093545748</v>
      </c>
      <c r="I93" s="309">
        <v>5909.2312499999998</v>
      </c>
      <c r="J93" s="309">
        <v>22691.235438941381</v>
      </c>
      <c r="K93" s="310">
        <v>3.5700896670502282E-3</v>
      </c>
      <c r="L93" s="309">
        <v>34</v>
      </c>
      <c r="M93" s="309">
        <v>27</v>
      </c>
      <c r="N93" s="318">
        <v>0.79411764705882348</v>
      </c>
      <c r="O93" s="319"/>
      <c r="P93" s="313">
        <v>4.0136986301369859</v>
      </c>
      <c r="Q93" s="313">
        <v>1.13567895350399</v>
      </c>
      <c r="R93" s="309">
        <v>1300.4383561643835</v>
      </c>
      <c r="S93" s="309">
        <v>1627.9033023060149</v>
      </c>
      <c r="T93" s="310">
        <v>6.1161265038130047E-3</v>
      </c>
      <c r="U93" s="309">
        <v>243</v>
      </c>
      <c r="V93" s="309">
        <v>144</v>
      </c>
      <c r="W93" s="318">
        <v>0.59259259259259256</v>
      </c>
      <c r="X93" s="319"/>
      <c r="Y93" s="313">
        <v>4.1477110157367667</v>
      </c>
      <c r="Z93" s="313">
        <v>0.97317294249361841</v>
      </c>
      <c r="AA93" s="309">
        <v>8839.8580559597704</v>
      </c>
      <c r="AB93" s="309">
        <v>24319.138741247396</v>
      </c>
      <c r="AC93" s="310">
        <v>3.6724240220311877E-3</v>
      </c>
    </row>
    <row r="94" spans="1:29" ht="15" customHeight="1" x14ac:dyDescent="0.25">
      <c r="A94" s="104" t="s">
        <v>306</v>
      </c>
      <c r="B94" s="130" t="str">
        <f>VLOOKUP(A94,'0 Järjestäjätiedot'!A:H,2,FALSE)</f>
        <v>Pohjois-Suomen Koulutuskeskussäätiö sr</v>
      </c>
      <c r="C94" s="309">
        <v>188</v>
      </c>
      <c r="D94" s="309">
        <v>69</v>
      </c>
      <c r="E94" s="318">
        <v>0.36702127659574468</v>
      </c>
      <c r="F94" s="319"/>
      <c r="G94" s="313">
        <v>4.4738095238095239</v>
      </c>
      <c r="H94" s="313">
        <v>0.84050991433758315</v>
      </c>
      <c r="I94" s="309">
        <v>3704.3142857142857</v>
      </c>
      <c r="J94" s="309">
        <v>13767.207741842421</v>
      </c>
      <c r="K94" s="310">
        <v>2.1660418726666981E-3</v>
      </c>
      <c r="L94" s="309">
        <v>31</v>
      </c>
      <c r="M94" s="309">
        <v>17</v>
      </c>
      <c r="N94" s="318">
        <v>0.54838709677419351</v>
      </c>
      <c r="O94" s="319"/>
      <c r="P94" s="313">
        <v>3.9950980392156863</v>
      </c>
      <c r="Q94" s="313">
        <v>1.0170003423159037</v>
      </c>
      <c r="R94" s="309">
        <v>815</v>
      </c>
      <c r="S94" s="309">
        <v>1042.5226001560875</v>
      </c>
      <c r="T94" s="310">
        <v>3.9168174771845813E-3</v>
      </c>
      <c r="U94" s="309">
        <v>219</v>
      </c>
      <c r="V94" s="309">
        <v>86</v>
      </c>
      <c r="W94" s="318">
        <v>0.39269406392694062</v>
      </c>
      <c r="X94" s="319"/>
      <c r="Y94" s="313">
        <v>4.3802681992337167</v>
      </c>
      <c r="Z94" s="313">
        <v>0.89807879495003151</v>
      </c>
      <c r="AA94" s="309">
        <v>6185.5428722420402</v>
      </c>
      <c r="AB94" s="309">
        <v>14809.730341998509</v>
      </c>
      <c r="AC94" s="310">
        <v>2.2364118255353066E-3</v>
      </c>
    </row>
    <row r="95" spans="1:29" ht="15" customHeight="1" x14ac:dyDescent="0.25">
      <c r="A95" s="104" t="s">
        <v>345</v>
      </c>
      <c r="B95" s="130" t="str">
        <f>VLOOKUP(A95,'0 Järjestäjätiedot'!A:H,2,FALSE)</f>
        <v>KSAK Oy</v>
      </c>
      <c r="C95" s="309">
        <v>48</v>
      </c>
      <c r="D95" s="309">
        <v>35</v>
      </c>
      <c r="E95" s="318">
        <v>0.72916666666666663</v>
      </c>
      <c r="F95" s="319"/>
      <c r="G95" s="313">
        <v>4.3986486486486482</v>
      </c>
      <c r="H95" s="313">
        <v>0.78619735560330961</v>
      </c>
      <c r="I95" s="309">
        <v>1847.4324324324325</v>
      </c>
      <c r="J95" s="309">
        <v>7028.8279105521542</v>
      </c>
      <c r="K95" s="310">
        <v>1.1058695310997657E-3</v>
      </c>
      <c r="L95" s="309">
        <v>42</v>
      </c>
      <c r="M95" s="309">
        <v>4</v>
      </c>
      <c r="N95" s="318">
        <v>9.5238095238095233E-2</v>
      </c>
      <c r="O95" s="319"/>
      <c r="P95" s="313">
        <v>4.125</v>
      </c>
      <c r="Q95" s="313">
        <v>1.0129371484286021</v>
      </c>
      <c r="R95" s="309">
        <v>198</v>
      </c>
      <c r="S95" s="309">
        <v>214.27551020408163</v>
      </c>
      <c r="T95" s="310">
        <v>8.0504543803111073E-4</v>
      </c>
      <c r="U95" s="309">
        <v>90</v>
      </c>
      <c r="V95" s="309">
        <v>39</v>
      </c>
      <c r="W95" s="318">
        <v>0.43333333333333335</v>
      </c>
      <c r="X95" s="319"/>
      <c r="Y95" s="313">
        <v>4.3719512195121952</v>
      </c>
      <c r="Z95" s="313">
        <v>0.81516735628867787</v>
      </c>
      <c r="AA95" s="309">
        <v>3426.7566924449729</v>
      </c>
      <c r="AB95" s="309">
        <v>7243.1034207562361</v>
      </c>
      <c r="AC95" s="310">
        <v>1.0937783315215009E-3</v>
      </c>
    </row>
    <row r="96" spans="1:29" ht="15" customHeight="1" x14ac:dyDescent="0.25">
      <c r="A96" s="104" t="s">
        <v>330</v>
      </c>
      <c r="B96" s="130" t="str">
        <f>VLOOKUP(A96,'0 Järjestäjätiedot'!A:H,2,FALSE)</f>
        <v>TYA-oppilaitos Oy</v>
      </c>
      <c r="C96" s="309">
        <v>28</v>
      </c>
      <c r="D96" s="309">
        <v>10</v>
      </c>
      <c r="E96" s="318">
        <v>0.35714285714285715</v>
      </c>
      <c r="F96" s="319"/>
      <c r="G96" s="313">
        <v>4.208333333333333</v>
      </c>
      <c r="H96" s="313">
        <v>0.83783506288087228</v>
      </c>
      <c r="I96" s="309">
        <v>505</v>
      </c>
      <c r="J96" s="309">
        <v>1871.2858737244899</v>
      </c>
      <c r="K96" s="310">
        <v>2.9441580560289377E-4</v>
      </c>
      <c r="L96" s="319"/>
      <c r="M96" s="319"/>
      <c r="N96" s="319"/>
      <c r="O96" s="319"/>
      <c r="P96" s="319"/>
      <c r="Q96" s="319"/>
      <c r="R96" s="319"/>
      <c r="S96" s="319"/>
      <c r="T96" s="319"/>
      <c r="U96" s="309">
        <v>28</v>
      </c>
      <c r="V96" s="309">
        <v>10</v>
      </c>
      <c r="W96" s="318">
        <v>0.35714285714285715</v>
      </c>
      <c r="X96" s="319"/>
      <c r="Y96" s="313">
        <v>4.208333333333333</v>
      </c>
      <c r="Z96" s="313">
        <v>0.83783506288087228</v>
      </c>
      <c r="AA96" s="309">
        <v>505</v>
      </c>
      <c r="AB96" s="309">
        <v>1871.2858737244899</v>
      </c>
      <c r="AC96" s="310">
        <v>2.8258217808913017E-4</v>
      </c>
    </row>
    <row r="97" spans="1:29" ht="15" customHeight="1" x14ac:dyDescent="0.25">
      <c r="A97" s="104" t="s">
        <v>315</v>
      </c>
      <c r="B97" s="130" t="str">
        <f>VLOOKUP(A97,'0 Järjestäjätiedot'!A:H,2,FALSE)</f>
        <v>Palkansaajien koulutussäätiö sr</v>
      </c>
      <c r="C97" s="309">
        <v>39</v>
      </c>
      <c r="D97" s="309">
        <v>13</v>
      </c>
      <c r="E97" s="318">
        <v>0.33333333333333331</v>
      </c>
      <c r="F97" s="319"/>
      <c r="G97" s="313">
        <v>4.166666666666667</v>
      </c>
      <c r="H97" s="313">
        <v>1.1026386379099737</v>
      </c>
      <c r="I97" s="309">
        <v>650</v>
      </c>
      <c r="J97" s="309">
        <v>2390.1041666666665</v>
      </c>
      <c r="K97" s="310">
        <v>3.7604326179379016E-4</v>
      </c>
      <c r="L97" s="309">
        <v>16</v>
      </c>
      <c r="M97" s="309">
        <v>13</v>
      </c>
      <c r="N97" s="318">
        <v>0.8125</v>
      </c>
      <c r="O97" s="319"/>
      <c r="P97" s="313">
        <v>3.7051282051282053</v>
      </c>
      <c r="Q97" s="313">
        <v>1.1724287125994255</v>
      </c>
      <c r="R97" s="309">
        <v>578</v>
      </c>
      <c r="S97" s="309">
        <v>711.38461538461547</v>
      </c>
      <c r="T97" s="310">
        <v>2.672712988784623E-3</v>
      </c>
      <c r="U97" s="309">
        <v>55</v>
      </c>
      <c r="V97" s="309">
        <v>26</v>
      </c>
      <c r="W97" s="318">
        <v>0.47272727272727272</v>
      </c>
      <c r="X97" s="319"/>
      <c r="Y97" s="313">
        <v>3.9358974358974357</v>
      </c>
      <c r="Z97" s="313">
        <v>1.1612299358178735</v>
      </c>
      <c r="AA97" s="309">
        <v>2172.6153846153848</v>
      </c>
      <c r="AB97" s="309">
        <v>3101.4887820512822</v>
      </c>
      <c r="AC97" s="310">
        <v>4.6835465796932067E-4</v>
      </c>
    </row>
    <row r="98" spans="1:29" ht="15" customHeight="1" x14ac:dyDescent="0.25">
      <c r="A98" s="104" t="s">
        <v>310</v>
      </c>
      <c r="B98" s="130" t="str">
        <f>VLOOKUP(A98,'0 Järjestäjätiedot'!A:H,2,FALSE)</f>
        <v>Pop &amp; Jazz Konservatorion Säätiö sr</v>
      </c>
      <c r="C98" s="309">
        <v>40</v>
      </c>
      <c r="D98" s="309">
        <v>23</v>
      </c>
      <c r="E98" s="318">
        <v>0.57499999999999996</v>
      </c>
      <c r="F98" s="319"/>
      <c r="G98" s="313">
        <v>4.2173913043478262</v>
      </c>
      <c r="H98" s="313">
        <v>0.85752534449199991</v>
      </c>
      <c r="I98" s="309">
        <v>1164</v>
      </c>
      <c r="J98" s="309">
        <v>4472.419921875</v>
      </c>
      <c r="K98" s="310">
        <v>7.0366112029290352E-4</v>
      </c>
      <c r="L98" s="319"/>
      <c r="M98" s="319"/>
      <c r="N98" s="319"/>
      <c r="O98" s="319"/>
      <c r="P98" s="319"/>
      <c r="Q98" s="319"/>
      <c r="R98" s="319"/>
      <c r="S98" s="319"/>
      <c r="T98" s="319"/>
      <c r="U98" s="309">
        <v>40</v>
      </c>
      <c r="V98" s="309">
        <v>23</v>
      </c>
      <c r="W98" s="318">
        <v>0.57499999999999996</v>
      </c>
      <c r="X98" s="319"/>
      <c r="Y98" s="313">
        <v>4.2173913043478262</v>
      </c>
      <c r="Z98" s="313">
        <v>0.85752534449199991</v>
      </c>
      <c r="AA98" s="309">
        <v>1164</v>
      </c>
      <c r="AB98" s="309">
        <v>4472.419921875</v>
      </c>
      <c r="AC98" s="310">
        <v>6.7537845531704603E-4</v>
      </c>
    </row>
    <row r="99" spans="1:29" ht="15" customHeight="1" x14ac:dyDescent="0.25">
      <c r="A99" s="104" t="s">
        <v>263</v>
      </c>
      <c r="B99" s="130" t="str">
        <f>VLOOKUP(A99,'0 Järjestäjätiedot'!A:H,2,FALSE)</f>
        <v>Turun kristillisen opiston säätiö sr</v>
      </c>
      <c r="C99" s="309">
        <v>113</v>
      </c>
      <c r="D99" s="309">
        <v>107</v>
      </c>
      <c r="E99" s="318">
        <v>0.94690265486725667</v>
      </c>
      <c r="F99" s="319"/>
      <c r="G99" s="313">
        <v>4.4657320872274147</v>
      </c>
      <c r="H99" s="313">
        <v>0.83976901764062273</v>
      </c>
      <c r="I99" s="309">
        <v>5734</v>
      </c>
      <c r="J99" s="309">
        <v>18166.598130841121</v>
      </c>
      <c r="K99" s="310">
        <v>2.8582130068187965E-3</v>
      </c>
      <c r="L99" s="319"/>
      <c r="M99" s="319"/>
      <c r="N99" s="319"/>
      <c r="O99" s="319"/>
      <c r="P99" s="319"/>
      <c r="Q99" s="319"/>
      <c r="R99" s="319"/>
      <c r="S99" s="319"/>
      <c r="T99" s="319"/>
      <c r="U99" s="309">
        <v>113</v>
      </c>
      <c r="V99" s="309">
        <v>107</v>
      </c>
      <c r="W99" s="318">
        <v>0.94690265486725667</v>
      </c>
      <c r="X99" s="319"/>
      <c r="Y99" s="313">
        <v>4.4657320872274147</v>
      </c>
      <c r="Z99" s="313">
        <v>0.83976901764062273</v>
      </c>
      <c r="AA99" s="309">
        <v>5734</v>
      </c>
      <c r="AB99" s="309">
        <v>18166.598130841121</v>
      </c>
      <c r="AC99" s="310">
        <v>2.7433311715571794E-3</v>
      </c>
    </row>
    <row r="100" spans="1:29" ht="15" customHeight="1" x14ac:dyDescent="0.25">
      <c r="A100" s="104" t="s">
        <v>386</v>
      </c>
      <c r="B100" s="130" t="str">
        <f>VLOOKUP(A100,'0 Järjestäjätiedot'!A:H,2,FALSE)</f>
        <v>Hevosopisto Oy</v>
      </c>
      <c r="C100" s="309">
        <v>94</v>
      </c>
      <c r="D100" s="309">
        <v>23</v>
      </c>
      <c r="E100" s="318">
        <v>0.24468085106382978</v>
      </c>
      <c r="F100" s="319"/>
      <c r="G100" s="313">
        <v>3.7862318840579712</v>
      </c>
      <c r="H100" s="313">
        <v>1.1007041243759328</v>
      </c>
      <c r="I100" s="309">
        <v>1045</v>
      </c>
      <c r="J100" s="309">
        <v>3707.500725016976</v>
      </c>
      <c r="K100" s="310">
        <v>5.8331376731693039E-4</v>
      </c>
      <c r="L100" s="309">
        <v>36</v>
      </c>
      <c r="M100" s="309">
        <v>8</v>
      </c>
      <c r="N100" s="318">
        <v>0.22222222222222221</v>
      </c>
      <c r="O100" s="319"/>
      <c r="P100" s="313">
        <v>3.3229166666666665</v>
      </c>
      <c r="Q100" s="313">
        <v>1.2869116104284535</v>
      </c>
      <c r="R100" s="309">
        <v>319</v>
      </c>
      <c r="S100" s="309">
        <v>373.15123456790121</v>
      </c>
      <c r="T100" s="310">
        <v>1.401950688617908E-3</v>
      </c>
      <c r="U100" s="309">
        <v>130</v>
      </c>
      <c r="V100" s="309">
        <v>31</v>
      </c>
      <c r="W100" s="318">
        <v>0.23846153846153847</v>
      </c>
      <c r="X100" s="319"/>
      <c r="Y100" s="313">
        <v>3.6666666666666665</v>
      </c>
      <c r="Z100" s="313">
        <v>1.169351748852673</v>
      </c>
      <c r="AA100" s="309">
        <v>1901.9354838709678</v>
      </c>
      <c r="AB100" s="309">
        <v>4080.6519595848772</v>
      </c>
      <c r="AC100" s="310">
        <v>6.1621772223827836E-4</v>
      </c>
    </row>
    <row r="101" spans="1:29" ht="15" customHeight="1" x14ac:dyDescent="0.25">
      <c r="A101" s="104" t="s">
        <v>376</v>
      </c>
      <c r="B101" s="130" t="str">
        <f>VLOOKUP(A101,'0 Järjestäjätiedot'!A:H,2,FALSE)</f>
        <v>Jyväskylän Talouskouluyhdistys r.y.</v>
      </c>
      <c r="C101" s="309">
        <v>41</v>
      </c>
      <c r="D101" s="309">
        <v>41</v>
      </c>
      <c r="E101" s="318">
        <v>1</v>
      </c>
      <c r="F101" s="319"/>
      <c r="G101" s="313">
        <v>4.7824858757062145</v>
      </c>
      <c r="H101" s="313">
        <v>0.50771286323612308</v>
      </c>
      <c r="I101" s="309">
        <v>2352.9830508474579</v>
      </c>
      <c r="J101" s="309">
        <v>7058.9491525423737</v>
      </c>
      <c r="K101" s="310">
        <v>1.1106086091053403E-3</v>
      </c>
      <c r="L101" s="309">
        <v>11</v>
      </c>
      <c r="M101" s="309">
        <v>7</v>
      </c>
      <c r="N101" s="318">
        <v>0.63636363636363635</v>
      </c>
      <c r="O101" s="319"/>
      <c r="P101" s="313">
        <v>4.9880952380952381</v>
      </c>
      <c r="Q101" s="313">
        <v>0.10845754260884836</v>
      </c>
      <c r="R101" s="309">
        <v>419</v>
      </c>
      <c r="S101" s="309">
        <v>536.41089876033061</v>
      </c>
      <c r="T101" s="310">
        <v>2.0153266537360289E-3</v>
      </c>
      <c r="U101" s="309">
        <v>52</v>
      </c>
      <c r="V101" s="309">
        <v>48</v>
      </c>
      <c r="W101" s="318">
        <v>0.92307692307692313</v>
      </c>
      <c r="X101" s="319"/>
      <c r="Y101" s="313">
        <v>4.8042929292929291</v>
      </c>
      <c r="Z101" s="313">
        <v>0.48547774559206752</v>
      </c>
      <c r="AA101" s="309">
        <v>4311.6345270890715</v>
      </c>
      <c r="AB101" s="309">
        <v>7595.3600513027041</v>
      </c>
      <c r="AC101" s="310">
        <v>1.1469724732097711E-3</v>
      </c>
    </row>
    <row r="102" spans="1:29" ht="15" customHeight="1" x14ac:dyDescent="0.25">
      <c r="A102" s="104" t="s">
        <v>297</v>
      </c>
      <c r="B102" s="130" t="str">
        <f>VLOOKUP(A102,'0 Järjestäjätiedot'!A:H,2,FALSE)</f>
        <v>Rovaniemen Koulutuskuntayhtymä</v>
      </c>
      <c r="C102" s="309">
        <v>1048</v>
      </c>
      <c r="D102" s="309">
        <v>687</v>
      </c>
      <c r="E102" s="318">
        <v>0.65553435114503822</v>
      </c>
      <c r="F102" s="319"/>
      <c r="G102" s="313">
        <v>4.211305191654537</v>
      </c>
      <c r="H102" s="313">
        <v>0.95163910004110597</v>
      </c>
      <c r="I102" s="309">
        <v>34718</v>
      </c>
      <c r="J102" s="309">
        <v>133196.36123576673</v>
      </c>
      <c r="K102" s="310">
        <v>2.0956238994393205E-2</v>
      </c>
      <c r="L102" s="309">
        <v>55</v>
      </c>
      <c r="M102" s="309">
        <v>24</v>
      </c>
      <c r="N102" s="318">
        <v>0.43636363636363634</v>
      </c>
      <c r="O102" s="319"/>
      <c r="P102" s="313">
        <v>4.166666666666667</v>
      </c>
      <c r="Q102" s="313">
        <v>1.1960583412006094</v>
      </c>
      <c r="R102" s="309">
        <v>1200</v>
      </c>
      <c r="S102" s="309">
        <v>1512.3966942148761</v>
      </c>
      <c r="T102" s="310">
        <v>5.6821615219181795E-3</v>
      </c>
      <c r="U102" s="309">
        <v>1103</v>
      </c>
      <c r="V102" s="309">
        <v>711</v>
      </c>
      <c r="W102" s="318">
        <v>0.64460562103354491</v>
      </c>
      <c r="X102" s="319"/>
      <c r="Y102" s="313">
        <v>4.2097984060009379</v>
      </c>
      <c r="Z102" s="313">
        <v>0.96093777775251554</v>
      </c>
      <c r="AA102" s="309">
        <v>67150.014776834199</v>
      </c>
      <c r="AB102" s="309">
        <v>134708.7579299816</v>
      </c>
      <c r="AC102" s="310">
        <v>2.0342319021396139E-2</v>
      </c>
    </row>
    <row r="103" spans="1:29" ht="15" customHeight="1" x14ac:dyDescent="0.25">
      <c r="A103" s="104" t="s">
        <v>280</v>
      </c>
      <c r="B103" s="130" t="str">
        <f>VLOOKUP(A103,'0 Järjestäjätiedot'!A:H,2,FALSE)</f>
        <v>Suupohjan Koulutuskuntayhtymä</v>
      </c>
      <c r="C103" s="309">
        <v>169</v>
      </c>
      <c r="D103" s="309">
        <v>122</v>
      </c>
      <c r="E103" s="318">
        <v>0.72189349112426038</v>
      </c>
      <c r="F103" s="319"/>
      <c r="G103" s="313">
        <v>3.8975409836065573</v>
      </c>
      <c r="H103" s="313">
        <v>1.0885115255322375</v>
      </c>
      <c r="I103" s="309">
        <v>5706</v>
      </c>
      <c r="J103" s="309">
        <v>21733.73465564931</v>
      </c>
      <c r="K103" s="310">
        <v>3.4194427945244106E-3</v>
      </c>
      <c r="L103" s="319"/>
      <c r="M103" s="319"/>
      <c r="N103" s="319"/>
      <c r="O103" s="319"/>
      <c r="P103" s="319"/>
      <c r="Q103" s="319"/>
      <c r="R103" s="319"/>
      <c r="S103" s="319"/>
      <c r="T103" s="319"/>
      <c r="U103" s="309">
        <v>169</v>
      </c>
      <c r="V103" s="309">
        <v>122</v>
      </c>
      <c r="W103" s="318">
        <v>0.72189349112426038</v>
      </c>
      <c r="X103" s="319"/>
      <c r="Y103" s="313">
        <v>3.8975409836065573</v>
      </c>
      <c r="Z103" s="313">
        <v>1.0885115255322375</v>
      </c>
      <c r="AA103" s="309">
        <v>5706</v>
      </c>
      <c r="AB103" s="309">
        <v>21733.73465564931</v>
      </c>
      <c r="AC103" s="310">
        <v>3.2820031205498313E-3</v>
      </c>
    </row>
    <row r="104" spans="1:29" ht="15" customHeight="1" x14ac:dyDescent="0.25">
      <c r="A104" s="104" t="s">
        <v>278</v>
      </c>
      <c r="B104" s="130" t="str">
        <f>VLOOKUP(A104,'0 Järjestäjätiedot'!A:H,2,FALSE)</f>
        <v>Svenska Österbottens förbund för Utbildning och Kultur</v>
      </c>
      <c r="C104" s="309">
        <v>672</v>
      </c>
      <c r="D104" s="309">
        <v>241</v>
      </c>
      <c r="E104" s="318">
        <v>0.35863095238095238</v>
      </c>
      <c r="F104" s="319"/>
      <c r="G104" s="313">
        <v>4.227366255144033</v>
      </c>
      <c r="H104" s="313">
        <v>0.9192828683585067</v>
      </c>
      <c r="I104" s="309">
        <v>12225.543209876543</v>
      </c>
      <c r="J104" s="309">
        <v>45322.600154726446</v>
      </c>
      <c r="K104" s="310">
        <v>7.1307596684910485E-3</v>
      </c>
      <c r="L104" s="309">
        <v>96</v>
      </c>
      <c r="M104" s="309">
        <v>28</v>
      </c>
      <c r="N104" s="318">
        <v>0.29166666666666669</v>
      </c>
      <c r="O104" s="319"/>
      <c r="P104" s="313">
        <v>4.3125</v>
      </c>
      <c r="Q104" s="313">
        <v>0.75235246141052436</v>
      </c>
      <c r="R104" s="309">
        <v>1449</v>
      </c>
      <c r="S104" s="309">
        <v>1748.9096679687498</v>
      </c>
      <c r="T104" s="310">
        <v>6.5707543917910942E-3</v>
      </c>
      <c r="U104" s="309">
        <v>768</v>
      </c>
      <c r="V104" s="309">
        <v>269</v>
      </c>
      <c r="W104" s="318">
        <v>0.35026041666666669</v>
      </c>
      <c r="X104" s="319"/>
      <c r="Y104" s="313">
        <v>4.2361623616236166</v>
      </c>
      <c r="Z104" s="313">
        <v>0.90383685800570412</v>
      </c>
      <c r="AA104" s="309">
        <v>22264.519056113069</v>
      </c>
      <c r="AB104" s="309">
        <v>47071.509822695196</v>
      </c>
      <c r="AC104" s="310">
        <v>7.1082510472686277E-3</v>
      </c>
    </row>
    <row r="105" spans="1:29" ht="15" customHeight="1" x14ac:dyDescent="0.25">
      <c r="A105" s="104" t="s">
        <v>319</v>
      </c>
      <c r="B105" s="130" t="str">
        <f>VLOOKUP(A105,'0 Järjestäjätiedot'!A:H,2,FALSE)</f>
        <v>Oulun seudun koulutuskuntayhtymä (OSEKK)</v>
      </c>
      <c r="C105" s="309">
        <v>2835</v>
      </c>
      <c r="D105" s="309">
        <v>1926</v>
      </c>
      <c r="E105" s="318">
        <v>0.67936507936507939</v>
      </c>
      <c r="F105" s="319"/>
      <c r="G105" s="313">
        <v>4.2062132225683628</v>
      </c>
      <c r="H105" s="313">
        <v>0.95550879029981706</v>
      </c>
      <c r="I105" s="309">
        <v>97214</v>
      </c>
      <c r="J105" s="309">
        <v>372231.15684051393</v>
      </c>
      <c r="K105" s="310">
        <v>5.8564400795467181E-2</v>
      </c>
      <c r="L105" s="309">
        <v>235</v>
      </c>
      <c r="M105" s="309">
        <v>153</v>
      </c>
      <c r="N105" s="318">
        <v>0.65106382978723409</v>
      </c>
      <c r="O105" s="319"/>
      <c r="P105" s="313">
        <v>4.2009803921568629</v>
      </c>
      <c r="Q105" s="313">
        <v>1.038170796690683</v>
      </c>
      <c r="R105" s="309">
        <v>7713</v>
      </c>
      <c r="S105" s="309">
        <v>9866.568936736081</v>
      </c>
      <c r="T105" s="310">
        <v>3.7069267990418937E-2</v>
      </c>
      <c r="U105" s="309">
        <v>3070</v>
      </c>
      <c r="V105" s="309">
        <v>2079</v>
      </c>
      <c r="W105" s="318">
        <v>0.67719869706840385</v>
      </c>
      <c r="X105" s="319"/>
      <c r="Y105" s="313">
        <v>4.2058281224947889</v>
      </c>
      <c r="Z105" s="313">
        <v>0.96183531238425823</v>
      </c>
      <c r="AA105" s="309">
        <v>181239.51181574559</v>
      </c>
      <c r="AB105" s="309">
        <v>382097.72577725002</v>
      </c>
      <c r="AC105" s="310">
        <v>5.77004342891414E-2</v>
      </c>
    </row>
    <row r="106" spans="1:29" ht="15" customHeight="1" x14ac:dyDescent="0.25">
      <c r="A106" s="104" t="s">
        <v>352</v>
      </c>
      <c r="B106" s="130" t="str">
        <f>VLOOKUP(A106,'0 Järjestäjätiedot'!A:H,2,FALSE)</f>
        <v>Koulutuskeskus Salpaus -kuntayhtymä</v>
      </c>
      <c r="C106" s="309">
        <v>1686</v>
      </c>
      <c r="D106" s="309">
        <v>225</v>
      </c>
      <c r="E106" s="318">
        <v>0.13345195729537365</v>
      </c>
      <c r="F106" s="319"/>
      <c r="G106" s="313">
        <v>3.7196296296296296</v>
      </c>
      <c r="H106" s="313">
        <v>1.2022755630438702</v>
      </c>
      <c r="I106" s="309">
        <v>10043</v>
      </c>
      <c r="J106" s="309">
        <v>33479.272392680403</v>
      </c>
      <c r="K106" s="310">
        <v>5.2674084119874818E-3</v>
      </c>
      <c r="L106" s="309">
        <v>132</v>
      </c>
      <c r="M106" s="309">
        <v>8</v>
      </c>
      <c r="N106" s="318">
        <v>6.0606060606060608E-2</v>
      </c>
      <c r="O106" s="319"/>
      <c r="P106" s="313">
        <v>3.6666666666666665</v>
      </c>
      <c r="Q106" s="313">
        <v>1.1242281302693378</v>
      </c>
      <c r="R106" s="309">
        <v>352</v>
      </c>
      <c r="S106" s="309">
        <v>370.98989898989896</v>
      </c>
      <c r="T106" s="310">
        <v>1.3938304263188339E-3</v>
      </c>
      <c r="U106" s="309">
        <v>1818</v>
      </c>
      <c r="V106" s="309">
        <v>233</v>
      </c>
      <c r="W106" s="318">
        <v>0.12816281628162815</v>
      </c>
      <c r="X106" s="319"/>
      <c r="Y106" s="313">
        <v>3.7178111587982832</v>
      </c>
      <c r="Z106" s="313">
        <v>1.1997187623902248</v>
      </c>
      <c r="AA106" s="309">
        <v>19411.378179741754</v>
      </c>
      <c r="AB106" s="309">
        <v>33850.262291670304</v>
      </c>
      <c r="AC106" s="310">
        <v>5.1117154153630271E-3</v>
      </c>
    </row>
    <row r="107" spans="1:29" ht="15" customHeight="1" x14ac:dyDescent="0.25">
      <c r="A107" s="104" t="s">
        <v>290</v>
      </c>
      <c r="B107" s="130" t="str">
        <f>VLOOKUP(A107,'0 Järjestäjätiedot'!A:H,2,FALSE)</f>
        <v>Seinäjoen koulutuskuntayhtymä</v>
      </c>
      <c r="C107" s="309">
        <v>2033</v>
      </c>
      <c r="D107" s="309">
        <v>1239</v>
      </c>
      <c r="E107" s="318">
        <v>0.60944417117560257</v>
      </c>
      <c r="F107" s="319"/>
      <c r="G107" s="313">
        <v>4.1320112179487181</v>
      </c>
      <c r="H107" s="313">
        <v>0.9808534918751789</v>
      </c>
      <c r="I107" s="309">
        <v>61434.742788461539</v>
      </c>
      <c r="J107" s="309">
        <v>236126.94999097683</v>
      </c>
      <c r="K107" s="310">
        <v>3.715066050692746E-2</v>
      </c>
      <c r="L107" s="309">
        <v>297</v>
      </c>
      <c r="M107" s="309">
        <v>48</v>
      </c>
      <c r="N107" s="318">
        <v>0.16161616161616163</v>
      </c>
      <c r="O107" s="319"/>
      <c r="P107" s="313">
        <v>4.3469387755102042</v>
      </c>
      <c r="Q107" s="313">
        <v>0.9251075409042756</v>
      </c>
      <c r="R107" s="309">
        <v>2503.8367346938776</v>
      </c>
      <c r="S107" s="309">
        <v>2832.1124416708835</v>
      </c>
      <c r="T107" s="310">
        <v>1.0640409624911326E-2</v>
      </c>
      <c r="U107" s="309">
        <v>2330</v>
      </c>
      <c r="V107" s="309">
        <v>1287</v>
      </c>
      <c r="W107" s="318">
        <v>0.55236051502145922</v>
      </c>
      <c r="X107" s="319"/>
      <c r="Y107" s="313">
        <v>4.1401310717039319</v>
      </c>
      <c r="Z107" s="313">
        <v>0.97966257692348979</v>
      </c>
      <c r="AA107" s="309">
        <v>118640.05565063558</v>
      </c>
      <c r="AB107" s="309">
        <v>238959.06243264771</v>
      </c>
      <c r="AC107" s="310">
        <v>3.6085118412161887E-2</v>
      </c>
    </row>
    <row r="108" spans="1:29" ht="15" customHeight="1" x14ac:dyDescent="0.25">
      <c r="A108" s="104" t="s">
        <v>400</v>
      </c>
      <c r="B108" s="130" t="str">
        <f>VLOOKUP(A108,'0 Järjestäjätiedot'!A:H,2,FALSE)</f>
        <v>Etelä-Karjalan Koulutuskuntayhtymä</v>
      </c>
      <c r="C108" s="309">
        <v>1185</v>
      </c>
      <c r="D108" s="309">
        <v>811</v>
      </c>
      <c r="E108" s="318">
        <v>0.68438818565400839</v>
      </c>
      <c r="F108" s="319"/>
      <c r="G108" s="313">
        <v>4.1110768598438145</v>
      </c>
      <c r="H108" s="313">
        <v>0.95409030934370198</v>
      </c>
      <c r="I108" s="309">
        <v>40009</v>
      </c>
      <c r="J108" s="309">
        <v>153116.8154826283</v>
      </c>
      <c r="K108" s="310">
        <v>2.409039218146997E-2</v>
      </c>
      <c r="L108" s="309">
        <v>312</v>
      </c>
      <c r="M108" s="309">
        <v>267</v>
      </c>
      <c r="N108" s="318">
        <v>0.85576923076923073</v>
      </c>
      <c r="O108" s="319"/>
      <c r="P108" s="313">
        <v>3.8966916354556802</v>
      </c>
      <c r="Q108" s="313">
        <v>1.0842771646724647</v>
      </c>
      <c r="R108" s="309">
        <v>12485</v>
      </c>
      <c r="S108" s="309">
        <v>14589.213483146066</v>
      </c>
      <c r="T108" s="310">
        <v>5.4812515662114092E-2</v>
      </c>
      <c r="U108" s="309">
        <v>1497</v>
      </c>
      <c r="V108" s="309">
        <v>1078</v>
      </c>
      <c r="W108" s="318">
        <v>0.72010688042752169</v>
      </c>
      <c r="X108" s="319"/>
      <c r="Y108" s="313">
        <v>4.0579777365491649</v>
      </c>
      <c r="Z108" s="313">
        <v>0.99225964992153848</v>
      </c>
      <c r="AA108" s="309">
        <v>65862.107971540783</v>
      </c>
      <c r="AB108" s="309">
        <v>167706.02896577437</v>
      </c>
      <c r="AC108" s="310">
        <v>2.5325224547067055E-2</v>
      </c>
    </row>
    <row r="109" spans="1:29" ht="15" customHeight="1" x14ac:dyDescent="0.25">
      <c r="A109" s="104" t="s">
        <v>253</v>
      </c>
      <c r="B109" s="130" t="str">
        <f>VLOOKUP(A109,'0 Järjestäjätiedot'!A:H,2,FALSE)</f>
        <v>Valtakunnallinen valmennus- ja liikuntakeskus Oy</v>
      </c>
      <c r="C109" s="309">
        <v>76</v>
      </c>
      <c r="D109" s="309">
        <v>33</v>
      </c>
      <c r="E109" s="318">
        <v>0.43421052631578949</v>
      </c>
      <c r="F109" s="319"/>
      <c r="G109" s="313">
        <v>3.8787878787878789</v>
      </c>
      <c r="H109" s="313">
        <v>1.0803359678773252</v>
      </c>
      <c r="I109" s="309">
        <v>1536</v>
      </c>
      <c r="J109" s="309">
        <v>5805.0498614958451</v>
      </c>
      <c r="K109" s="310">
        <v>9.1332834578373859E-4</v>
      </c>
      <c r="L109" s="319"/>
      <c r="M109" s="319"/>
      <c r="N109" s="319"/>
      <c r="O109" s="319"/>
      <c r="P109" s="319"/>
      <c r="Q109" s="319"/>
      <c r="R109" s="319"/>
      <c r="S109" s="319"/>
      <c r="T109" s="319"/>
      <c r="U109" s="309">
        <v>76</v>
      </c>
      <c r="V109" s="309">
        <v>33</v>
      </c>
      <c r="W109" s="318">
        <v>0.43421052631578949</v>
      </c>
      <c r="X109" s="319"/>
      <c r="Y109" s="313">
        <v>3.8787878787878789</v>
      </c>
      <c r="Z109" s="313">
        <v>1.0803359678773252</v>
      </c>
      <c r="AA109" s="309">
        <v>1536</v>
      </c>
      <c r="AB109" s="309">
        <v>5805.0498614958451</v>
      </c>
      <c r="AC109" s="310">
        <v>8.7661840278446769E-4</v>
      </c>
    </row>
    <row r="110" spans="1:29" ht="15" customHeight="1" x14ac:dyDescent="0.25">
      <c r="A110" s="104" t="s">
        <v>391</v>
      </c>
      <c r="B110" s="130" t="str">
        <f>VLOOKUP(A110,'0 Järjestäjätiedot'!A:H,2,FALSE)</f>
        <v>Harjun Oppimiskeskus Oy</v>
      </c>
      <c r="C110" s="309">
        <v>51</v>
      </c>
      <c r="D110" s="309">
        <v>44</v>
      </c>
      <c r="E110" s="318">
        <v>0.86274509803921573</v>
      </c>
      <c r="F110" s="319"/>
      <c r="G110" s="313">
        <v>3.8863636363636362</v>
      </c>
      <c r="H110" s="313">
        <v>1.1589423553050902</v>
      </c>
      <c r="I110" s="309">
        <v>2052</v>
      </c>
      <c r="J110" s="309">
        <v>7135.3636363636351</v>
      </c>
      <c r="K110" s="310">
        <v>1.1226311611535682E-3</v>
      </c>
      <c r="L110" s="309">
        <v>21</v>
      </c>
      <c r="M110" s="309">
        <v>11</v>
      </c>
      <c r="N110" s="318">
        <v>0.52380952380952384</v>
      </c>
      <c r="O110" s="319"/>
      <c r="P110" s="313">
        <v>4.25</v>
      </c>
      <c r="Q110" s="313">
        <v>0.89082018727721113</v>
      </c>
      <c r="R110" s="309">
        <v>561</v>
      </c>
      <c r="S110" s="309">
        <v>716.23703231292518</v>
      </c>
      <c r="T110" s="310">
        <v>2.6909437987723819E-3</v>
      </c>
      <c r="U110" s="309">
        <v>72</v>
      </c>
      <c r="V110" s="309">
        <v>55</v>
      </c>
      <c r="W110" s="318">
        <v>0.76388888888888884</v>
      </c>
      <c r="X110" s="319"/>
      <c r="Y110" s="313">
        <v>3.959090909090909</v>
      </c>
      <c r="Z110" s="313">
        <v>1.1199942197804411</v>
      </c>
      <c r="AA110" s="309">
        <v>3553.68</v>
      </c>
      <c r="AB110" s="309">
        <v>7851.6006686765604</v>
      </c>
      <c r="AC110" s="310">
        <v>1.1856672727533007E-3</v>
      </c>
    </row>
    <row r="111" spans="1:29" ht="15" customHeight="1" x14ac:dyDescent="0.25">
      <c r="A111" s="104" t="s">
        <v>269</v>
      </c>
      <c r="B111" s="130" t="str">
        <f>VLOOKUP(A111,'0 Järjestäjätiedot'!A:H,2,FALSE)</f>
        <v>Traffica Oy</v>
      </c>
      <c r="C111" s="309">
        <v>11</v>
      </c>
      <c r="D111" s="309">
        <v>11</v>
      </c>
      <c r="E111" s="318">
        <v>1</v>
      </c>
      <c r="F111" s="319"/>
      <c r="G111" s="313">
        <v>4.3106060606060606</v>
      </c>
      <c r="H111" s="313">
        <v>0.86280528859289907</v>
      </c>
      <c r="I111" s="309">
        <v>569</v>
      </c>
      <c r="J111" s="309">
        <v>1707</v>
      </c>
      <c r="K111" s="310">
        <v>2.6856814729427759E-4</v>
      </c>
      <c r="L111" s="309">
        <v>19</v>
      </c>
      <c r="M111" s="309">
        <v>17</v>
      </c>
      <c r="N111" s="318">
        <v>0.89473684210526316</v>
      </c>
      <c r="O111" s="319"/>
      <c r="P111" s="313">
        <v>4.4068627450980395</v>
      </c>
      <c r="Q111" s="313">
        <v>0.82613674554371308</v>
      </c>
      <c r="R111" s="309">
        <v>899</v>
      </c>
      <c r="S111" s="309">
        <v>1004.7647058823529</v>
      </c>
      <c r="T111" s="310">
        <v>3.7749588928518208E-3</v>
      </c>
      <c r="U111" s="309">
        <v>30</v>
      </c>
      <c r="V111" s="309">
        <v>28</v>
      </c>
      <c r="W111" s="318">
        <v>0.93333333333333335</v>
      </c>
      <c r="X111" s="319"/>
      <c r="Y111" s="313">
        <v>4.3690476190476186</v>
      </c>
      <c r="Z111" s="313">
        <v>0.8420462873936212</v>
      </c>
      <c r="AA111" s="309">
        <v>1599.0714285714284</v>
      </c>
      <c r="AB111" s="309">
        <v>2711.7647058823532</v>
      </c>
      <c r="AC111" s="310">
        <v>4.0950257136729013E-4</v>
      </c>
    </row>
    <row r="112" spans="1:29" ht="15" customHeight="1" x14ac:dyDescent="0.25">
      <c r="A112" s="104" t="s">
        <v>377</v>
      </c>
      <c r="B112" s="130" t="str">
        <f>VLOOKUP(A112,'0 Järjestäjätiedot'!A:H,2,FALSE)</f>
        <v>Jyväskylän kristillisen opiston säätiö sr</v>
      </c>
      <c r="C112" s="309">
        <v>95</v>
      </c>
      <c r="D112" s="309">
        <v>34</v>
      </c>
      <c r="E112" s="318">
        <v>0.35789473684210527</v>
      </c>
      <c r="F112" s="319"/>
      <c r="G112" s="313">
        <v>4.4705882352941178</v>
      </c>
      <c r="H112" s="313">
        <v>0.84547100636668049</v>
      </c>
      <c r="I112" s="309">
        <v>1824</v>
      </c>
      <c r="J112" s="309">
        <v>6760.4210526315792</v>
      </c>
      <c r="K112" s="310">
        <v>1.0636401622932004E-3</v>
      </c>
      <c r="L112" s="319"/>
      <c r="M112" s="319"/>
      <c r="N112" s="319"/>
      <c r="O112" s="319"/>
      <c r="P112" s="319"/>
      <c r="Q112" s="319"/>
      <c r="R112" s="319"/>
      <c r="S112" s="319"/>
      <c r="T112" s="319"/>
      <c r="U112" s="309">
        <v>95</v>
      </c>
      <c r="V112" s="309">
        <v>34</v>
      </c>
      <c r="W112" s="318">
        <v>0.35789473684210527</v>
      </c>
      <c r="X112" s="319"/>
      <c r="Y112" s="313">
        <v>4.4705882352941178</v>
      </c>
      <c r="Z112" s="313">
        <v>0.84547100636668049</v>
      </c>
      <c r="AA112" s="309">
        <v>1824</v>
      </c>
      <c r="AB112" s="309">
        <v>6760.4210526315792</v>
      </c>
      <c r="AC112" s="310">
        <v>1.0208886481090952E-3</v>
      </c>
    </row>
    <row r="113" spans="1:29" ht="15" customHeight="1" x14ac:dyDescent="0.25">
      <c r="A113" s="104" t="s">
        <v>373</v>
      </c>
      <c r="B113" s="130" t="str">
        <f>VLOOKUP(A113,'0 Järjestäjätiedot'!A:H,2,FALSE)</f>
        <v>Jollas-Opisto Oy</v>
      </c>
      <c r="C113" s="309">
        <v>24</v>
      </c>
      <c r="D113" s="309">
        <v>11</v>
      </c>
      <c r="E113" s="318">
        <v>0.45833333333333331</v>
      </c>
      <c r="F113" s="319"/>
      <c r="G113" s="313">
        <v>4.4090909090909092</v>
      </c>
      <c r="H113" s="313">
        <v>0.83443453412208313</v>
      </c>
      <c r="I113" s="309">
        <v>582</v>
      </c>
      <c r="J113" s="309">
        <v>2209.6865234375</v>
      </c>
      <c r="K113" s="310">
        <v>3.4765753702445379E-4</v>
      </c>
      <c r="L113" s="319"/>
      <c r="M113" s="319"/>
      <c r="N113" s="319"/>
      <c r="O113" s="319"/>
      <c r="P113" s="319"/>
      <c r="Q113" s="319"/>
      <c r="R113" s="319"/>
      <c r="S113" s="319"/>
      <c r="T113" s="319"/>
      <c r="U113" s="309">
        <v>24</v>
      </c>
      <c r="V113" s="309">
        <v>11</v>
      </c>
      <c r="W113" s="318">
        <v>0.45833333333333331</v>
      </c>
      <c r="X113" s="319"/>
      <c r="Y113" s="313">
        <v>4.4090909090909092</v>
      </c>
      <c r="Z113" s="313">
        <v>0.83443453412208313</v>
      </c>
      <c r="AA113" s="309">
        <v>582</v>
      </c>
      <c r="AB113" s="309">
        <v>2209.6865234375</v>
      </c>
      <c r="AC113" s="310">
        <v>3.3368393330750906E-4</v>
      </c>
    </row>
    <row r="114" spans="1:29" ht="15" customHeight="1" x14ac:dyDescent="0.25">
      <c r="A114" s="104" t="s">
        <v>279</v>
      </c>
      <c r="B114" s="130" t="str">
        <f>VLOOKUP(A114,'0 Järjestäjätiedot'!A:H,2,FALSE)</f>
        <v>Svenska Framtidsskolan i Helsingforsregionen Ab</v>
      </c>
      <c r="C114" s="309">
        <v>288</v>
      </c>
      <c r="D114" s="309">
        <v>239</v>
      </c>
      <c r="E114" s="318">
        <v>0.82986111111111116</v>
      </c>
      <c r="F114" s="319"/>
      <c r="G114" s="313">
        <v>3.9414225941422596</v>
      </c>
      <c r="H114" s="313">
        <v>0.98739598711013177</v>
      </c>
      <c r="I114" s="309">
        <v>11304</v>
      </c>
      <c r="J114" s="309">
        <v>40864.669456066949</v>
      </c>
      <c r="K114" s="310">
        <v>6.4293781872343022E-3</v>
      </c>
      <c r="L114" s="309">
        <v>56</v>
      </c>
      <c r="M114" s="309">
        <v>14</v>
      </c>
      <c r="N114" s="318">
        <v>0.25</v>
      </c>
      <c r="O114" s="319"/>
      <c r="P114" s="313">
        <v>4.2559523809523814</v>
      </c>
      <c r="Q114" s="313">
        <v>0.86600494753840418</v>
      </c>
      <c r="R114" s="309">
        <v>715</v>
      </c>
      <c r="S114" s="309">
        <v>847.666015625</v>
      </c>
      <c r="T114" s="310">
        <v>3.1847300617927343E-3</v>
      </c>
      <c r="U114" s="309">
        <v>344</v>
      </c>
      <c r="V114" s="309">
        <v>253</v>
      </c>
      <c r="W114" s="318">
        <v>0.73546511627906974</v>
      </c>
      <c r="X114" s="319"/>
      <c r="Y114" s="313">
        <v>3.9588274044795786</v>
      </c>
      <c r="Z114" s="313">
        <v>0.98370341379448101</v>
      </c>
      <c r="AA114" s="309">
        <v>21614.634317049167</v>
      </c>
      <c r="AB114" s="309">
        <v>41712.335471691949</v>
      </c>
      <c r="AC114" s="310">
        <v>6.2989641381275257E-3</v>
      </c>
    </row>
    <row r="115" spans="1:29" ht="15" customHeight="1" x14ac:dyDescent="0.25">
      <c r="A115" s="104" t="s">
        <v>371</v>
      </c>
      <c r="B115" s="130" t="str">
        <f>VLOOKUP(A115,'0 Järjestäjätiedot'!A:H,2,FALSE)</f>
        <v>Järviseudun Koulutuskuntayhtymä</v>
      </c>
      <c r="C115" s="309">
        <v>279</v>
      </c>
      <c r="D115" s="309">
        <v>259</v>
      </c>
      <c r="E115" s="318">
        <v>0.92831541218637992</v>
      </c>
      <c r="F115" s="319"/>
      <c r="G115" s="313">
        <v>4.1743589743589746</v>
      </c>
      <c r="H115" s="313">
        <v>0.99181727760865701</v>
      </c>
      <c r="I115" s="309">
        <v>12973.907692307692</v>
      </c>
      <c r="J115" s="309">
        <v>41927.261538461535</v>
      </c>
      <c r="K115" s="310">
        <v>6.5965594332204076E-3</v>
      </c>
      <c r="L115" s="319"/>
      <c r="M115" s="319"/>
      <c r="N115" s="319"/>
      <c r="O115" s="319"/>
      <c r="P115" s="319"/>
      <c r="Q115" s="319"/>
      <c r="R115" s="319"/>
      <c r="S115" s="319"/>
      <c r="T115" s="319"/>
      <c r="U115" s="309">
        <v>279</v>
      </c>
      <c r="V115" s="309">
        <v>259</v>
      </c>
      <c r="W115" s="318">
        <v>0.92831541218637992</v>
      </c>
      <c r="X115" s="319"/>
      <c r="Y115" s="313">
        <v>4.1743589743589746</v>
      </c>
      <c r="Z115" s="313">
        <v>0.99181727760865701</v>
      </c>
      <c r="AA115" s="309">
        <v>12973.907692307692</v>
      </c>
      <c r="AB115" s="309">
        <v>41927.261538461535</v>
      </c>
      <c r="AC115" s="310">
        <v>6.3314200428765946E-3</v>
      </c>
    </row>
    <row r="116" spans="1:29" ht="15" customHeight="1" x14ac:dyDescent="0.25">
      <c r="A116" s="104" t="s">
        <v>291</v>
      </c>
      <c r="B116" s="130" t="str">
        <f>VLOOKUP(A116,'0 Järjestäjätiedot'!A:H,2,FALSE)</f>
        <v>Savon Koulutuskuntayhtymä</v>
      </c>
      <c r="C116" s="309">
        <v>2326</v>
      </c>
      <c r="D116" s="309">
        <v>1374</v>
      </c>
      <c r="E116" s="318">
        <v>0.59071367153912291</v>
      </c>
      <c r="F116" s="319"/>
      <c r="G116" s="313">
        <v>4.2126394953905875</v>
      </c>
      <c r="H116" s="313">
        <v>0.94314625709547395</v>
      </c>
      <c r="I116" s="309">
        <v>69458</v>
      </c>
      <c r="J116" s="309">
        <v>266965.14896980306</v>
      </c>
      <c r="K116" s="310">
        <v>4.2002539807241251E-2</v>
      </c>
      <c r="L116" s="309">
        <v>889</v>
      </c>
      <c r="M116" s="309">
        <v>301</v>
      </c>
      <c r="N116" s="318">
        <v>0.33858267716535434</v>
      </c>
      <c r="O116" s="319"/>
      <c r="P116" s="313">
        <v>4.1686046511627906</v>
      </c>
      <c r="Q116" s="313">
        <v>1.0351411017927319</v>
      </c>
      <c r="R116" s="309">
        <v>15057</v>
      </c>
      <c r="S116" s="309">
        <v>18487.890176467852</v>
      </c>
      <c r="T116" s="310">
        <v>6.9460068634115524E-2</v>
      </c>
      <c r="U116" s="309">
        <v>3215</v>
      </c>
      <c r="V116" s="309">
        <v>1675</v>
      </c>
      <c r="W116" s="318">
        <v>0.52099533437014001</v>
      </c>
      <c r="X116" s="319"/>
      <c r="Y116" s="313">
        <v>4.2047263681592044</v>
      </c>
      <c r="Z116" s="313">
        <v>0.96047643119279835</v>
      </c>
      <c r="AA116" s="309">
        <v>119196.95872042772</v>
      </c>
      <c r="AB116" s="309">
        <v>285453.03914627089</v>
      </c>
      <c r="AC116" s="310">
        <v>4.3106156401195146E-2</v>
      </c>
    </row>
    <row r="117" spans="1:29" ht="15" customHeight="1" x14ac:dyDescent="0.25">
      <c r="A117" s="104" t="s">
        <v>356</v>
      </c>
      <c r="B117" s="130" t="str">
        <f>VLOOKUP(A117,'0 Järjestäjätiedot'!A:H,2,FALSE)</f>
        <v>KONE Hissit Oy</v>
      </c>
      <c r="C117" s="309">
        <v>21</v>
      </c>
      <c r="D117" s="309">
        <v>16</v>
      </c>
      <c r="E117" s="318">
        <v>0.76190476190476186</v>
      </c>
      <c r="F117" s="319"/>
      <c r="G117" s="313">
        <v>4.322916666666667</v>
      </c>
      <c r="H117" s="313">
        <v>1.0051408656114931</v>
      </c>
      <c r="I117" s="309">
        <v>830</v>
      </c>
      <c r="J117" s="309">
        <v>3139.3197278911566</v>
      </c>
      <c r="K117" s="310">
        <v>4.9391990807504604E-4</v>
      </c>
      <c r="L117" s="319"/>
      <c r="M117" s="319"/>
      <c r="N117" s="319"/>
      <c r="O117" s="319"/>
      <c r="P117" s="319"/>
      <c r="Q117" s="319"/>
      <c r="R117" s="319"/>
      <c r="S117" s="319"/>
      <c r="T117" s="319"/>
      <c r="U117" s="309">
        <v>21</v>
      </c>
      <c r="V117" s="309">
        <v>16</v>
      </c>
      <c r="W117" s="318">
        <v>0.76190476190476186</v>
      </c>
      <c r="X117" s="319"/>
      <c r="Y117" s="313">
        <v>4.322916666666667</v>
      </c>
      <c r="Z117" s="313">
        <v>1.0051408656114931</v>
      </c>
      <c r="AA117" s="309">
        <v>830</v>
      </c>
      <c r="AB117" s="309">
        <v>3139.3197278911566</v>
      </c>
      <c r="AC117" s="310">
        <v>4.7406749491460588E-4</v>
      </c>
    </row>
    <row r="118" spans="1:29" ht="15" customHeight="1" x14ac:dyDescent="0.25">
      <c r="A118" s="104" t="s">
        <v>348</v>
      </c>
      <c r="B118" s="130" t="str">
        <f>VLOOKUP(A118,'0 Järjestäjätiedot'!A:H,2,FALSE)</f>
        <v>Keski-Pohjanmaan Konservatorion Kannatusyhdistys ry</v>
      </c>
      <c r="C118" s="309">
        <v>14</v>
      </c>
      <c r="D118" s="309">
        <v>12</v>
      </c>
      <c r="E118" s="318">
        <v>0.8571428571428571</v>
      </c>
      <c r="F118" s="319"/>
      <c r="G118" s="313">
        <v>4.2638888888888893</v>
      </c>
      <c r="H118" s="313">
        <v>0.92034195872384938</v>
      </c>
      <c r="I118" s="309">
        <v>614</v>
      </c>
      <c r="J118" s="309">
        <v>2149</v>
      </c>
      <c r="K118" s="310">
        <v>3.3810951876707819E-4</v>
      </c>
      <c r="L118" s="319"/>
      <c r="M118" s="319"/>
      <c r="N118" s="319"/>
      <c r="O118" s="319"/>
      <c r="P118" s="319"/>
      <c r="Q118" s="319"/>
      <c r="R118" s="319"/>
      <c r="S118" s="319"/>
      <c r="T118" s="319"/>
      <c r="U118" s="309">
        <v>14</v>
      </c>
      <c r="V118" s="309">
        <v>12</v>
      </c>
      <c r="W118" s="318">
        <v>0.8571428571428571</v>
      </c>
      <c r="X118" s="319"/>
      <c r="Y118" s="313">
        <v>4.2638888888888893</v>
      </c>
      <c r="Z118" s="313">
        <v>0.92034195872384938</v>
      </c>
      <c r="AA118" s="309">
        <v>614</v>
      </c>
      <c r="AB118" s="309">
        <v>2149</v>
      </c>
      <c r="AC118" s="310">
        <v>3.2451968415967916E-4</v>
      </c>
    </row>
    <row r="119" spans="1:29" ht="15" customHeight="1" x14ac:dyDescent="0.25">
      <c r="A119" s="104" t="s">
        <v>353</v>
      </c>
      <c r="B119" s="130" t="str">
        <f>VLOOKUP(A119,'0 Järjestäjätiedot'!A:H,2,FALSE)</f>
        <v>Kotkan-Haminan seudun koulutuskuntayhtymä</v>
      </c>
      <c r="C119" s="309">
        <v>682</v>
      </c>
      <c r="D119" s="309">
        <v>227</v>
      </c>
      <c r="E119" s="318">
        <v>0.33284457478005863</v>
      </c>
      <c r="F119" s="319"/>
      <c r="G119" s="313">
        <v>3.856828193832599</v>
      </c>
      <c r="H119" s="313">
        <v>1.1142784083718476</v>
      </c>
      <c r="I119" s="309">
        <v>10506</v>
      </c>
      <c r="J119" s="309">
        <v>38625.01299613114</v>
      </c>
      <c r="K119" s="310">
        <v>6.0770053776147233E-3</v>
      </c>
      <c r="L119" s="309">
        <v>348</v>
      </c>
      <c r="M119" s="309">
        <v>10</v>
      </c>
      <c r="N119" s="318">
        <v>2.8735632183908046E-2</v>
      </c>
      <c r="O119" s="319"/>
      <c r="P119" s="313">
        <v>4.0750000000000002</v>
      </c>
      <c r="Q119" s="313">
        <v>1.1192445368789317</v>
      </c>
      <c r="R119" s="309">
        <v>489</v>
      </c>
      <c r="S119" s="309">
        <v>501.85803421026554</v>
      </c>
      <c r="T119" s="310">
        <v>1.8855095507435149E-3</v>
      </c>
      <c r="U119" s="309">
        <v>1030</v>
      </c>
      <c r="V119" s="309">
        <v>237</v>
      </c>
      <c r="W119" s="318">
        <v>0.23009708737864076</v>
      </c>
      <c r="X119" s="319"/>
      <c r="Y119" s="313">
        <v>3.8660337552742616</v>
      </c>
      <c r="Z119" s="313">
        <v>1.1153510829517923</v>
      </c>
      <c r="AA119" s="309">
        <v>20212.603215296695</v>
      </c>
      <c r="AB119" s="309">
        <v>39126.871030341405</v>
      </c>
      <c r="AC119" s="310">
        <v>5.9085341223466233E-3</v>
      </c>
    </row>
    <row r="120" spans="1:29" ht="15" customHeight="1" x14ac:dyDescent="0.25">
      <c r="A120" s="104" t="s">
        <v>404</v>
      </c>
      <c r="B120" s="130" t="str">
        <f>VLOOKUP(A120,'0 Järjestäjätiedot'!A:H,2,FALSE)</f>
        <v>Axxell Utbildning Ab</v>
      </c>
      <c r="C120" s="309">
        <v>542</v>
      </c>
      <c r="D120" s="309">
        <v>217</v>
      </c>
      <c r="E120" s="318">
        <v>0.40036900369003692</v>
      </c>
      <c r="F120" s="319"/>
      <c r="G120" s="313">
        <v>4.1185015290519882</v>
      </c>
      <c r="H120" s="313">
        <v>1.0210447155535056</v>
      </c>
      <c r="I120" s="309">
        <v>10724.577981651377</v>
      </c>
      <c r="J120" s="309">
        <v>40220.874079414367</v>
      </c>
      <c r="K120" s="310">
        <v>6.3280876590888976E-3</v>
      </c>
      <c r="L120" s="309">
        <v>97</v>
      </c>
      <c r="M120" s="309">
        <v>28</v>
      </c>
      <c r="N120" s="318">
        <v>0.28865979381443296</v>
      </c>
      <c r="O120" s="319"/>
      <c r="P120" s="313">
        <v>4.0119047619047619</v>
      </c>
      <c r="Q120" s="313">
        <v>0.99694829138306429</v>
      </c>
      <c r="R120" s="309">
        <v>1348</v>
      </c>
      <c r="S120" s="309">
        <v>1625.0427250504836</v>
      </c>
      <c r="T120" s="310">
        <v>6.1053791502423248E-3</v>
      </c>
      <c r="U120" s="309">
        <v>639</v>
      </c>
      <c r="V120" s="309">
        <v>245</v>
      </c>
      <c r="W120" s="318">
        <v>0.38341158059467917</v>
      </c>
      <c r="X120" s="319"/>
      <c r="Y120" s="313">
        <v>4.1063685636856366</v>
      </c>
      <c r="Z120" s="313">
        <v>1.018893381683974</v>
      </c>
      <c r="AA120" s="309">
        <v>19265.879436843152</v>
      </c>
      <c r="AB120" s="309">
        <v>41845.916804464854</v>
      </c>
      <c r="AC120" s="310">
        <v>6.3191362050987179E-3</v>
      </c>
    </row>
    <row r="121" spans="1:29" ht="15" customHeight="1" x14ac:dyDescent="0.25">
      <c r="A121" s="104" t="s">
        <v>362</v>
      </c>
      <c r="B121" s="130" t="str">
        <f>VLOOKUP(A121,'0 Järjestäjätiedot'!A:H,2,FALSE)</f>
        <v>Kemi-Tornionlaakson koulutuskuntayhtymä Lappia</v>
      </c>
      <c r="C121" s="309">
        <v>1047</v>
      </c>
      <c r="D121" s="309">
        <v>671</v>
      </c>
      <c r="E121" s="318">
        <v>0.64087870105062084</v>
      </c>
      <c r="F121" s="319"/>
      <c r="G121" s="313">
        <v>4.2431693989071038</v>
      </c>
      <c r="H121" s="313">
        <v>0.93676589519043796</v>
      </c>
      <c r="I121" s="309">
        <v>34166</v>
      </c>
      <c r="J121" s="309">
        <v>131191.74910287408</v>
      </c>
      <c r="K121" s="310">
        <v>2.0640846512510014E-2</v>
      </c>
      <c r="L121" s="309">
        <v>87</v>
      </c>
      <c r="M121" s="309">
        <v>36</v>
      </c>
      <c r="N121" s="318">
        <v>0.41379310344827586</v>
      </c>
      <c r="O121" s="319"/>
      <c r="P121" s="313">
        <v>4.1319444444444446</v>
      </c>
      <c r="Q121" s="313">
        <v>1.0644499173484907</v>
      </c>
      <c r="R121" s="309">
        <v>1785</v>
      </c>
      <c r="S121" s="309">
        <v>2238.6786563614746</v>
      </c>
      <c r="T121" s="310">
        <v>8.4108447008476288E-3</v>
      </c>
      <c r="U121" s="309">
        <v>1134</v>
      </c>
      <c r="V121" s="309">
        <v>707</v>
      </c>
      <c r="W121" s="318">
        <v>0.62345679012345678</v>
      </c>
      <c r="X121" s="319"/>
      <c r="Y121" s="313">
        <v>4.2375058934464871</v>
      </c>
      <c r="Z121" s="313">
        <v>0.9440017356124879</v>
      </c>
      <c r="AA121" s="309">
        <v>64952.442385600451</v>
      </c>
      <c r="AB121" s="309">
        <v>133430.42775923555</v>
      </c>
      <c r="AC121" s="310">
        <v>2.0149278861664965E-2</v>
      </c>
    </row>
    <row r="122" spans="1:29" ht="15" customHeight="1" x14ac:dyDescent="0.25">
      <c r="A122" s="104" t="s">
        <v>388</v>
      </c>
      <c r="B122" s="130" t="str">
        <f>VLOOKUP(A122,'0 Järjestäjätiedot'!A:H,2,FALSE)</f>
        <v>Helsinki Business College Oy</v>
      </c>
      <c r="C122" s="309">
        <v>670</v>
      </c>
      <c r="D122" s="309">
        <v>215</v>
      </c>
      <c r="E122" s="318">
        <v>0.32089552238805968</v>
      </c>
      <c r="F122" s="319"/>
      <c r="G122" s="313">
        <v>3.9891472868217055</v>
      </c>
      <c r="H122" s="313">
        <v>1.0943293093129316</v>
      </c>
      <c r="I122" s="309">
        <v>10292</v>
      </c>
      <c r="J122" s="309">
        <v>37680.797595511249</v>
      </c>
      <c r="K122" s="310">
        <v>5.9284487397757027E-3</v>
      </c>
      <c r="L122" s="309">
        <v>13</v>
      </c>
      <c r="M122" s="309">
        <v>3</v>
      </c>
      <c r="N122" s="318">
        <v>0.23076923076923078</v>
      </c>
      <c r="O122" s="319"/>
      <c r="P122" s="313">
        <v>4.4722222222222223</v>
      </c>
      <c r="Q122" s="313">
        <v>0.72595190807622123</v>
      </c>
      <c r="R122" s="309">
        <v>161</v>
      </c>
      <c r="S122" s="309">
        <v>189.13332100591714</v>
      </c>
      <c r="T122" s="310">
        <v>7.1058478456296733E-4</v>
      </c>
      <c r="U122" s="309">
        <v>683</v>
      </c>
      <c r="V122" s="309">
        <v>218</v>
      </c>
      <c r="W122" s="318">
        <v>0.31918008784773061</v>
      </c>
      <c r="X122" s="319"/>
      <c r="Y122" s="313">
        <v>3.995795107033639</v>
      </c>
      <c r="Z122" s="313">
        <v>1.0915567233740227</v>
      </c>
      <c r="AA122" s="309">
        <v>20338.52377745981</v>
      </c>
      <c r="AB122" s="309">
        <v>37869.930916517165</v>
      </c>
      <c r="AC122" s="310">
        <v>5.7187240670902835E-3</v>
      </c>
    </row>
    <row r="123" spans="1:29" ht="15" customHeight="1" x14ac:dyDescent="0.25">
      <c r="A123" s="104" t="s">
        <v>402</v>
      </c>
      <c r="B123" s="130" t="str">
        <f>VLOOKUP(A123,'0 Järjestäjätiedot'!A:H,2,FALSE)</f>
        <v>Cimson Koulutuspalvelut Oy</v>
      </c>
      <c r="C123" s="309">
        <v>22</v>
      </c>
      <c r="D123" s="309">
        <v>22</v>
      </c>
      <c r="E123" s="318">
        <v>1</v>
      </c>
      <c r="F123" s="319"/>
      <c r="G123" s="313">
        <v>4.0871212121212119</v>
      </c>
      <c r="H123" s="313">
        <v>1.0462708166011612</v>
      </c>
      <c r="I123" s="309">
        <v>1079</v>
      </c>
      <c r="J123" s="309">
        <v>3237</v>
      </c>
      <c r="K123" s="310">
        <v>5.0928827931551049E-4</v>
      </c>
      <c r="L123" s="309">
        <v>1</v>
      </c>
      <c r="M123" s="309">
        <v>1</v>
      </c>
      <c r="N123" s="318">
        <v>1</v>
      </c>
      <c r="O123" s="319"/>
      <c r="P123" s="313">
        <v>4.5</v>
      </c>
      <c r="Q123" s="313">
        <v>0.7637626158259726</v>
      </c>
      <c r="R123" s="309">
        <v>54</v>
      </c>
      <c r="S123" s="309">
        <v>54</v>
      </c>
      <c r="T123" s="310">
        <v>2.0288111138914416E-4</v>
      </c>
      <c r="U123" s="309">
        <v>23</v>
      </c>
      <c r="V123" s="309">
        <v>23</v>
      </c>
      <c r="W123" s="318">
        <v>1</v>
      </c>
      <c r="X123" s="319"/>
      <c r="Y123" s="313">
        <v>4.1050724637681162</v>
      </c>
      <c r="Z123" s="313">
        <v>1.0390088967389188</v>
      </c>
      <c r="AA123" s="309">
        <v>2077.5236294896031</v>
      </c>
      <c r="AB123" s="309">
        <v>3291</v>
      </c>
      <c r="AC123" s="310">
        <v>4.9697267592810801E-4</v>
      </c>
    </row>
    <row r="124" spans="1:29" ht="15" customHeight="1" x14ac:dyDescent="0.25">
      <c r="A124" s="104" t="s">
        <v>331</v>
      </c>
      <c r="B124" s="130" t="str">
        <f>VLOOKUP(A124,'0 Järjestäjätiedot'!A:H,2,FALSE)</f>
        <v>Länsirannikon Koulutus Oy</v>
      </c>
      <c r="C124" s="309">
        <v>1549</v>
      </c>
      <c r="D124" s="309">
        <v>996</v>
      </c>
      <c r="E124" s="318">
        <v>0.64299548095545511</v>
      </c>
      <c r="F124" s="319"/>
      <c r="G124" s="313">
        <v>4.0607429718875503</v>
      </c>
      <c r="H124" s="313">
        <v>1.0111452462613606</v>
      </c>
      <c r="I124" s="309">
        <v>48534</v>
      </c>
      <c r="J124" s="309">
        <v>186342.28006677495</v>
      </c>
      <c r="K124" s="310">
        <v>2.9317868143014139E-2</v>
      </c>
      <c r="L124" s="309">
        <v>203</v>
      </c>
      <c r="M124" s="309">
        <v>44</v>
      </c>
      <c r="N124" s="318">
        <v>0.21674876847290642</v>
      </c>
      <c r="O124" s="319"/>
      <c r="P124" s="313">
        <v>4.0473484848484844</v>
      </c>
      <c r="Q124" s="313">
        <v>1.0185925820735606</v>
      </c>
      <c r="R124" s="309">
        <v>2137</v>
      </c>
      <c r="S124" s="309">
        <v>2492.8079849062096</v>
      </c>
      <c r="T124" s="310">
        <v>9.3656232306945312E-3</v>
      </c>
      <c r="U124" s="309">
        <v>1752</v>
      </c>
      <c r="V124" s="309">
        <v>1040</v>
      </c>
      <c r="W124" s="318">
        <v>0.59360730593607303</v>
      </c>
      <c r="X124" s="319"/>
      <c r="Y124" s="313">
        <v>4.0601762820512821</v>
      </c>
      <c r="Z124" s="313">
        <v>1.0114650302339543</v>
      </c>
      <c r="AA124" s="309">
        <v>96306.756767751489</v>
      </c>
      <c r="AB124" s="309">
        <v>188835.08805168117</v>
      </c>
      <c r="AC124" s="310">
        <v>2.8515915836573653E-2</v>
      </c>
    </row>
    <row r="125" spans="1:29" ht="15" customHeight="1" x14ac:dyDescent="0.25">
      <c r="A125" s="104" t="s">
        <v>398</v>
      </c>
      <c r="B125" s="130" t="str">
        <f>VLOOKUP(A125,'0 Järjestäjätiedot'!A:H,2,FALSE)</f>
        <v>Etelä-Savon Koulutus Oy</v>
      </c>
      <c r="C125" s="309">
        <v>1002</v>
      </c>
      <c r="D125" s="309">
        <v>365</v>
      </c>
      <c r="E125" s="318">
        <v>0.36427145708582837</v>
      </c>
      <c r="F125" s="319"/>
      <c r="G125" s="313">
        <v>4.0926940639269409</v>
      </c>
      <c r="H125" s="313">
        <v>1.0138725220056035</v>
      </c>
      <c r="I125" s="309">
        <v>17926</v>
      </c>
      <c r="J125" s="309">
        <v>66568.42734609374</v>
      </c>
      <c r="K125" s="310">
        <v>1.0473438313201007E-2</v>
      </c>
      <c r="L125" s="309">
        <v>90</v>
      </c>
      <c r="M125" s="309">
        <v>35</v>
      </c>
      <c r="N125" s="318">
        <v>0.3888888888888889</v>
      </c>
      <c r="O125" s="319"/>
      <c r="P125" s="313">
        <v>4.1333333333333337</v>
      </c>
      <c r="Q125" s="313">
        <v>1.1260268682125236</v>
      </c>
      <c r="R125" s="309">
        <v>1736</v>
      </c>
      <c r="S125" s="309">
        <v>2163.8047839506171</v>
      </c>
      <c r="T125" s="310">
        <v>8.1295392480934849E-3</v>
      </c>
      <c r="U125" s="309">
        <v>1092</v>
      </c>
      <c r="V125" s="309">
        <v>400</v>
      </c>
      <c r="W125" s="318">
        <v>0.36630036630036628</v>
      </c>
      <c r="X125" s="319"/>
      <c r="Y125" s="313">
        <v>4.0962500000000004</v>
      </c>
      <c r="Z125" s="313">
        <v>1.0242408265800229</v>
      </c>
      <c r="AA125" s="309">
        <v>33044.448750000003</v>
      </c>
      <c r="AB125" s="309">
        <v>68732.232130044358</v>
      </c>
      <c r="AC125" s="310">
        <v>1.0379228600480106E-2</v>
      </c>
    </row>
    <row r="126" spans="1:29" ht="15" customHeight="1" x14ac:dyDescent="0.25">
      <c r="A126" s="104" t="s">
        <v>383</v>
      </c>
      <c r="B126" s="130" t="str">
        <f>VLOOKUP(A126,'0 Järjestäjätiedot'!A:H,2,FALSE)</f>
        <v>Hyria koulutus Oy</v>
      </c>
      <c r="C126" s="309">
        <v>1406</v>
      </c>
      <c r="D126" s="309">
        <v>908</v>
      </c>
      <c r="E126" s="318">
        <v>0.64580369843527741</v>
      </c>
      <c r="F126" s="319"/>
      <c r="G126" s="313">
        <v>4.1949291166848415</v>
      </c>
      <c r="H126" s="313">
        <v>1.0075540312246591</v>
      </c>
      <c r="I126" s="309">
        <v>45707.947655398035</v>
      </c>
      <c r="J126" s="309">
        <v>175465.17152372183</v>
      </c>
      <c r="K126" s="310">
        <v>2.7606535460338959E-2</v>
      </c>
      <c r="L126" s="309">
        <v>596</v>
      </c>
      <c r="M126" s="309">
        <v>200</v>
      </c>
      <c r="N126" s="318">
        <v>0.33557046979865773</v>
      </c>
      <c r="O126" s="319"/>
      <c r="P126" s="313">
        <v>3.849502487562189</v>
      </c>
      <c r="Q126" s="313">
        <v>1.2558931403628242</v>
      </c>
      <c r="R126" s="309">
        <v>9238.8059701492548</v>
      </c>
      <c r="S126" s="309">
        <v>11332.528889716545</v>
      </c>
      <c r="T126" s="310">
        <v>4.257696399991253E-2</v>
      </c>
      <c r="U126" s="309">
        <v>2002</v>
      </c>
      <c r="V126" s="309">
        <v>1108</v>
      </c>
      <c r="W126" s="318">
        <v>0.55344655344655347</v>
      </c>
      <c r="X126" s="319"/>
      <c r="Y126" s="313">
        <v>4.1328264758497317</v>
      </c>
      <c r="Z126" s="313">
        <v>1.0648089356649639</v>
      </c>
      <c r="AA126" s="309">
        <v>77437.131947222384</v>
      </c>
      <c r="AB126" s="309">
        <v>186797.70041343838</v>
      </c>
      <c r="AC126" s="310">
        <v>2.8208250693310094E-2</v>
      </c>
    </row>
    <row r="127" spans="1:29" ht="15" customHeight="1" x14ac:dyDescent="0.25">
      <c r="A127" s="104" t="s">
        <v>395</v>
      </c>
      <c r="B127" s="130" t="str">
        <f>VLOOKUP(A127,'0 Järjestäjätiedot'!A:H,2,FALSE)</f>
        <v>Folkhälsan Utbildning Ab</v>
      </c>
      <c r="C127" s="309">
        <v>47</v>
      </c>
      <c r="D127" s="309">
        <v>46</v>
      </c>
      <c r="E127" s="318">
        <v>0.97872340425531912</v>
      </c>
      <c r="F127" s="319"/>
      <c r="G127" s="313">
        <v>4.2989130434782608</v>
      </c>
      <c r="H127" s="313">
        <v>0.95333068671666266</v>
      </c>
      <c r="I127" s="309">
        <v>2373</v>
      </c>
      <c r="J127" s="309">
        <v>7273.7608695652179</v>
      </c>
      <c r="K127" s="310">
        <v>1.1444056711193578E-3</v>
      </c>
      <c r="L127" s="309">
        <v>2</v>
      </c>
      <c r="M127" s="309">
        <v>2</v>
      </c>
      <c r="N127" s="318">
        <v>1</v>
      </c>
      <c r="O127" s="319"/>
      <c r="P127" s="313">
        <v>4.208333333333333</v>
      </c>
      <c r="Q127" s="313">
        <v>0.95652002360408384</v>
      </c>
      <c r="R127" s="309">
        <v>101</v>
      </c>
      <c r="S127" s="309">
        <v>101</v>
      </c>
      <c r="T127" s="310">
        <v>3.7946281945006597E-4</v>
      </c>
      <c r="U127" s="309">
        <v>49</v>
      </c>
      <c r="V127" s="309">
        <v>48</v>
      </c>
      <c r="W127" s="318">
        <v>0.97959183673469385</v>
      </c>
      <c r="X127" s="319"/>
      <c r="Y127" s="313">
        <v>4.2951388888888893</v>
      </c>
      <c r="Z127" s="313">
        <v>0.95363557716939507</v>
      </c>
      <c r="AA127" s="309">
        <v>4552.8472222222217</v>
      </c>
      <c r="AB127" s="309">
        <v>7374.7608695652179</v>
      </c>
      <c r="AC127" s="310">
        <v>1.1136598734967265E-3</v>
      </c>
    </row>
    <row r="128" spans="1:29" ht="15" customHeight="1" x14ac:dyDescent="0.25">
      <c r="A128" s="104" t="s">
        <v>325</v>
      </c>
      <c r="B128" s="130" t="str">
        <f>VLOOKUP(A128,'0 Järjestäjätiedot'!A:H,2,FALSE)</f>
        <v>Management Institute of Finland MIF Oy</v>
      </c>
      <c r="C128" s="309">
        <v>81</v>
      </c>
      <c r="D128" s="309">
        <v>56</v>
      </c>
      <c r="E128" s="318">
        <v>0.69135802469135799</v>
      </c>
      <c r="F128" s="319"/>
      <c r="G128" s="313">
        <v>4.1964285714285712</v>
      </c>
      <c r="H128" s="313">
        <v>0.8220106633202805</v>
      </c>
      <c r="I128" s="309">
        <v>2820</v>
      </c>
      <c r="J128" s="309">
        <v>10784.211248285323</v>
      </c>
      <c r="K128" s="310">
        <v>1.6967168336157572E-3</v>
      </c>
      <c r="L128" s="319"/>
      <c r="M128" s="319"/>
      <c r="N128" s="319"/>
      <c r="O128" s="319"/>
      <c r="P128" s="319"/>
      <c r="Q128" s="319"/>
      <c r="R128" s="319"/>
      <c r="S128" s="319"/>
      <c r="T128" s="319"/>
      <c r="U128" s="309">
        <v>81</v>
      </c>
      <c r="V128" s="309">
        <v>56</v>
      </c>
      <c r="W128" s="318">
        <v>0.69135802469135799</v>
      </c>
      <c r="X128" s="319"/>
      <c r="Y128" s="313">
        <v>4.1964285714285712</v>
      </c>
      <c r="Z128" s="313">
        <v>0.8220106633202805</v>
      </c>
      <c r="AA128" s="309">
        <v>2820</v>
      </c>
      <c r="AB128" s="309">
        <v>10784.211248285323</v>
      </c>
      <c r="AC128" s="310">
        <v>1.6285196966983771E-3</v>
      </c>
    </row>
    <row r="129" spans="1:29" ht="15" customHeight="1" x14ac:dyDescent="0.25">
      <c r="A129" s="104" t="s">
        <v>382</v>
      </c>
      <c r="B129" s="130" t="str">
        <f>VLOOKUP(A129,'0 Järjestäjätiedot'!A:H,2,FALSE)</f>
        <v>Hämeen ammatti-instituutti Oy</v>
      </c>
      <c r="C129" s="309">
        <v>247</v>
      </c>
      <c r="D129" s="309">
        <v>172</v>
      </c>
      <c r="E129" s="318">
        <v>0.69635627530364375</v>
      </c>
      <c r="F129" s="319"/>
      <c r="G129" s="313">
        <v>4.1812015503875966</v>
      </c>
      <c r="H129" s="313">
        <v>0.94986499962730442</v>
      </c>
      <c r="I129" s="309">
        <v>8630</v>
      </c>
      <c r="J129" s="309">
        <v>32983.768337458408</v>
      </c>
      <c r="K129" s="310">
        <v>5.1894490645429748E-3</v>
      </c>
      <c r="L129" s="309">
        <v>23</v>
      </c>
      <c r="M129" s="309">
        <v>9</v>
      </c>
      <c r="N129" s="318">
        <v>0.39130434782608697</v>
      </c>
      <c r="O129" s="319"/>
      <c r="P129" s="313">
        <v>4.0648148148148149</v>
      </c>
      <c r="Q129" s="313">
        <v>1.0909828065670717</v>
      </c>
      <c r="R129" s="309">
        <v>439</v>
      </c>
      <c r="S129" s="309">
        <v>547.53113185255199</v>
      </c>
      <c r="T129" s="310">
        <v>2.0571060101926258E-3</v>
      </c>
      <c r="U129" s="309">
        <v>270</v>
      </c>
      <c r="V129" s="309">
        <v>181</v>
      </c>
      <c r="W129" s="318">
        <v>0.67037037037037039</v>
      </c>
      <c r="X129" s="319"/>
      <c r="Y129" s="313">
        <v>4.1754143646408837</v>
      </c>
      <c r="Z129" s="313">
        <v>0.95770768921883076</v>
      </c>
      <c r="AA129" s="309">
        <v>16423.911663258143</v>
      </c>
      <c r="AB129" s="309">
        <v>33531.299469310958</v>
      </c>
      <c r="AC129" s="310">
        <v>5.0635489591644529E-3</v>
      </c>
    </row>
    <row r="130" spans="1:29" ht="15" customHeight="1" x14ac:dyDescent="0.25">
      <c r="A130" s="104" t="s">
        <v>312</v>
      </c>
      <c r="B130" s="130" t="str">
        <f>VLOOKUP(A130,'0 Järjestäjätiedot'!A:H,2,FALSE)</f>
        <v>Perho Liiketalousopisto Oy</v>
      </c>
      <c r="C130" s="309">
        <v>665</v>
      </c>
      <c r="D130" s="309">
        <v>572</v>
      </c>
      <c r="E130" s="318">
        <v>0.86015037593984967</v>
      </c>
      <c r="F130" s="319"/>
      <c r="G130" s="313">
        <v>4.2644230769230766</v>
      </c>
      <c r="H130" s="313">
        <v>0.91071964578588716</v>
      </c>
      <c r="I130" s="309">
        <v>29271</v>
      </c>
      <c r="J130" s="309">
        <v>102090.28846153845</v>
      </c>
      <c r="K130" s="310">
        <v>1.6062214193821759E-2</v>
      </c>
      <c r="L130" s="309">
        <v>80</v>
      </c>
      <c r="M130" s="309">
        <v>67</v>
      </c>
      <c r="N130" s="318">
        <v>0.83750000000000002</v>
      </c>
      <c r="O130" s="319"/>
      <c r="P130" s="313">
        <v>4.3544776119402986</v>
      </c>
      <c r="Q130" s="313">
        <v>0.92368898663248089</v>
      </c>
      <c r="R130" s="309">
        <v>3501</v>
      </c>
      <c r="S130" s="309">
        <v>4180.2985074626858</v>
      </c>
      <c r="T130" s="310">
        <v>1.5705622354303894E-2</v>
      </c>
      <c r="U130" s="309">
        <v>745</v>
      </c>
      <c r="V130" s="309">
        <v>639</v>
      </c>
      <c r="W130" s="318">
        <v>0.85771812080536913</v>
      </c>
      <c r="X130" s="319"/>
      <c r="Y130" s="313">
        <v>4.2738654147104853</v>
      </c>
      <c r="Z130" s="313">
        <v>0.91250532395013817</v>
      </c>
      <c r="AA130" s="309">
        <v>53251.159161542026</v>
      </c>
      <c r="AB130" s="309">
        <v>106270.58696900115</v>
      </c>
      <c r="AC130" s="310">
        <v>1.6047881488433675E-2</v>
      </c>
    </row>
    <row r="131" spans="1:29" ht="15" customHeight="1" x14ac:dyDescent="0.25">
      <c r="A131" s="104" t="s">
        <v>289</v>
      </c>
      <c r="B131" s="130" t="str">
        <f>VLOOKUP(A131,'0 Järjestäjätiedot'!A:H,2,FALSE)</f>
        <v>Suomen Diakoniaopisto - SDO Oy</v>
      </c>
      <c r="C131" s="309">
        <v>800</v>
      </c>
      <c r="D131" s="309">
        <v>502</v>
      </c>
      <c r="E131" s="318">
        <v>0.62749999999999995</v>
      </c>
      <c r="F131" s="319"/>
      <c r="G131" s="313">
        <v>4.2481848184818478</v>
      </c>
      <c r="H131" s="313">
        <v>0.96973423879686516</v>
      </c>
      <c r="I131" s="309">
        <v>25591.065346534655</v>
      </c>
      <c r="J131" s="309">
        <v>98320.298262066848</v>
      </c>
      <c r="K131" s="310">
        <v>1.5469068743798518E-2</v>
      </c>
      <c r="L131" s="309">
        <v>116</v>
      </c>
      <c r="M131" s="309">
        <v>22</v>
      </c>
      <c r="N131" s="318">
        <v>0.18965517241379309</v>
      </c>
      <c r="O131" s="319"/>
      <c r="P131" s="313">
        <v>4.3560606060606064</v>
      </c>
      <c r="Q131" s="313">
        <v>0.80840823543231066</v>
      </c>
      <c r="R131" s="309">
        <v>1150</v>
      </c>
      <c r="S131" s="309">
        <v>1322.1560084720572</v>
      </c>
      <c r="T131" s="310">
        <v>4.9674163042341792E-3</v>
      </c>
      <c r="U131" s="309">
        <v>916</v>
      </c>
      <c r="V131" s="309">
        <v>524</v>
      </c>
      <c r="W131" s="318">
        <v>0.57205240174672489</v>
      </c>
      <c r="X131" s="319"/>
      <c r="Y131" s="313">
        <v>4.252688172043011</v>
      </c>
      <c r="Z131" s="313">
        <v>0.96378151591359562</v>
      </c>
      <c r="AA131" s="309">
        <v>49191.223358021663</v>
      </c>
      <c r="AB131" s="309">
        <v>99642.454270538903</v>
      </c>
      <c r="AC131" s="310">
        <v>1.5046969655081694E-2</v>
      </c>
    </row>
    <row r="132" spans="1:29" ht="15" customHeight="1" x14ac:dyDescent="0.25">
      <c r="A132" s="104" t="s">
        <v>407</v>
      </c>
      <c r="B132" s="130" t="str">
        <f>VLOOKUP(A132,'0 Järjestäjätiedot'!A:H,2,FALSE)</f>
        <v>Ammattiopisto Spesia Oy</v>
      </c>
      <c r="C132" s="309">
        <v>183</v>
      </c>
      <c r="D132" s="309">
        <v>153</v>
      </c>
      <c r="E132" s="318">
        <v>0.83606557377049184</v>
      </c>
      <c r="F132" s="319"/>
      <c r="G132" s="313">
        <v>4.4907407407407405</v>
      </c>
      <c r="H132" s="313">
        <v>0.76156393401676636</v>
      </c>
      <c r="I132" s="309">
        <v>8245</v>
      </c>
      <c r="J132" s="309">
        <v>29585</v>
      </c>
      <c r="K132" s="310">
        <v>4.6547092195086126E-3</v>
      </c>
      <c r="L132" s="309">
        <v>14</v>
      </c>
      <c r="M132" s="309">
        <v>7</v>
      </c>
      <c r="N132" s="318">
        <v>0.5</v>
      </c>
      <c r="O132" s="319"/>
      <c r="P132" s="313">
        <v>3.8571428571428572</v>
      </c>
      <c r="Q132" s="313">
        <v>0.95297600458045217</v>
      </c>
      <c r="R132" s="309">
        <v>324</v>
      </c>
      <c r="S132" s="309">
        <v>412.59375</v>
      </c>
      <c r="T132" s="310">
        <v>1.5501384917076797E-3</v>
      </c>
      <c r="U132" s="309">
        <v>197</v>
      </c>
      <c r="V132" s="309">
        <v>160</v>
      </c>
      <c r="W132" s="318">
        <v>0.81218274111675126</v>
      </c>
      <c r="X132" s="319"/>
      <c r="Y132" s="313">
        <v>4.4630208333333332</v>
      </c>
      <c r="Z132" s="313">
        <v>0.78174966660219447</v>
      </c>
      <c r="AA132" s="309">
        <v>15704.03140625</v>
      </c>
      <c r="AB132" s="309">
        <v>29997.59375</v>
      </c>
      <c r="AC132" s="310">
        <v>4.5299253835739258E-3</v>
      </c>
    </row>
    <row r="133" spans="1:29" ht="15" customHeight="1" x14ac:dyDescent="0.25">
      <c r="A133" s="104" t="s">
        <v>239</v>
      </c>
      <c r="B133" s="130" t="str">
        <f>VLOOKUP(A133,'0 Järjestäjätiedot'!A:H,2,FALSE)</f>
        <v>Careeria Oy</v>
      </c>
      <c r="C133" s="309">
        <v>1443</v>
      </c>
      <c r="D133" s="309">
        <v>931</v>
      </c>
      <c r="E133" s="318">
        <v>0.64518364518364524</v>
      </c>
      <c r="F133" s="319"/>
      <c r="G133" s="313">
        <v>4.2803437164339417</v>
      </c>
      <c r="H133" s="313">
        <v>0.97323488079787712</v>
      </c>
      <c r="I133" s="309">
        <v>47820</v>
      </c>
      <c r="J133" s="309">
        <v>183579.31058227186</v>
      </c>
      <c r="K133" s="310">
        <v>2.8883160705706807E-2</v>
      </c>
      <c r="L133" s="309">
        <v>501</v>
      </c>
      <c r="M133" s="309">
        <v>373</v>
      </c>
      <c r="N133" s="318">
        <v>0.7445109780439122</v>
      </c>
      <c r="O133" s="319"/>
      <c r="P133" s="313">
        <v>4.1163985701519215</v>
      </c>
      <c r="Q133" s="313">
        <v>1.0323581057359617</v>
      </c>
      <c r="R133" s="309">
        <v>18425</v>
      </c>
      <c r="S133" s="309">
        <v>23306.4241682553</v>
      </c>
      <c r="T133" s="310">
        <v>8.7563578477082321E-2</v>
      </c>
      <c r="U133" s="309">
        <v>1944</v>
      </c>
      <c r="V133" s="309">
        <v>1304</v>
      </c>
      <c r="W133" s="318">
        <v>0.67078189300411528</v>
      </c>
      <c r="X133" s="319"/>
      <c r="Y133" s="313">
        <v>4.2334483640081801</v>
      </c>
      <c r="Z133" s="313">
        <v>0.99327406823813491</v>
      </c>
      <c r="AA133" s="309">
        <v>78375.154138751939</v>
      </c>
      <c r="AB133" s="309">
        <v>206885.73475052716</v>
      </c>
      <c r="AC133" s="310">
        <v>3.1241737225865162E-2</v>
      </c>
    </row>
    <row r="134" spans="1:29" ht="15" customHeight="1" x14ac:dyDescent="0.25">
      <c r="A134" s="104" t="s">
        <v>776</v>
      </c>
      <c r="B134" s="130" t="str">
        <f>VLOOKUP(A134,'0 Järjestäjätiedot'!A:H,2,FALSE)</f>
        <v>Turun musiikinopetus Oy</v>
      </c>
      <c r="C134" s="309">
        <v>35</v>
      </c>
      <c r="D134" s="309">
        <v>14</v>
      </c>
      <c r="E134" s="318">
        <v>0.4</v>
      </c>
      <c r="F134" s="319"/>
      <c r="G134" s="313">
        <v>4.2380952380952381</v>
      </c>
      <c r="H134" s="313">
        <v>0.68346190925748929</v>
      </c>
      <c r="I134" s="309">
        <v>712</v>
      </c>
      <c r="J134" s="309">
        <v>2670</v>
      </c>
      <c r="K134" s="310">
        <v>4.2008023038999476E-4</v>
      </c>
      <c r="L134" s="319"/>
      <c r="M134" s="319"/>
      <c r="N134" s="319"/>
      <c r="O134" s="319"/>
      <c r="P134" s="319"/>
      <c r="Q134" s="319"/>
      <c r="R134" s="319"/>
      <c r="S134" s="319"/>
      <c r="T134" s="319"/>
      <c r="U134" s="309">
        <v>35</v>
      </c>
      <c r="V134" s="309">
        <v>14</v>
      </c>
      <c r="W134" s="318">
        <v>0.4</v>
      </c>
      <c r="X134" s="319"/>
      <c r="Y134" s="313">
        <v>4.2380952380952381</v>
      </c>
      <c r="Z134" s="313">
        <v>0.68346190925748929</v>
      </c>
      <c r="AA134" s="309">
        <v>712</v>
      </c>
      <c r="AB134" s="309">
        <v>2670</v>
      </c>
      <c r="AC134" s="310">
        <v>4.0319569879308673E-4</v>
      </c>
    </row>
    <row r="135" spans="1:29" ht="15" customHeight="1" x14ac:dyDescent="0.25">
      <c r="A135" s="104" t="s">
        <v>774</v>
      </c>
      <c r="B135" s="130" t="str">
        <f>VLOOKUP(A135,'0 Järjestäjätiedot'!A:H,2,FALSE)</f>
        <v>AEL-Amiedu Oy</v>
      </c>
      <c r="C135" s="309">
        <v>969</v>
      </c>
      <c r="D135" s="309">
        <v>402</v>
      </c>
      <c r="E135" s="318">
        <v>0.4148606811145511</v>
      </c>
      <c r="F135" s="319"/>
      <c r="G135" s="313">
        <v>4.1658415841584162</v>
      </c>
      <c r="H135" s="313">
        <v>1.0200813084722782</v>
      </c>
      <c r="I135" s="309">
        <v>20096.019801980197</v>
      </c>
      <c r="J135" s="309">
        <v>75629.648198639319</v>
      </c>
      <c r="K135" s="310">
        <v>1.1899071175879648E-2</v>
      </c>
      <c r="L135" s="309">
        <v>301</v>
      </c>
      <c r="M135" s="309">
        <v>111</v>
      </c>
      <c r="N135" s="318">
        <v>0.3687707641196013</v>
      </c>
      <c r="O135" s="319"/>
      <c r="P135" s="313">
        <v>4.0176553672316384</v>
      </c>
      <c r="Q135" s="313">
        <v>1.0631735538104969</v>
      </c>
      <c r="R135" s="309">
        <v>5351.516949152543</v>
      </c>
      <c r="S135" s="309">
        <v>6633.0925441312675</v>
      </c>
      <c r="T135" s="310">
        <v>2.4920910875933285E-2</v>
      </c>
      <c r="U135" s="309">
        <v>1270</v>
      </c>
      <c r="V135" s="309">
        <v>513</v>
      </c>
      <c r="W135" s="318">
        <v>0.40393700787401576</v>
      </c>
      <c r="X135" s="319"/>
      <c r="Y135" s="313">
        <v>4.1323435504469987</v>
      </c>
      <c r="Z135" s="313">
        <v>1.0318435061487106</v>
      </c>
      <c r="AA135" s="309">
        <v>33344.877570793149</v>
      </c>
      <c r="AB135" s="309">
        <v>82262.740742770591</v>
      </c>
      <c r="AC135" s="310">
        <v>1.2422465632365511E-2</v>
      </c>
    </row>
    <row r="136" spans="1:29" ht="15" customHeight="1" x14ac:dyDescent="0.25">
      <c r="A136" s="48" t="s">
        <v>21</v>
      </c>
      <c r="B136" s="48"/>
      <c r="C136" s="311">
        <v>65849</v>
      </c>
      <c r="D136" s="311">
        <v>33723</v>
      </c>
      <c r="E136" s="320">
        <v>0.51212622818873488</v>
      </c>
      <c r="F136" s="321"/>
      <c r="G136" s="314">
        <v>4.1773256384586697</v>
      </c>
      <c r="H136" s="314">
        <v>0.97810501202141831</v>
      </c>
      <c r="I136" s="311">
        <v>1690144.3960256791</v>
      </c>
      <c r="J136" s="311">
        <v>6355928.717524319</v>
      </c>
      <c r="K136" s="312">
        <v>1</v>
      </c>
      <c r="L136" s="311">
        <v>12136</v>
      </c>
      <c r="M136" s="311">
        <v>4405</v>
      </c>
      <c r="N136" s="320">
        <v>0.36296967699406724</v>
      </c>
      <c r="O136" s="321"/>
      <c r="P136" s="314">
        <v>4.0971913443011712</v>
      </c>
      <c r="Q136" s="314">
        <v>1.054609169487329</v>
      </c>
      <c r="R136" s="311">
        <v>216624.00129595754</v>
      </c>
      <c r="S136" s="311">
        <v>266165.7343567246</v>
      </c>
      <c r="T136" s="312">
        <v>1</v>
      </c>
      <c r="U136" s="311">
        <v>77985</v>
      </c>
      <c r="V136" s="311">
        <v>38128</v>
      </c>
      <c r="W136" s="320">
        <v>0.48891453484644481</v>
      </c>
      <c r="X136" s="321"/>
      <c r="Y136" s="314">
        <v>4.1679537181487261</v>
      </c>
      <c r="Z136" s="314">
        <v>0.98769430079993847</v>
      </c>
      <c r="AA136" s="311">
        <v>3042371.6396591724</v>
      </c>
      <c r="AB136" s="311">
        <v>6622094.4518810436</v>
      </c>
      <c r="AC136" s="312">
        <v>1</v>
      </c>
    </row>
    <row r="137" spans="1:29" x14ac:dyDescent="0.25">
      <c r="Y137" s="265"/>
    </row>
    <row r="138" spans="1:29" x14ac:dyDescent="0.25">
      <c r="A138" t="s">
        <v>854</v>
      </c>
      <c r="Y138" s="265"/>
    </row>
    <row r="139" spans="1:29" x14ac:dyDescent="0.25">
      <c r="A139" s="308" t="s">
        <v>861</v>
      </c>
    </row>
  </sheetData>
  <mergeCells count="11">
    <mergeCell ref="U5:U6"/>
    <mergeCell ref="V5:V6"/>
    <mergeCell ref="C5:K5"/>
    <mergeCell ref="L5:T5"/>
    <mergeCell ref="AA5:AA6"/>
    <mergeCell ref="AB5:AB6"/>
    <mergeCell ref="AC5:AC6"/>
    <mergeCell ref="W5:W6"/>
    <mergeCell ref="X5:X6"/>
    <mergeCell ref="Y5:Y6"/>
    <mergeCell ref="Z5:Z6"/>
  </mergeCells>
  <hyperlinks>
    <hyperlink ref="A139"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D134"/>
  <sheetViews>
    <sheetView zoomScale="90" zoomScaleNormal="90" workbookViewId="0"/>
  </sheetViews>
  <sheetFormatPr defaultRowHeight="15" x14ac:dyDescent="0.25"/>
  <cols>
    <col min="1" max="1" width="39.7109375" bestFit="1" customWidth="1"/>
    <col min="2" max="2" width="39.7109375" customWidth="1"/>
    <col min="3" max="3" width="39.7109375" bestFit="1" customWidth="1"/>
    <col min="4" max="4" width="29.42578125" bestFit="1" customWidth="1"/>
  </cols>
  <sheetData>
    <row r="1" spans="1:4" x14ac:dyDescent="0.25">
      <c r="A1" t="s">
        <v>429</v>
      </c>
      <c r="C1" s="251" t="s">
        <v>660</v>
      </c>
      <c r="D1" s="144" t="s">
        <v>877</v>
      </c>
    </row>
    <row r="2" spans="1:4" x14ac:dyDescent="0.25">
      <c r="C2" s="251" t="s">
        <v>670</v>
      </c>
    </row>
    <row r="3" spans="1:4" x14ac:dyDescent="0.25">
      <c r="A3" s="252" t="s">
        <v>671</v>
      </c>
      <c r="B3" s="253" t="s">
        <v>21</v>
      </c>
      <c r="C3" s="254">
        <f>SUM(C5:C105)</f>
        <v>30528205</v>
      </c>
    </row>
    <row r="4" spans="1:4" x14ac:dyDescent="0.25">
      <c r="A4" s="255" t="s">
        <v>412</v>
      </c>
      <c r="B4" s="256" t="s">
        <v>411</v>
      </c>
      <c r="C4" s="257" t="s">
        <v>672</v>
      </c>
    </row>
    <row r="5" spans="1:4" x14ac:dyDescent="0.25">
      <c r="A5" s="258" t="s">
        <v>409</v>
      </c>
      <c r="B5" s="258" t="s">
        <v>673</v>
      </c>
      <c r="C5" s="372">
        <v>383471</v>
      </c>
    </row>
    <row r="6" spans="1:4" x14ac:dyDescent="0.25">
      <c r="A6" s="259" t="s">
        <v>406</v>
      </c>
      <c r="B6" s="259" t="s">
        <v>674</v>
      </c>
      <c r="C6" s="373">
        <v>45032</v>
      </c>
    </row>
    <row r="7" spans="1:4" x14ac:dyDescent="0.25">
      <c r="A7" s="259" t="s">
        <v>408</v>
      </c>
      <c r="B7" s="259" t="s">
        <v>675</v>
      </c>
      <c r="C7" s="373">
        <v>111638</v>
      </c>
    </row>
    <row r="8" spans="1:4" x14ac:dyDescent="0.25">
      <c r="A8" s="259" t="s">
        <v>779</v>
      </c>
      <c r="B8" s="259" t="s">
        <v>676</v>
      </c>
      <c r="C8" s="373">
        <v>655804</v>
      </c>
    </row>
    <row r="9" spans="1:4" x14ac:dyDescent="0.25">
      <c r="A9" s="259" t="s">
        <v>778</v>
      </c>
      <c r="B9" s="259" t="s">
        <v>677</v>
      </c>
      <c r="C9" s="373">
        <v>602460</v>
      </c>
    </row>
    <row r="10" spans="1:4" x14ac:dyDescent="0.25">
      <c r="A10" s="259" t="s">
        <v>407</v>
      </c>
      <c r="B10" s="259" t="s">
        <v>678</v>
      </c>
      <c r="C10" s="373">
        <v>2068624</v>
      </c>
    </row>
    <row r="11" spans="1:4" x14ac:dyDescent="0.25">
      <c r="A11" s="259" t="s">
        <v>405</v>
      </c>
      <c r="B11" s="259" t="s">
        <v>679</v>
      </c>
      <c r="C11" s="373">
        <v>37781</v>
      </c>
    </row>
    <row r="12" spans="1:4" x14ac:dyDescent="0.25">
      <c r="A12" s="259" t="s">
        <v>404</v>
      </c>
      <c r="B12" s="259" t="s">
        <v>680</v>
      </c>
      <c r="C12" s="373">
        <v>1127738</v>
      </c>
    </row>
    <row r="13" spans="1:4" x14ac:dyDescent="0.25">
      <c r="A13" s="259" t="s">
        <v>398</v>
      </c>
      <c r="B13" s="259" t="s">
        <v>681</v>
      </c>
      <c r="C13" s="373">
        <v>1602121</v>
      </c>
    </row>
    <row r="14" spans="1:4" x14ac:dyDescent="0.25">
      <c r="A14" s="259" t="s">
        <v>397</v>
      </c>
      <c r="B14" s="259" t="s">
        <v>682</v>
      </c>
      <c r="C14" s="373">
        <v>7870</v>
      </c>
    </row>
    <row r="15" spans="1:4" x14ac:dyDescent="0.25">
      <c r="A15" s="259" t="s">
        <v>396</v>
      </c>
      <c r="B15" s="259" t="s">
        <v>683</v>
      </c>
      <c r="C15" s="373">
        <v>188861</v>
      </c>
    </row>
    <row r="16" spans="1:4" x14ac:dyDescent="0.25">
      <c r="A16" s="259" t="s">
        <v>395</v>
      </c>
      <c r="B16" s="259" t="s">
        <v>684</v>
      </c>
      <c r="C16" s="373">
        <v>103017</v>
      </c>
    </row>
    <row r="17" spans="1:3" x14ac:dyDescent="0.25">
      <c r="A17" s="259" t="s">
        <v>392</v>
      </c>
      <c r="B17" s="259" t="s">
        <v>685</v>
      </c>
      <c r="C17" s="373">
        <v>69682</v>
      </c>
    </row>
    <row r="18" spans="1:3" x14ac:dyDescent="0.25">
      <c r="A18" s="259" t="s">
        <v>391</v>
      </c>
      <c r="B18" s="259" t="s">
        <v>686</v>
      </c>
      <c r="C18" s="373">
        <v>217386</v>
      </c>
    </row>
    <row r="19" spans="1:3" x14ac:dyDescent="0.25">
      <c r="A19" s="259" t="s">
        <v>390</v>
      </c>
      <c r="B19" s="259" t="s">
        <v>687</v>
      </c>
      <c r="C19" s="373">
        <v>4366</v>
      </c>
    </row>
    <row r="20" spans="1:3" x14ac:dyDescent="0.25">
      <c r="A20" s="259" t="s">
        <v>385</v>
      </c>
      <c r="B20" s="259" t="s">
        <v>688</v>
      </c>
      <c r="C20" s="373">
        <v>23778</v>
      </c>
    </row>
    <row r="21" spans="1:3" x14ac:dyDescent="0.25">
      <c r="A21" s="259" t="s">
        <v>388</v>
      </c>
      <c r="B21" s="259" t="s">
        <v>689</v>
      </c>
      <c r="C21" s="373">
        <v>1190790</v>
      </c>
    </row>
    <row r="22" spans="1:3" x14ac:dyDescent="0.25">
      <c r="A22" s="259" t="s">
        <v>387</v>
      </c>
      <c r="B22" s="259" t="s">
        <v>690</v>
      </c>
      <c r="C22" s="373">
        <v>2247545</v>
      </c>
    </row>
    <row r="23" spans="1:3" x14ac:dyDescent="0.25">
      <c r="A23" s="259" t="s">
        <v>386</v>
      </c>
      <c r="B23" s="259" t="s">
        <v>691</v>
      </c>
      <c r="C23" s="373">
        <v>281161</v>
      </c>
    </row>
    <row r="24" spans="1:3" x14ac:dyDescent="0.25">
      <c r="A24" s="259" t="s">
        <v>383</v>
      </c>
      <c r="B24" s="259" t="s">
        <v>692</v>
      </c>
      <c r="C24" s="373">
        <v>1652191</v>
      </c>
    </row>
    <row r="25" spans="1:3" x14ac:dyDescent="0.25">
      <c r="A25" s="259" t="s">
        <v>382</v>
      </c>
      <c r="B25" s="259" t="s">
        <v>693</v>
      </c>
      <c r="C25" s="373">
        <v>410320</v>
      </c>
    </row>
    <row r="26" spans="1:3" x14ac:dyDescent="0.25">
      <c r="A26" s="259" t="s">
        <v>381</v>
      </c>
      <c r="B26" s="259" t="s">
        <v>694</v>
      </c>
      <c r="C26" s="373">
        <v>1247566</v>
      </c>
    </row>
    <row r="27" spans="1:3" x14ac:dyDescent="0.25">
      <c r="A27" s="259" t="s">
        <v>380</v>
      </c>
      <c r="B27" s="259" t="s">
        <v>695</v>
      </c>
      <c r="C27" s="373">
        <v>30815</v>
      </c>
    </row>
    <row r="28" spans="1:3" x14ac:dyDescent="0.25">
      <c r="A28" s="259" t="s">
        <v>378</v>
      </c>
      <c r="B28" s="259" t="s">
        <v>696</v>
      </c>
      <c r="C28" s="373">
        <v>21708</v>
      </c>
    </row>
    <row r="29" spans="1:3" x14ac:dyDescent="0.25">
      <c r="A29" s="259" t="s">
        <v>657</v>
      </c>
      <c r="B29" s="259" t="s">
        <v>697</v>
      </c>
      <c r="C29" s="373">
        <v>1032594</v>
      </c>
    </row>
    <row r="30" spans="1:3" x14ac:dyDescent="0.25">
      <c r="A30" s="259" t="s">
        <v>373</v>
      </c>
      <c r="B30" s="259" t="s">
        <v>698</v>
      </c>
      <c r="C30" s="373">
        <v>39291</v>
      </c>
    </row>
    <row r="31" spans="1:3" x14ac:dyDescent="0.25">
      <c r="A31" s="259" t="s">
        <v>377</v>
      </c>
      <c r="B31" s="259" t="s">
        <v>699</v>
      </c>
      <c r="C31" s="373">
        <v>8663</v>
      </c>
    </row>
    <row r="32" spans="1:3" x14ac:dyDescent="0.25">
      <c r="A32" s="259" t="s">
        <v>376</v>
      </c>
      <c r="B32" s="259" t="s">
        <v>700</v>
      </c>
      <c r="C32" s="373">
        <v>69443</v>
      </c>
    </row>
    <row r="33" spans="1:3" x14ac:dyDescent="0.25">
      <c r="A33" s="259" t="s">
        <v>369</v>
      </c>
      <c r="B33" s="259" t="s">
        <v>701</v>
      </c>
      <c r="C33" s="373">
        <v>27175</v>
      </c>
    </row>
    <row r="34" spans="1:3" x14ac:dyDescent="0.25">
      <c r="A34" s="259" t="s">
        <v>368</v>
      </c>
      <c r="B34" s="259" t="s">
        <v>702</v>
      </c>
      <c r="C34" s="373">
        <v>42225</v>
      </c>
    </row>
    <row r="35" spans="1:3" x14ac:dyDescent="0.25">
      <c r="A35" s="259" t="s">
        <v>365</v>
      </c>
      <c r="B35" s="259" t="s">
        <v>703</v>
      </c>
      <c r="C35" s="373">
        <v>414461</v>
      </c>
    </row>
    <row r="36" spans="1:3" x14ac:dyDescent="0.25">
      <c r="A36" s="259" t="s">
        <v>364</v>
      </c>
      <c r="B36" s="259" t="s">
        <v>704</v>
      </c>
      <c r="C36" s="373">
        <v>33708</v>
      </c>
    </row>
    <row r="37" spans="1:3" x14ac:dyDescent="0.25">
      <c r="A37" s="259" t="s">
        <v>363</v>
      </c>
      <c r="B37" s="259" t="s">
        <v>705</v>
      </c>
      <c r="C37" s="373">
        <v>37375</v>
      </c>
    </row>
    <row r="38" spans="1:3" x14ac:dyDescent="0.25">
      <c r="A38" s="259" t="s">
        <v>348</v>
      </c>
      <c r="B38" s="259" t="s">
        <v>706</v>
      </c>
      <c r="C38" s="373">
        <v>16010</v>
      </c>
    </row>
    <row r="39" spans="1:3" x14ac:dyDescent="0.25">
      <c r="A39" s="259" t="s">
        <v>361</v>
      </c>
      <c r="B39" s="259" t="s">
        <v>707</v>
      </c>
      <c r="C39" s="373">
        <v>293759</v>
      </c>
    </row>
    <row r="40" spans="1:3" x14ac:dyDescent="0.25">
      <c r="A40" s="259" t="s">
        <v>360</v>
      </c>
      <c r="B40" s="259" t="s">
        <v>708</v>
      </c>
      <c r="C40" s="373">
        <v>645159</v>
      </c>
    </row>
    <row r="41" spans="1:3" x14ac:dyDescent="0.25">
      <c r="A41" s="259" t="s">
        <v>359</v>
      </c>
      <c r="B41" s="259" t="s">
        <v>709</v>
      </c>
      <c r="C41" s="373">
        <v>552451</v>
      </c>
    </row>
    <row r="42" spans="1:3" x14ac:dyDescent="0.25">
      <c r="A42" s="259" t="s">
        <v>358</v>
      </c>
      <c r="B42" s="259" t="s">
        <v>710</v>
      </c>
      <c r="C42" s="373">
        <v>14970</v>
      </c>
    </row>
    <row r="43" spans="1:3" x14ac:dyDescent="0.25">
      <c r="A43" s="259" t="s">
        <v>357</v>
      </c>
      <c r="B43" s="259" t="s">
        <v>711</v>
      </c>
      <c r="C43" s="373">
        <v>6908</v>
      </c>
    </row>
    <row r="44" spans="1:3" x14ac:dyDescent="0.25">
      <c r="A44" s="259" t="s">
        <v>356</v>
      </c>
      <c r="B44" s="259" t="s">
        <v>712</v>
      </c>
      <c r="C44" s="373">
        <v>26587</v>
      </c>
    </row>
    <row r="45" spans="1:3" x14ac:dyDescent="0.25">
      <c r="A45" s="259" t="s">
        <v>355</v>
      </c>
      <c r="B45" s="259" t="s">
        <v>713</v>
      </c>
      <c r="C45" s="373">
        <v>42648</v>
      </c>
    </row>
    <row r="46" spans="1:3" x14ac:dyDescent="0.25">
      <c r="A46" s="259" t="s">
        <v>354</v>
      </c>
      <c r="B46" s="259" t="s">
        <v>714</v>
      </c>
      <c r="C46" s="373">
        <v>40749</v>
      </c>
    </row>
    <row r="47" spans="1:3" x14ac:dyDescent="0.25">
      <c r="A47" s="259" t="s">
        <v>350</v>
      </c>
      <c r="B47" s="259" t="s">
        <v>715</v>
      </c>
      <c r="C47" s="373">
        <v>145404</v>
      </c>
    </row>
    <row r="48" spans="1:3" x14ac:dyDescent="0.25">
      <c r="A48" s="259" t="s">
        <v>345</v>
      </c>
      <c r="B48" s="259" t="s">
        <v>716</v>
      </c>
      <c r="C48" s="373">
        <v>27484</v>
      </c>
    </row>
    <row r="49" spans="1:3" x14ac:dyDescent="0.25">
      <c r="A49" s="259" t="s">
        <v>344</v>
      </c>
      <c r="B49" s="259" t="s">
        <v>717</v>
      </c>
      <c r="C49" s="373">
        <v>13349</v>
      </c>
    </row>
    <row r="50" spans="1:3" x14ac:dyDescent="0.25">
      <c r="A50" s="259" t="s">
        <v>343</v>
      </c>
      <c r="B50" s="259" t="s">
        <v>718</v>
      </c>
      <c r="C50" s="373">
        <v>57260</v>
      </c>
    </row>
    <row r="51" spans="1:3" x14ac:dyDescent="0.25">
      <c r="A51" s="259" t="s">
        <v>342</v>
      </c>
      <c r="B51" s="259" t="s">
        <v>719</v>
      </c>
      <c r="C51" s="373">
        <v>142721</v>
      </c>
    </row>
    <row r="52" spans="1:3" x14ac:dyDescent="0.25">
      <c r="A52" s="259" t="s">
        <v>338</v>
      </c>
      <c r="B52" s="259" t="s">
        <v>720</v>
      </c>
      <c r="C52" s="373">
        <v>1296</v>
      </c>
    </row>
    <row r="53" spans="1:3" x14ac:dyDescent="0.25">
      <c r="A53" s="259" t="s">
        <v>337</v>
      </c>
      <c r="B53" s="259" t="s">
        <v>721</v>
      </c>
      <c r="C53" s="373">
        <v>11249</v>
      </c>
    </row>
    <row r="54" spans="1:3" x14ac:dyDescent="0.25">
      <c r="A54" s="259" t="s">
        <v>331</v>
      </c>
      <c r="B54" s="259" t="s">
        <v>722</v>
      </c>
      <c r="C54" s="373">
        <v>3092463</v>
      </c>
    </row>
    <row r="55" spans="1:3" x14ac:dyDescent="0.25">
      <c r="A55" s="259" t="s">
        <v>330</v>
      </c>
      <c r="B55" s="259" t="s">
        <v>723</v>
      </c>
      <c r="C55" s="373">
        <v>12683</v>
      </c>
    </row>
    <row r="56" spans="1:3" x14ac:dyDescent="0.25">
      <c r="A56" s="259" t="s">
        <v>329</v>
      </c>
      <c r="B56" s="259" t="s">
        <v>724</v>
      </c>
      <c r="C56" s="373">
        <v>80404</v>
      </c>
    </row>
    <row r="57" spans="1:3" x14ac:dyDescent="0.25">
      <c r="A57" s="259" t="s">
        <v>325</v>
      </c>
      <c r="B57" s="259" t="s">
        <v>725</v>
      </c>
      <c r="C57" s="373">
        <v>173884</v>
      </c>
    </row>
    <row r="58" spans="1:3" x14ac:dyDescent="0.25">
      <c r="A58" s="259" t="s">
        <v>780</v>
      </c>
      <c r="B58" s="259" t="s">
        <v>726</v>
      </c>
      <c r="C58" s="373">
        <v>655346</v>
      </c>
    </row>
    <row r="59" spans="1:3" x14ac:dyDescent="0.25">
      <c r="A59" s="259" t="s">
        <v>327</v>
      </c>
      <c r="B59" s="259" t="s">
        <v>727</v>
      </c>
      <c r="C59" s="373">
        <v>102813</v>
      </c>
    </row>
    <row r="60" spans="1:3" x14ac:dyDescent="0.25">
      <c r="A60" s="259" t="s">
        <v>323</v>
      </c>
      <c r="B60" s="259" t="s">
        <v>728</v>
      </c>
      <c r="C60" s="373">
        <v>0</v>
      </c>
    </row>
    <row r="61" spans="1:3" x14ac:dyDescent="0.25">
      <c r="A61" s="259" t="s">
        <v>322</v>
      </c>
      <c r="B61" s="259" t="s">
        <v>729</v>
      </c>
      <c r="C61" s="373">
        <v>15918</v>
      </c>
    </row>
    <row r="62" spans="1:3" x14ac:dyDescent="0.25">
      <c r="A62" s="259" t="s">
        <v>656</v>
      </c>
      <c r="B62" s="259" t="s">
        <v>730</v>
      </c>
      <c r="C62" s="373">
        <v>382390</v>
      </c>
    </row>
    <row r="63" spans="1:3" x14ac:dyDescent="0.25">
      <c r="A63" s="259" t="s">
        <v>316</v>
      </c>
      <c r="B63" s="259" t="s">
        <v>731</v>
      </c>
      <c r="C63" s="373">
        <v>43902</v>
      </c>
    </row>
    <row r="64" spans="1:3" x14ac:dyDescent="0.25">
      <c r="A64" s="259" t="s">
        <v>315</v>
      </c>
      <c r="B64" s="259" t="s">
        <v>732</v>
      </c>
      <c r="C64" s="373">
        <v>36566</v>
      </c>
    </row>
    <row r="65" spans="1:3" x14ac:dyDescent="0.25">
      <c r="A65" s="259" t="s">
        <v>314</v>
      </c>
      <c r="B65" s="259" t="s">
        <v>733</v>
      </c>
      <c r="C65" s="373">
        <v>22453</v>
      </c>
    </row>
    <row r="66" spans="1:3" x14ac:dyDescent="0.25">
      <c r="A66" s="259" t="s">
        <v>312</v>
      </c>
      <c r="B66" s="259" t="s">
        <v>734</v>
      </c>
      <c r="C66" s="373">
        <v>716010</v>
      </c>
    </row>
    <row r="67" spans="1:3" x14ac:dyDescent="0.25">
      <c r="A67" s="259" t="s">
        <v>311</v>
      </c>
      <c r="B67" s="259" t="s">
        <v>735</v>
      </c>
      <c r="C67" s="373">
        <v>62433</v>
      </c>
    </row>
    <row r="68" spans="1:3" x14ac:dyDescent="0.25">
      <c r="A68" s="259" t="s">
        <v>308</v>
      </c>
      <c r="B68" s="259" t="s">
        <v>736</v>
      </c>
      <c r="C68" s="373">
        <v>53995</v>
      </c>
    </row>
    <row r="69" spans="1:3" x14ac:dyDescent="0.25">
      <c r="A69" s="259" t="s">
        <v>307</v>
      </c>
      <c r="B69" s="259" t="s">
        <v>737</v>
      </c>
      <c r="C69" s="373">
        <v>32805</v>
      </c>
    </row>
    <row r="70" spans="1:3" x14ac:dyDescent="0.25">
      <c r="A70" s="259" t="s">
        <v>306</v>
      </c>
      <c r="B70" s="259" t="s">
        <v>738</v>
      </c>
      <c r="C70" s="373">
        <v>50352</v>
      </c>
    </row>
    <row r="71" spans="1:3" x14ac:dyDescent="0.25">
      <c r="A71" s="259" t="s">
        <v>310</v>
      </c>
      <c r="B71" s="259" t="s">
        <v>739</v>
      </c>
      <c r="C71" s="373">
        <v>38366</v>
      </c>
    </row>
    <row r="72" spans="1:3" x14ac:dyDescent="0.25">
      <c r="A72" s="259" t="s">
        <v>309</v>
      </c>
      <c r="B72" s="259" t="s">
        <v>740</v>
      </c>
      <c r="C72" s="373">
        <v>28996</v>
      </c>
    </row>
    <row r="73" spans="1:3" x14ac:dyDescent="0.25">
      <c r="A73" s="259" t="s">
        <v>304</v>
      </c>
      <c r="B73" s="259" t="s">
        <v>741</v>
      </c>
      <c r="C73" s="373">
        <v>48274</v>
      </c>
    </row>
    <row r="74" spans="1:3" x14ac:dyDescent="0.25">
      <c r="A74" s="259" t="s">
        <v>302</v>
      </c>
      <c r="B74" s="259" t="s">
        <v>742</v>
      </c>
      <c r="C74" s="373">
        <v>155495</v>
      </c>
    </row>
    <row r="75" spans="1:3" x14ac:dyDescent="0.25">
      <c r="A75" s="259" t="s">
        <v>781</v>
      </c>
      <c r="B75" s="259" t="s">
        <v>743</v>
      </c>
      <c r="C75" s="373">
        <v>515686</v>
      </c>
    </row>
    <row r="76" spans="1:3" x14ac:dyDescent="0.25">
      <c r="A76" s="259" t="s">
        <v>301</v>
      </c>
      <c r="B76" s="259" t="s">
        <v>744</v>
      </c>
      <c r="C76" s="373">
        <v>7726</v>
      </c>
    </row>
    <row r="77" spans="1:3" x14ac:dyDescent="0.25">
      <c r="A77" s="259" t="s">
        <v>299</v>
      </c>
      <c r="B77" s="259" t="s">
        <v>745</v>
      </c>
      <c r="C77" s="373">
        <v>4180</v>
      </c>
    </row>
    <row r="78" spans="1:3" x14ac:dyDescent="0.25">
      <c r="A78" s="259" t="s">
        <v>298</v>
      </c>
      <c r="B78" s="259" t="s">
        <v>746</v>
      </c>
      <c r="C78" s="373">
        <v>25977</v>
      </c>
    </row>
    <row r="79" spans="1:3" x14ac:dyDescent="0.25">
      <c r="A79" s="259" t="s">
        <v>289</v>
      </c>
      <c r="B79" s="259" t="s">
        <v>747</v>
      </c>
      <c r="C79" s="373">
        <v>420150</v>
      </c>
    </row>
    <row r="80" spans="1:3" x14ac:dyDescent="0.25">
      <c r="A80" s="259" t="s">
        <v>288</v>
      </c>
      <c r="B80" s="259" t="s">
        <v>748</v>
      </c>
      <c r="C80" s="373">
        <v>1249940</v>
      </c>
    </row>
    <row r="81" spans="1:3" x14ac:dyDescent="0.25">
      <c r="A81" s="259" t="s">
        <v>286</v>
      </c>
      <c r="B81" s="259" t="s">
        <v>749</v>
      </c>
      <c r="C81" s="373">
        <v>49587</v>
      </c>
    </row>
    <row r="82" spans="1:3" x14ac:dyDescent="0.25">
      <c r="A82" s="259" t="s">
        <v>285</v>
      </c>
      <c r="B82" s="259" t="s">
        <v>750</v>
      </c>
      <c r="C82" s="373">
        <v>10461</v>
      </c>
    </row>
    <row r="83" spans="1:3" x14ac:dyDescent="0.25">
      <c r="A83" s="259" t="s">
        <v>284</v>
      </c>
      <c r="B83" s="259" t="s">
        <v>751</v>
      </c>
      <c r="C83" s="373">
        <v>106271</v>
      </c>
    </row>
    <row r="84" spans="1:3" x14ac:dyDescent="0.25">
      <c r="A84" s="259" t="s">
        <v>283</v>
      </c>
      <c r="B84" s="259" t="s">
        <v>752</v>
      </c>
      <c r="C84" s="373">
        <v>307791</v>
      </c>
    </row>
    <row r="85" spans="1:3" x14ac:dyDescent="0.25">
      <c r="A85" s="259" t="s">
        <v>282</v>
      </c>
      <c r="B85" s="259" t="s">
        <v>753</v>
      </c>
      <c r="C85" s="373">
        <v>73406</v>
      </c>
    </row>
    <row r="86" spans="1:3" x14ac:dyDescent="0.25">
      <c r="A86" s="259" t="s">
        <v>653</v>
      </c>
      <c r="B86" s="259" t="s">
        <v>754</v>
      </c>
      <c r="C86" s="373">
        <v>181443</v>
      </c>
    </row>
    <row r="87" spans="1:3" x14ac:dyDescent="0.25">
      <c r="A87" s="259" t="s">
        <v>783</v>
      </c>
      <c r="B87" s="259" t="s">
        <v>755</v>
      </c>
      <c r="C87" s="373">
        <v>614618</v>
      </c>
    </row>
    <row r="88" spans="1:3" x14ac:dyDescent="0.25">
      <c r="A88" s="259" t="s">
        <v>277</v>
      </c>
      <c r="B88" s="259" t="s">
        <v>756</v>
      </c>
      <c r="C88" s="373">
        <v>714159</v>
      </c>
    </row>
    <row r="89" spans="1:3" x14ac:dyDescent="0.25">
      <c r="A89" s="259" t="s">
        <v>275</v>
      </c>
      <c r="B89" s="259" t="s">
        <v>757</v>
      </c>
      <c r="C89" s="373">
        <v>28808</v>
      </c>
    </row>
    <row r="90" spans="1:3" x14ac:dyDescent="0.25">
      <c r="A90" s="259" t="s">
        <v>274</v>
      </c>
      <c r="B90" s="259" t="s">
        <v>758</v>
      </c>
      <c r="C90" s="373">
        <v>7570</v>
      </c>
    </row>
    <row r="91" spans="1:3" x14ac:dyDescent="0.25">
      <c r="A91" s="259" t="s">
        <v>273</v>
      </c>
      <c r="B91" s="259" t="s">
        <v>759</v>
      </c>
      <c r="C91" s="373">
        <v>44481</v>
      </c>
    </row>
    <row r="92" spans="1:3" x14ac:dyDescent="0.25">
      <c r="A92" s="259" t="s">
        <v>654</v>
      </c>
      <c r="B92" s="259" t="s">
        <v>760</v>
      </c>
      <c r="C92" s="373">
        <v>35059</v>
      </c>
    </row>
    <row r="93" spans="1:3" x14ac:dyDescent="0.25">
      <c r="A93" s="259" t="s">
        <v>270</v>
      </c>
      <c r="B93" s="259" t="s">
        <v>761</v>
      </c>
      <c r="C93" s="373">
        <v>0</v>
      </c>
    </row>
    <row r="94" spans="1:3" x14ac:dyDescent="0.25">
      <c r="A94" s="259" t="s">
        <v>269</v>
      </c>
      <c r="B94" s="259" t="s">
        <v>762</v>
      </c>
      <c r="C94" s="373">
        <v>27144</v>
      </c>
    </row>
    <row r="95" spans="1:3" x14ac:dyDescent="0.25">
      <c r="A95" s="259" t="s">
        <v>268</v>
      </c>
      <c r="B95" s="259" t="s">
        <v>763</v>
      </c>
      <c r="C95" s="373">
        <v>144639</v>
      </c>
    </row>
    <row r="96" spans="1:3" x14ac:dyDescent="0.25">
      <c r="A96" s="259" t="s">
        <v>267</v>
      </c>
      <c r="B96" s="259" t="s">
        <v>764</v>
      </c>
      <c r="C96" s="373">
        <v>1342</v>
      </c>
    </row>
    <row r="97" spans="1:3" x14ac:dyDescent="0.25">
      <c r="A97" s="259" t="s">
        <v>651</v>
      </c>
      <c r="B97" s="259" t="s">
        <v>765</v>
      </c>
      <c r="C97" s="373">
        <v>444662</v>
      </c>
    </row>
    <row r="98" spans="1:3" x14ac:dyDescent="0.25">
      <c r="A98" s="259" t="s">
        <v>265</v>
      </c>
      <c r="B98" s="259" t="s">
        <v>766</v>
      </c>
      <c r="C98" s="373">
        <v>139000</v>
      </c>
    </row>
    <row r="99" spans="1:3" x14ac:dyDescent="0.25">
      <c r="A99" s="259" t="s">
        <v>784</v>
      </c>
      <c r="B99" s="259" t="s">
        <v>767</v>
      </c>
      <c r="C99" s="373">
        <v>25470</v>
      </c>
    </row>
    <row r="100" spans="1:3" x14ac:dyDescent="0.25">
      <c r="A100" s="259" t="s">
        <v>263</v>
      </c>
      <c r="B100" s="259" t="s">
        <v>768</v>
      </c>
      <c r="C100" s="373">
        <v>118830</v>
      </c>
    </row>
    <row r="101" spans="1:3" x14ac:dyDescent="0.25">
      <c r="A101" s="259" t="s">
        <v>262</v>
      </c>
      <c r="B101" s="259" t="s">
        <v>769</v>
      </c>
      <c r="C101" s="373">
        <v>969851</v>
      </c>
    </row>
    <row r="102" spans="1:3" x14ac:dyDescent="0.25">
      <c r="A102" s="259" t="s">
        <v>260</v>
      </c>
      <c r="B102" s="259" t="s">
        <v>770</v>
      </c>
      <c r="C102" s="373">
        <v>113902</v>
      </c>
    </row>
    <row r="103" spans="1:3" x14ac:dyDescent="0.25">
      <c r="A103" s="259" t="s">
        <v>253</v>
      </c>
      <c r="B103" s="259" t="s">
        <v>771</v>
      </c>
      <c r="C103" s="373">
        <v>105869</v>
      </c>
    </row>
    <row r="104" spans="1:3" x14ac:dyDescent="0.25">
      <c r="A104" s="259" t="s">
        <v>250</v>
      </c>
      <c r="B104" s="259" t="s">
        <v>772</v>
      </c>
      <c r="C104" s="373">
        <v>159971</v>
      </c>
    </row>
    <row r="105" spans="1:3" x14ac:dyDescent="0.25">
      <c r="A105" s="260" t="s">
        <v>245</v>
      </c>
      <c r="B105" s="260" t="s">
        <v>773</v>
      </c>
      <c r="C105" s="374">
        <v>0</v>
      </c>
    </row>
    <row r="106" spans="1:3" x14ac:dyDescent="0.25">
      <c r="A106" s="278"/>
      <c r="B106" s="278"/>
      <c r="C106" s="251"/>
    </row>
    <row r="107" spans="1:3" x14ac:dyDescent="0.25">
      <c r="A107" s="279" t="s">
        <v>794</v>
      </c>
      <c r="B107" s="60"/>
      <c r="C107" s="280"/>
    </row>
    <row r="108" spans="1:3" x14ac:dyDescent="0.25">
      <c r="A108" s="260" t="s">
        <v>412</v>
      </c>
      <c r="B108" s="281" t="s">
        <v>411</v>
      </c>
      <c r="C108" s="282">
        <v>0</v>
      </c>
    </row>
    <row r="109" spans="1:3" x14ac:dyDescent="0.25">
      <c r="A109" s="259" t="s">
        <v>300</v>
      </c>
      <c r="B109" s="284" t="s">
        <v>795</v>
      </c>
      <c r="C109" s="285">
        <v>0</v>
      </c>
    </row>
    <row r="110" spans="1:3" x14ac:dyDescent="0.25">
      <c r="A110" s="259" t="s">
        <v>255</v>
      </c>
      <c r="B110" s="284" t="s">
        <v>796</v>
      </c>
      <c r="C110" s="285">
        <v>0</v>
      </c>
    </row>
    <row r="111" spans="1:3" x14ac:dyDescent="0.25">
      <c r="A111" s="259" t="s">
        <v>257</v>
      </c>
      <c r="B111" s="284" t="s">
        <v>797</v>
      </c>
      <c r="C111" s="285">
        <v>0</v>
      </c>
    </row>
    <row r="112" spans="1:3" x14ac:dyDescent="0.25">
      <c r="A112" s="259" t="s">
        <v>336</v>
      </c>
      <c r="B112" s="284" t="s">
        <v>798</v>
      </c>
      <c r="C112" s="285">
        <v>0</v>
      </c>
    </row>
    <row r="113" spans="1:3" x14ac:dyDescent="0.25">
      <c r="A113" s="259" t="s">
        <v>247</v>
      </c>
      <c r="B113" s="284" t="s">
        <v>799</v>
      </c>
      <c r="C113" s="285">
        <v>0</v>
      </c>
    </row>
    <row r="114" spans="1:3" x14ac:dyDescent="0.25">
      <c r="A114" s="259" t="s">
        <v>384</v>
      </c>
      <c r="B114" s="284" t="s">
        <v>800</v>
      </c>
      <c r="C114" s="285">
        <v>0</v>
      </c>
    </row>
    <row r="115" spans="1:3" x14ac:dyDescent="0.25">
      <c r="A115" s="259" t="s">
        <v>366</v>
      </c>
      <c r="B115" s="284" t="s">
        <v>801</v>
      </c>
      <c r="C115" s="285">
        <v>0</v>
      </c>
    </row>
    <row r="116" spans="1:3" x14ac:dyDescent="0.25">
      <c r="A116" s="259" t="s">
        <v>394</v>
      </c>
      <c r="B116" s="284" t="s">
        <v>802</v>
      </c>
      <c r="C116" s="285">
        <v>0</v>
      </c>
    </row>
    <row r="117" spans="1:3" x14ac:dyDescent="0.25">
      <c r="A117" s="259" t="s">
        <v>367</v>
      </c>
      <c r="B117" s="284" t="s">
        <v>803</v>
      </c>
      <c r="C117" s="285">
        <v>0</v>
      </c>
    </row>
    <row r="118" spans="1:3" x14ac:dyDescent="0.25">
      <c r="A118" s="259" t="s">
        <v>261</v>
      </c>
      <c r="B118" s="284" t="s">
        <v>804</v>
      </c>
      <c r="C118" s="285">
        <v>0</v>
      </c>
    </row>
    <row r="119" spans="1:3" x14ac:dyDescent="0.25">
      <c r="A119" s="259" t="s">
        <v>393</v>
      </c>
      <c r="B119" s="284" t="s">
        <v>805</v>
      </c>
      <c r="C119" s="285">
        <v>0</v>
      </c>
    </row>
    <row r="120" spans="1:3" x14ac:dyDescent="0.25">
      <c r="A120" s="259" t="s">
        <v>410</v>
      </c>
      <c r="B120" s="284" t="s">
        <v>806</v>
      </c>
      <c r="C120" s="285">
        <v>0</v>
      </c>
    </row>
    <row r="121" spans="1:3" x14ac:dyDescent="0.25">
      <c r="A121" s="259" t="s">
        <v>326</v>
      </c>
      <c r="B121" s="284" t="s">
        <v>807</v>
      </c>
      <c r="C121" s="285">
        <v>0</v>
      </c>
    </row>
    <row r="122" spans="1:3" x14ac:dyDescent="0.25">
      <c r="A122" s="259" t="s">
        <v>402</v>
      </c>
      <c r="B122" s="284" t="s">
        <v>808</v>
      </c>
      <c r="C122" s="285">
        <v>0</v>
      </c>
    </row>
    <row r="123" spans="1:3" x14ac:dyDescent="0.25">
      <c r="A123" s="260" t="s">
        <v>652</v>
      </c>
      <c r="B123" s="281" t="s">
        <v>809</v>
      </c>
      <c r="C123" s="282">
        <v>0</v>
      </c>
    </row>
    <row r="126" spans="1:3" x14ac:dyDescent="0.25">
      <c r="A126" t="s">
        <v>867</v>
      </c>
    </row>
    <row r="127" spans="1:3" x14ac:dyDescent="0.25">
      <c r="A127" s="286" t="s">
        <v>266</v>
      </c>
      <c r="B127" t="s">
        <v>648</v>
      </c>
      <c r="C127" s="246">
        <f>_xlfn.IFNA(VLOOKUP("0142247-5X",$A:$P,COLUMN(C:C),FALSE),0)+_xlfn.IFNA(VLOOKUP("2390097-6X",$A:$P,COLUMN(C:C),FALSE),0)</f>
        <v>444662</v>
      </c>
    </row>
    <row r="128" spans="1:3" x14ac:dyDescent="0.25">
      <c r="A128" s="11" t="s">
        <v>281</v>
      </c>
      <c r="B128" t="s">
        <v>649</v>
      </c>
      <c r="C128" s="246">
        <f>_xlfn.IFNA(VLOOKUP("0208850-1X",$A:$P,COLUMN(C:C),FALSE),0)+_xlfn.IFNA(VLOOKUP("0872020-5X",$A:$P,COLUMN(C:C),FALSE),0)</f>
        <v>216502</v>
      </c>
    </row>
    <row r="129" spans="1:3" x14ac:dyDescent="0.25">
      <c r="A129" s="11" t="s">
        <v>239</v>
      </c>
      <c r="B129" t="s">
        <v>650</v>
      </c>
      <c r="C129" s="246">
        <f>_xlfn.IFNA(VLOOKUP("2918298-7X",$A:$P,COLUMN(C:C),FALSE),0)+_xlfn.IFNA(VLOOKUP("0130270-5X",$A:$P,COLUMN(C:C),FALSE),0)+_xlfn.IFNA(VLOOKUP("0210838-1X",$A:$P,COLUMN(C:C),FALSE),0)</f>
        <v>1414984</v>
      </c>
    </row>
    <row r="130" spans="1:3" x14ac:dyDescent="0.25">
      <c r="A130" s="11" t="s">
        <v>370</v>
      </c>
      <c r="B130" t="s">
        <v>56</v>
      </c>
      <c r="C130" s="246">
        <f>_xlfn.IFNA(VLOOKUP("0195200-3X",$A:$P,COLUMN(C:C),FALSE),0)+_xlfn.IFNA(VLOOKUP("0214958-9X",$A:$P,COLUMN(C:C),FALSE),0)</f>
        <v>0</v>
      </c>
    </row>
    <row r="131" spans="1:3" x14ac:dyDescent="0.25">
      <c r="A131" s="261" t="s">
        <v>774</v>
      </c>
      <c r="B131" s="56" t="s">
        <v>775</v>
      </c>
      <c r="C131" s="246">
        <f>_xlfn.IFNA(VLOOKUP("0213612-0X",$A:$Y,COLUMN(C:C),FALSE),0)+_xlfn.IFNA(VLOOKUP("0116354-9X",$A:$Y,COLUMN(C:C),FALSE),0)</f>
        <v>1258264</v>
      </c>
    </row>
    <row r="132" spans="1:3" x14ac:dyDescent="0.25">
      <c r="A132" s="261" t="s">
        <v>328</v>
      </c>
      <c r="B132" s="56" t="s">
        <v>92</v>
      </c>
      <c r="C132" s="246">
        <f>_xlfn.IFNA(VLOOKUP("0201689-0X",$A:$Y,COLUMN(C:C),FALSE),0)+_xlfn.IFNA(VLOOKUP("0114371-6X",$A:$Y,COLUMN(C:C),FALSE),0)</f>
        <v>1171032</v>
      </c>
    </row>
    <row r="133" spans="1:3" x14ac:dyDescent="0.25">
      <c r="A133" s="261" t="s">
        <v>279</v>
      </c>
      <c r="B133" s="261" t="s">
        <v>129</v>
      </c>
      <c r="C133" s="246">
        <f>_xlfn.IFNA(VLOOKUP("0214081-6X",$A:$Y,COLUMN(C:C),FALSE),0)+_xlfn.IFNA(VLOOKUP("1648362-5X",$A:$Y,COLUMN(C:C),FALSE),0)</f>
        <v>614618</v>
      </c>
    </row>
    <row r="134" spans="1:3" x14ac:dyDescent="0.25">
      <c r="A134" s="261" t="s">
        <v>776</v>
      </c>
      <c r="B134" s="56" t="s">
        <v>777</v>
      </c>
      <c r="C134" s="246">
        <f>_xlfn.IFNA(VLOOKUP("0204843-8X",$A:$Y,COLUMN(C:C),FALSE),0)</f>
        <v>25470</v>
      </c>
    </row>
  </sheetData>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R169"/>
  <sheetViews>
    <sheetView zoomScale="90" zoomScaleNormal="90" workbookViewId="0">
      <pane xSplit="2" ySplit="3" topLeftCell="C136" activePane="bottomRight" state="frozen"/>
      <selection pane="topRight" activeCell="B1" sqref="B1"/>
      <selection pane="bottomLeft" activeCell="A4" sqref="A4"/>
      <selection pane="bottomRight" activeCell="Q162" sqref="Q162"/>
    </sheetView>
  </sheetViews>
  <sheetFormatPr defaultRowHeight="15" x14ac:dyDescent="0.25"/>
  <cols>
    <col min="1" max="1" width="11" style="56" bestFit="1" customWidth="1"/>
    <col min="2" max="2" width="46" style="56" customWidth="1"/>
    <col min="3" max="16" width="14.85546875" style="56" customWidth="1"/>
    <col min="17" max="17" width="13.7109375" style="56" customWidth="1"/>
    <col min="18" max="18" width="11" style="56" customWidth="1"/>
    <col min="19" max="16384" width="9.140625" style="56"/>
  </cols>
  <sheetData>
    <row r="1" spans="1:18" ht="15.75" x14ac:dyDescent="0.25">
      <c r="A1" s="143" t="s">
        <v>788</v>
      </c>
      <c r="B1"/>
      <c r="C1"/>
      <c r="D1"/>
      <c r="E1"/>
      <c r="F1"/>
      <c r="G1"/>
      <c r="H1"/>
      <c r="I1"/>
      <c r="J1"/>
      <c r="K1"/>
      <c r="L1"/>
      <c r="M1"/>
      <c r="N1"/>
      <c r="O1"/>
      <c r="P1"/>
      <c r="Q1"/>
      <c r="R1"/>
    </row>
    <row r="2" spans="1:18" x14ac:dyDescent="0.25">
      <c r="A2" s="112"/>
      <c r="B2"/>
      <c r="C2"/>
      <c r="D2"/>
      <c r="E2"/>
      <c r="F2"/>
      <c r="G2"/>
      <c r="H2"/>
      <c r="I2"/>
      <c r="J2"/>
      <c r="K2"/>
      <c r="L2"/>
      <c r="M2"/>
      <c r="N2"/>
      <c r="O2"/>
      <c r="P2"/>
      <c r="Q2"/>
      <c r="R2"/>
    </row>
    <row r="3" spans="1:18" ht="95.25" customHeight="1" x14ac:dyDescent="0.25">
      <c r="A3" s="267" t="s">
        <v>412</v>
      </c>
      <c r="B3" s="268" t="s">
        <v>0</v>
      </c>
      <c r="C3" s="268" t="s">
        <v>789</v>
      </c>
      <c r="D3" s="269" t="s">
        <v>194</v>
      </c>
      <c r="E3" s="269" t="s">
        <v>195</v>
      </c>
      <c r="F3" s="269" t="s">
        <v>196</v>
      </c>
      <c r="G3" s="269" t="s">
        <v>197</v>
      </c>
      <c r="H3" s="269" t="s">
        <v>198</v>
      </c>
      <c r="I3" s="269" t="s">
        <v>199</v>
      </c>
      <c r="J3" s="269" t="s">
        <v>200</v>
      </c>
      <c r="K3" s="269" t="s">
        <v>790</v>
      </c>
      <c r="L3" s="269" t="s">
        <v>201</v>
      </c>
      <c r="M3" s="269" t="s">
        <v>202</v>
      </c>
      <c r="N3" s="269" t="s">
        <v>203</v>
      </c>
      <c r="O3" s="269" t="s">
        <v>791</v>
      </c>
      <c r="P3" s="269" t="s">
        <v>204</v>
      </c>
      <c r="Q3" s="269" t="s">
        <v>205</v>
      </c>
      <c r="R3" s="270" t="s">
        <v>206</v>
      </c>
    </row>
    <row r="4" spans="1:18" x14ac:dyDescent="0.25">
      <c r="A4" s="66" t="s">
        <v>410</v>
      </c>
      <c r="B4" t="s">
        <v>179</v>
      </c>
      <c r="C4" t="s">
        <v>238</v>
      </c>
      <c r="D4" s="265">
        <v>0</v>
      </c>
      <c r="E4" s="265">
        <v>50</v>
      </c>
      <c r="F4" s="265">
        <v>50</v>
      </c>
      <c r="G4" s="265">
        <v>0</v>
      </c>
      <c r="H4" s="271">
        <v>0.315</v>
      </c>
      <c r="I4" s="250">
        <v>15.8</v>
      </c>
      <c r="J4" s="265">
        <v>0</v>
      </c>
      <c r="K4" s="265">
        <v>129172</v>
      </c>
      <c r="L4" s="265">
        <v>352500</v>
      </c>
      <c r="M4" s="265">
        <v>481672</v>
      </c>
      <c r="N4" s="265">
        <v>0</v>
      </c>
      <c r="O4" s="250">
        <v>0</v>
      </c>
      <c r="P4" s="265">
        <v>0</v>
      </c>
      <c r="Q4" s="265">
        <v>481672</v>
      </c>
      <c r="R4" s="265">
        <v>26951</v>
      </c>
    </row>
    <row r="5" spans="1:18" x14ac:dyDescent="0.25">
      <c r="A5" s="66" t="s">
        <v>409</v>
      </c>
      <c r="B5" t="s">
        <v>23</v>
      </c>
      <c r="C5" t="s">
        <v>249</v>
      </c>
      <c r="D5" s="265">
        <v>329</v>
      </c>
      <c r="E5" s="265">
        <v>0</v>
      </c>
      <c r="F5" s="265">
        <v>329</v>
      </c>
      <c r="G5" s="265">
        <v>0</v>
      </c>
      <c r="H5" s="271">
        <v>1.1223819660000001</v>
      </c>
      <c r="I5" s="250">
        <v>369.3</v>
      </c>
      <c r="J5" s="265">
        <v>0</v>
      </c>
      <c r="K5" s="265">
        <v>3019202</v>
      </c>
      <c r="L5" s="265">
        <v>0</v>
      </c>
      <c r="M5" s="265">
        <v>3019202</v>
      </c>
      <c r="N5" s="265">
        <v>171</v>
      </c>
      <c r="O5" s="250">
        <v>10772.9</v>
      </c>
      <c r="P5" s="265">
        <v>258726</v>
      </c>
      <c r="Q5" s="265">
        <v>3277928</v>
      </c>
      <c r="R5" s="265">
        <v>168931</v>
      </c>
    </row>
    <row r="6" spans="1:18" x14ac:dyDescent="0.25">
      <c r="A6" s="66" t="s">
        <v>406</v>
      </c>
      <c r="B6" t="s">
        <v>189</v>
      </c>
      <c r="C6" t="s">
        <v>238</v>
      </c>
      <c r="D6" s="265">
        <v>20</v>
      </c>
      <c r="E6" s="265">
        <v>0</v>
      </c>
      <c r="F6" s="265">
        <v>20</v>
      </c>
      <c r="G6" s="265">
        <v>0</v>
      </c>
      <c r="H6" s="271">
        <v>0.64306122399999999</v>
      </c>
      <c r="I6" s="250">
        <v>12.9</v>
      </c>
      <c r="J6" s="265">
        <v>0</v>
      </c>
      <c r="K6" s="265">
        <v>105464</v>
      </c>
      <c r="L6" s="265">
        <v>1400000</v>
      </c>
      <c r="M6" s="265">
        <v>1505464</v>
      </c>
      <c r="N6" s="265">
        <v>0</v>
      </c>
      <c r="O6" s="250">
        <v>0</v>
      </c>
      <c r="P6" s="265">
        <v>0</v>
      </c>
      <c r="Q6" s="265">
        <v>1505464</v>
      </c>
      <c r="R6" s="265">
        <v>84234</v>
      </c>
    </row>
    <row r="7" spans="1:18" x14ac:dyDescent="0.25">
      <c r="A7" s="66" t="s">
        <v>408</v>
      </c>
      <c r="B7" t="s">
        <v>24</v>
      </c>
      <c r="C7" t="s">
        <v>249</v>
      </c>
      <c r="D7" s="265">
        <v>79</v>
      </c>
      <c r="E7" s="265">
        <v>5</v>
      </c>
      <c r="F7" s="265">
        <v>84</v>
      </c>
      <c r="G7" s="265">
        <v>0</v>
      </c>
      <c r="H7" s="271">
        <v>4.3422609469999998</v>
      </c>
      <c r="I7" s="250">
        <v>364.7</v>
      </c>
      <c r="J7" s="265">
        <v>0</v>
      </c>
      <c r="K7" s="265">
        <v>2981595</v>
      </c>
      <c r="L7" s="265">
        <v>0</v>
      </c>
      <c r="M7" s="265">
        <v>2981595</v>
      </c>
      <c r="N7" s="265">
        <v>16</v>
      </c>
      <c r="O7" s="250">
        <v>1192.3</v>
      </c>
      <c r="P7" s="265">
        <v>28635</v>
      </c>
      <c r="Q7" s="265">
        <v>3010230</v>
      </c>
      <c r="R7" s="265">
        <v>166827</v>
      </c>
    </row>
    <row r="8" spans="1:18" x14ac:dyDescent="0.25">
      <c r="A8" s="66" t="s">
        <v>779</v>
      </c>
      <c r="B8" t="s">
        <v>25</v>
      </c>
      <c r="C8" t="s">
        <v>238</v>
      </c>
      <c r="D8" s="265">
        <v>1666</v>
      </c>
      <c r="E8" s="265">
        <v>965</v>
      </c>
      <c r="F8" s="265">
        <v>2631</v>
      </c>
      <c r="G8" s="265">
        <v>580</v>
      </c>
      <c r="H8" s="271">
        <v>0.81467007599999997</v>
      </c>
      <c r="I8" s="250">
        <v>2143.4</v>
      </c>
      <c r="J8" s="265">
        <v>0</v>
      </c>
      <c r="K8" s="265">
        <v>17523307</v>
      </c>
      <c r="L8" s="265">
        <v>0</v>
      </c>
      <c r="M8" s="265">
        <v>17523307</v>
      </c>
      <c r="N8" s="265">
        <v>1671</v>
      </c>
      <c r="O8" s="250">
        <v>50039.1</v>
      </c>
      <c r="P8" s="265">
        <v>1201757</v>
      </c>
      <c r="Q8" s="265">
        <v>18725064</v>
      </c>
      <c r="R8" s="265">
        <v>980469</v>
      </c>
    </row>
    <row r="9" spans="1:18" x14ac:dyDescent="0.25">
      <c r="A9" s="66" t="s">
        <v>778</v>
      </c>
      <c r="B9" t="s">
        <v>26</v>
      </c>
      <c r="C9" t="s">
        <v>238</v>
      </c>
      <c r="D9" s="265">
        <v>818</v>
      </c>
      <c r="E9" s="265">
        <v>207</v>
      </c>
      <c r="F9" s="265">
        <v>1025</v>
      </c>
      <c r="G9" s="265">
        <v>0</v>
      </c>
      <c r="H9" s="271">
        <v>0.76111524100000005</v>
      </c>
      <c r="I9" s="250">
        <v>780.1</v>
      </c>
      <c r="J9" s="265">
        <v>0</v>
      </c>
      <c r="K9" s="265">
        <v>6377686</v>
      </c>
      <c r="L9" s="265">
        <v>0</v>
      </c>
      <c r="M9" s="265">
        <v>6377686</v>
      </c>
      <c r="N9" s="265">
        <v>631</v>
      </c>
      <c r="O9" s="250">
        <v>13497</v>
      </c>
      <c r="P9" s="265">
        <v>324149</v>
      </c>
      <c r="Q9" s="265">
        <v>6701835</v>
      </c>
      <c r="R9" s="265">
        <v>356846</v>
      </c>
    </row>
    <row r="10" spans="1:18" x14ac:dyDescent="0.25">
      <c r="A10" s="66" t="s">
        <v>407</v>
      </c>
      <c r="B10" t="s">
        <v>27</v>
      </c>
      <c r="C10" t="s">
        <v>238</v>
      </c>
      <c r="D10" s="265">
        <v>986</v>
      </c>
      <c r="E10" s="265">
        <v>120</v>
      </c>
      <c r="F10" s="265">
        <v>1106</v>
      </c>
      <c r="G10" s="265">
        <v>0</v>
      </c>
      <c r="H10" s="271">
        <v>3.9528091380000001</v>
      </c>
      <c r="I10" s="250">
        <v>4371.8</v>
      </c>
      <c r="J10" s="265">
        <v>0</v>
      </c>
      <c r="K10" s="265">
        <v>35741529</v>
      </c>
      <c r="L10" s="265">
        <v>0</v>
      </c>
      <c r="M10" s="265">
        <v>35741529</v>
      </c>
      <c r="N10" s="265">
        <v>221</v>
      </c>
      <c r="O10" s="250">
        <v>14916.3</v>
      </c>
      <c r="P10" s="265">
        <v>358235</v>
      </c>
      <c r="Q10" s="265">
        <v>36099764</v>
      </c>
      <c r="R10" s="265">
        <v>1999820</v>
      </c>
    </row>
    <row r="11" spans="1:18" x14ac:dyDescent="0.25">
      <c r="A11" s="66" t="s">
        <v>405</v>
      </c>
      <c r="B11" t="s">
        <v>207</v>
      </c>
      <c r="C11" t="s">
        <v>238</v>
      </c>
      <c r="D11" s="265">
        <v>68</v>
      </c>
      <c r="E11" s="265">
        <v>4</v>
      </c>
      <c r="F11" s="265">
        <v>72</v>
      </c>
      <c r="G11" s="265">
        <v>0</v>
      </c>
      <c r="H11" s="271">
        <v>0.59584580399999998</v>
      </c>
      <c r="I11" s="250">
        <v>42.9</v>
      </c>
      <c r="J11" s="265">
        <v>0</v>
      </c>
      <c r="K11" s="265">
        <v>350728</v>
      </c>
      <c r="L11" s="265">
        <v>0</v>
      </c>
      <c r="M11" s="265">
        <v>350728</v>
      </c>
      <c r="N11" s="265">
        <v>127</v>
      </c>
      <c r="O11" s="250">
        <v>1591.4</v>
      </c>
      <c r="P11" s="265">
        <v>38220</v>
      </c>
      <c r="Q11" s="265">
        <v>388948</v>
      </c>
      <c r="R11" s="265">
        <v>19624</v>
      </c>
    </row>
    <row r="12" spans="1:18" x14ac:dyDescent="0.25">
      <c r="A12" s="66" t="s">
        <v>404</v>
      </c>
      <c r="B12" t="s">
        <v>29</v>
      </c>
      <c r="C12" t="s">
        <v>238</v>
      </c>
      <c r="D12" s="265">
        <v>1592</v>
      </c>
      <c r="E12" s="265">
        <v>139</v>
      </c>
      <c r="F12" s="265">
        <v>1731</v>
      </c>
      <c r="G12" s="265">
        <v>30</v>
      </c>
      <c r="H12" s="271">
        <v>1.053823161</v>
      </c>
      <c r="I12" s="250">
        <v>1824.2</v>
      </c>
      <c r="J12" s="265">
        <v>0</v>
      </c>
      <c r="K12" s="265">
        <v>14913696</v>
      </c>
      <c r="L12" s="265">
        <v>0</v>
      </c>
      <c r="M12" s="265">
        <v>14913696</v>
      </c>
      <c r="N12" s="265">
        <v>737</v>
      </c>
      <c r="O12" s="250">
        <v>34475.5</v>
      </c>
      <c r="P12" s="265">
        <v>827976</v>
      </c>
      <c r="Q12" s="265">
        <v>15741672</v>
      </c>
      <c r="R12" s="265">
        <v>834455</v>
      </c>
    </row>
    <row r="13" spans="1:18" x14ac:dyDescent="0.25">
      <c r="A13" s="66" t="s">
        <v>239</v>
      </c>
      <c r="B13" t="s">
        <v>208</v>
      </c>
      <c r="C13" t="s">
        <v>238</v>
      </c>
      <c r="D13" s="265">
        <v>2494</v>
      </c>
      <c r="E13" s="265">
        <v>410</v>
      </c>
      <c r="F13" s="265">
        <v>2904</v>
      </c>
      <c r="G13" s="265">
        <v>180</v>
      </c>
      <c r="H13" s="271">
        <v>0.92377082799999999</v>
      </c>
      <c r="I13" s="250">
        <v>2682.6</v>
      </c>
      <c r="J13" s="265">
        <v>0</v>
      </c>
      <c r="K13" s="265">
        <v>21931521</v>
      </c>
      <c r="L13" s="265">
        <v>0</v>
      </c>
      <c r="M13" s="265">
        <v>21931521</v>
      </c>
      <c r="N13" s="265">
        <v>1301</v>
      </c>
      <c r="O13" s="250">
        <v>47104.800000000003</v>
      </c>
      <c r="P13" s="265">
        <v>1131285</v>
      </c>
      <c r="Q13" s="265">
        <v>23062806</v>
      </c>
      <c r="R13" s="265">
        <v>1227119</v>
      </c>
    </row>
    <row r="14" spans="1:18" x14ac:dyDescent="0.25">
      <c r="A14" s="66" t="s">
        <v>403</v>
      </c>
      <c r="B14" t="s">
        <v>180</v>
      </c>
      <c r="C14" t="s">
        <v>249</v>
      </c>
      <c r="D14" s="265">
        <v>0</v>
      </c>
      <c r="E14" s="265">
        <v>0</v>
      </c>
      <c r="F14" s="265">
        <v>0</v>
      </c>
      <c r="G14" s="265">
        <v>0</v>
      </c>
      <c r="H14" s="271">
        <v>0.315</v>
      </c>
      <c r="I14" s="250">
        <v>0</v>
      </c>
      <c r="J14" s="265">
        <v>0</v>
      </c>
      <c r="K14" s="265">
        <v>0</v>
      </c>
      <c r="L14" s="265">
        <v>0</v>
      </c>
      <c r="M14" s="265">
        <v>0</v>
      </c>
      <c r="N14" s="265">
        <v>0</v>
      </c>
      <c r="O14" s="250">
        <v>0</v>
      </c>
      <c r="P14" s="265">
        <v>0</v>
      </c>
      <c r="Q14" s="265">
        <v>0</v>
      </c>
      <c r="R14" s="265">
        <v>0</v>
      </c>
    </row>
    <row r="15" spans="1:18" x14ac:dyDescent="0.25">
      <c r="A15" s="66" t="s">
        <v>402</v>
      </c>
      <c r="B15" t="s">
        <v>30</v>
      </c>
      <c r="C15" t="s">
        <v>238</v>
      </c>
      <c r="D15" s="265">
        <v>0</v>
      </c>
      <c r="E15" s="265">
        <v>10</v>
      </c>
      <c r="F15" s="265">
        <v>10</v>
      </c>
      <c r="G15" s="265">
        <v>10</v>
      </c>
      <c r="H15" s="271">
        <v>1</v>
      </c>
      <c r="I15" s="250">
        <v>10</v>
      </c>
      <c r="J15" s="265">
        <v>0</v>
      </c>
      <c r="K15" s="265">
        <v>81755</v>
      </c>
      <c r="L15" s="265">
        <v>0</v>
      </c>
      <c r="M15" s="265">
        <v>81755</v>
      </c>
      <c r="N15" s="265">
        <v>0</v>
      </c>
      <c r="O15" s="250">
        <v>0</v>
      </c>
      <c r="P15" s="265">
        <v>0</v>
      </c>
      <c r="Q15" s="265">
        <v>81755</v>
      </c>
      <c r="R15" s="265">
        <v>4574</v>
      </c>
    </row>
    <row r="16" spans="1:18" x14ac:dyDescent="0.25">
      <c r="A16" s="66" t="s">
        <v>401</v>
      </c>
      <c r="B16" t="s">
        <v>31</v>
      </c>
      <c r="C16" t="s">
        <v>238</v>
      </c>
      <c r="D16" s="265">
        <v>5838</v>
      </c>
      <c r="E16" s="265">
        <v>715</v>
      </c>
      <c r="F16" s="265">
        <v>6553</v>
      </c>
      <c r="G16" s="265">
        <v>200</v>
      </c>
      <c r="H16" s="271">
        <v>0.970835844</v>
      </c>
      <c r="I16" s="250">
        <v>6361.9</v>
      </c>
      <c r="J16" s="265">
        <v>-473805</v>
      </c>
      <c r="K16" s="265">
        <v>51537731</v>
      </c>
      <c r="L16" s="265">
        <v>0</v>
      </c>
      <c r="M16" s="265">
        <v>51537731</v>
      </c>
      <c r="N16" s="265">
        <v>3260</v>
      </c>
      <c r="O16" s="250">
        <v>153237.9</v>
      </c>
      <c r="P16" s="265">
        <v>3680215</v>
      </c>
      <c r="Q16" s="265">
        <v>55217946</v>
      </c>
      <c r="R16" s="265">
        <v>0</v>
      </c>
    </row>
    <row r="17" spans="1:18" x14ac:dyDescent="0.25">
      <c r="A17" s="66" t="s">
        <v>400</v>
      </c>
      <c r="B17" t="s">
        <v>32</v>
      </c>
      <c r="C17" t="s">
        <v>399</v>
      </c>
      <c r="D17" s="265">
        <v>2900</v>
      </c>
      <c r="E17" s="265">
        <v>465</v>
      </c>
      <c r="F17" s="265">
        <v>3365</v>
      </c>
      <c r="G17" s="265">
        <v>216</v>
      </c>
      <c r="H17" s="271">
        <v>0.99855317099999996</v>
      </c>
      <c r="I17" s="250">
        <v>3360.1</v>
      </c>
      <c r="J17" s="265">
        <v>-250245</v>
      </c>
      <c r="K17" s="265">
        <v>27220159</v>
      </c>
      <c r="L17" s="265">
        <v>450000</v>
      </c>
      <c r="M17" s="265">
        <v>27670159</v>
      </c>
      <c r="N17" s="265">
        <v>1289</v>
      </c>
      <c r="O17" s="250">
        <v>62888.3</v>
      </c>
      <c r="P17" s="265">
        <v>1510348</v>
      </c>
      <c r="Q17" s="265">
        <v>29180507</v>
      </c>
      <c r="R17" s="265">
        <v>0</v>
      </c>
    </row>
    <row r="18" spans="1:18" x14ac:dyDescent="0.25">
      <c r="A18" s="66" t="s">
        <v>398</v>
      </c>
      <c r="B18" t="s">
        <v>33</v>
      </c>
      <c r="C18" t="s">
        <v>272</v>
      </c>
      <c r="D18" s="265">
        <v>2518</v>
      </c>
      <c r="E18" s="265">
        <v>178</v>
      </c>
      <c r="F18" s="265">
        <v>2696</v>
      </c>
      <c r="G18" s="265">
        <v>95</v>
      </c>
      <c r="H18" s="271">
        <v>1.113478644</v>
      </c>
      <c r="I18" s="250">
        <v>3001.9</v>
      </c>
      <c r="J18" s="265">
        <v>0</v>
      </c>
      <c r="K18" s="265">
        <v>24541950</v>
      </c>
      <c r="L18" s="265">
        <v>0</v>
      </c>
      <c r="M18" s="265">
        <v>24541950</v>
      </c>
      <c r="N18" s="265">
        <v>1164</v>
      </c>
      <c r="O18" s="250">
        <v>63123.199999999997</v>
      </c>
      <c r="P18" s="265">
        <v>1515989</v>
      </c>
      <c r="Q18" s="265">
        <v>26057939</v>
      </c>
      <c r="R18" s="265">
        <v>1373178</v>
      </c>
    </row>
    <row r="19" spans="1:18" x14ac:dyDescent="0.25">
      <c r="A19" s="66" t="s">
        <v>397</v>
      </c>
      <c r="B19" t="s">
        <v>34</v>
      </c>
      <c r="C19" t="s">
        <v>287</v>
      </c>
      <c r="D19" s="265">
        <v>37</v>
      </c>
      <c r="E19" s="265">
        <v>0</v>
      </c>
      <c r="F19" s="265">
        <v>37</v>
      </c>
      <c r="G19" s="265">
        <v>0</v>
      </c>
      <c r="H19" s="271">
        <v>0.87824999999999998</v>
      </c>
      <c r="I19" s="250">
        <v>32.5</v>
      </c>
      <c r="J19" s="265">
        <v>0</v>
      </c>
      <c r="K19" s="265">
        <v>265703</v>
      </c>
      <c r="L19" s="265">
        <v>0</v>
      </c>
      <c r="M19" s="265">
        <v>265703</v>
      </c>
      <c r="N19" s="265">
        <v>21</v>
      </c>
      <c r="O19" s="250">
        <v>419.6</v>
      </c>
      <c r="P19" s="265">
        <v>10077</v>
      </c>
      <c r="Q19" s="265">
        <v>275780</v>
      </c>
      <c r="R19" s="265">
        <v>14867</v>
      </c>
    </row>
    <row r="20" spans="1:18" x14ac:dyDescent="0.25">
      <c r="A20" s="66" t="s">
        <v>396</v>
      </c>
      <c r="B20" t="s">
        <v>181</v>
      </c>
      <c r="C20" t="s">
        <v>238</v>
      </c>
      <c r="D20" s="265">
        <v>0</v>
      </c>
      <c r="E20" s="265">
        <v>73</v>
      </c>
      <c r="F20" s="265">
        <v>73</v>
      </c>
      <c r="G20" s="265">
        <v>0</v>
      </c>
      <c r="H20" s="271">
        <v>0.315</v>
      </c>
      <c r="I20" s="250">
        <v>23</v>
      </c>
      <c r="J20" s="265">
        <v>0</v>
      </c>
      <c r="K20" s="265">
        <v>188036</v>
      </c>
      <c r="L20" s="265">
        <v>1025000</v>
      </c>
      <c r="M20" s="265">
        <v>1213036</v>
      </c>
      <c r="N20" s="265">
        <v>0</v>
      </c>
      <c r="O20" s="250">
        <v>0</v>
      </c>
      <c r="P20" s="265">
        <v>0</v>
      </c>
      <c r="Q20" s="265">
        <v>1213036</v>
      </c>
      <c r="R20" s="265">
        <v>67872</v>
      </c>
    </row>
    <row r="21" spans="1:18" x14ac:dyDescent="0.25">
      <c r="A21" s="66" t="s">
        <v>395</v>
      </c>
      <c r="B21" t="s">
        <v>35</v>
      </c>
      <c r="C21" t="s">
        <v>238</v>
      </c>
      <c r="D21" s="265">
        <v>108</v>
      </c>
      <c r="E21" s="265">
        <v>6</v>
      </c>
      <c r="F21" s="265">
        <v>114</v>
      </c>
      <c r="G21" s="265">
        <v>0</v>
      </c>
      <c r="H21" s="271">
        <v>1.7004698869999999</v>
      </c>
      <c r="I21" s="250">
        <v>193.9</v>
      </c>
      <c r="J21" s="265">
        <v>0</v>
      </c>
      <c r="K21" s="265">
        <v>1585224</v>
      </c>
      <c r="L21" s="265">
        <v>0</v>
      </c>
      <c r="M21" s="265">
        <v>1585224</v>
      </c>
      <c r="N21" s="265">
        <v>54</v>
      </c>
      <c r="O21" s="250">
        <v>3721.1</v>
      </c>
      <c r="P21" s="265">
        <v>89367</v>
      </c>
      <c r="Q21" s="265">
        <v>1674591</v>
      </c>
      <c r="R21" s="265">
        <v>88697</v>
      </c>
    </row>
    <row r="22" spans="1:18" x14ac:dyDescent="0.25">
      <c r="A22" s="66" t="s">
        <v>394</v>
      </c>
      <c r="B22" t="s">
        <v>792</v>
      </c>
      <c r="C22" t="s">
        <v>244</v>
      </c>
      <c r="D22" s="265">
        <v>26</v>
      </c>
      <c r="E22" s="265">
        <v>0</v>
      </c>
      <c r="F22" s="265">
        <v>26</v>
      </c>
      <c r="G22" s="265">
        <v>0</v>
      </c>
      <c r="H22" s="271">
        <v>1.3</v>
      </c>
      <c r="I22" s="250">
        <v>33.799999999999997</v>
      </c>
      <c r="J22" s="265">
        <v>0</v>
      </c>
      <c r="K22" s="265">
        <v>276331</v>
      </c>
      <c r="L22" s="265">
        <v>0</v>
      </c>
      <c r="M22" s="265">
        <v>276331</v>
      </c>
      <c r="N22" s="265">
        <v>9</v>
      </c>
      <c r="O22" s="250">
        <v>641.5</v>
      </c>
      <c r="P22" s="265">
        <v>15406</v>
      </c>
      <c r="Q22" s="265">
        <v>291737</v>
      </c>
      <c r="R22" s="265">
        <v>15461</v>
      </c>
    </row>
    <row r="23" spans="1:18" x14ac:dyDescent="0.25">
      <c r="A23" s="66" t="s">
        <v>393</v>
      </c>
      <c r="B23" t="s">
        <v>153</v>
      </c>
      <c r="C23" t="s">
        <v>249</v>
      </c>
      <c r="D23" s="265">
        <v>29</v>
      </c>
      <c r="E23" s="265">
        <v>7</v>
      </c>
      <c r="F23" s="265">
        <v>36</v>
      </c>
      <c r="G23" s="265">
        <v>0</v>
      </c>
      <c r="H23" s="271">
        <v>0.84150000000000003</v>
      </c>
      <c r="I23" s="250">
        <v>30.3</v>
      </c>
      <c r="J23" s="265">
        <v>0</v>
      </c>
      <c r="K23" s="265">
        <v>247717</v>
      </c>
      <c r="L23" s="265">
        <v>0</v>
      </c>
      <c r="M23" s="265">
        <v>247717</v>
      </c>
      <c r="N23" s="265">
        <v>133</v>
      </c>
      <c r="O23" s="250">
        <v>2448.5</v>
      </c>
      <c r="P23" s="265">
        <v>58804</v>
      </c>
      <c r="Q23" s="265">
        <v>306521</v>
      </c>
      <c r="R23" s="265">
        <v>13860</v>
      </c>
    </row>
    <row r="24" spans="1:18" x14ac:dyDescent="0.25">
      <c r="A24" s="66" t="s">
        <v>392</v>
      </c>
      <c r="B24" t="s">
        <v>36</v>
      </c>
      <c r="C24" t="s">
        <v>246</v>
      </c>
      <c r="D24" s="265">
        <v>120</v>
      </c>
      <c r="E24" s="265">
        <v>5</v>
      </c>
      <c r="F24" s="265">
        <v>125</v>
      </c>
      <c r="G24" s="265">
        <v>0</v>
      </c>
      <c r="H24" s="271">
        <v>1.0849394269999999</v>
      </c>
      <c r="I24" s="250">
        <v>135.6</v>
      </c>
      <c r="J24" s="265">
        <v>0</v>
      </c>
      <c r="K24" s="265">
        <v>1108594</v>
      </c>
      <c r="L24" s="265">
        <v>0</v>
      </c>
      <c r="M24" s="265">
        <v>1108594</v>
      </c>
      <c r="N24" s="265">
        <v>54</v>
      </c>
      <c r="O24" s="250">
        <v>1898.6</v>
      </c>
      <c r="P24" s="265">
        <v>45597</v>
      </c>
      <c r="Q24" s="265">
        <v>1154191</v>
      </c>
      <c r="R24" s="265">
        <v>62028</v>
      </c>
    </row>
    <row r="25" spans="1:18" x14ac:dyDescent="0.25">
      <c r="A25" s="66" t="s">
        <v>391</v>
      </c>
      <c r="B25" t="s">
        <v>37</v>
      </c>
      <c r="C25" t="s">
        <v>256</v>
      </c>
      <c r="D25" s="265">
        <v>183</v>
      </c>
      <c r="E25" s="265">
        <v>20</v>
      </c>
      <c r="F25" s="265">
        <v>203</v>
      </c>
      <c r="G25" s="265">
        <v>0</v>
      </c>
      <c r="H25" s="271">
        <v>1.6996285449999999</v>
      </c>
      <c r="I25" s="250">
        <v>345</v>
      </c>
      <c r="J25" s="265">
        <v>0</v>
      </c>
      <c r="K25" s="265">
        <v>2820538</v>
      </c>
      <c r="L25" s="265">
        <v>0</v>
      </c>
      <c r="M25" s="265">
        <v>2820538</v>
      </c>
      <c r="N25" s="265">
        <v>60</v>
      </c>
      <c r="O25" s="250">
        <v>4665</v>
      </c>
      <c r="P25" s="265">
        <v>112036</v>
      </c>
      <c r="Q25" s="265">
        <v>2932574</v>
      </c>
      <c r="R25" s="265">
        <v>157816</v>
      </c>
    </row>
    <row r="26" spans="1:18" x14ac:dyDescent="0.25">
      <c r="A26" s="66" t="s">
        <v>390</v>
      </c>
      <c r="B26" t="s">
        <v>209</v>
      </c>
      <c r="C26" t="s">
        <v>238</v>
      </c>
      <c r="D26" s="265">
        <v>11</v>
      </c>
      <c r="E26" s="265">
        <v>14</v>
      </c>
      <c r="F26" s="265">
        <v>25</v>
      </c>
      <c r="G26" s="265">
        <v>0</v>
      </c>
      <c r="H26" s="271">
        <v>0.59499999999999997</v>
      </c>
      <c r="I26" s="250">
        <v>14.9</v>
      </c>
      <c r="J26" s="265">
        <v>0</v>
      </c>
      <c r="K26" s="265">
        <v>121815</v>
      </c>
      <c r="L26" s="265">
        <v>0</v>
      </c>
      <c r="M26" s="265">
        <v>121815</v>
      </c>
      <c r="N26" s="265">
        <v>49</v>
      </c>
      <c r="O26" s="250">
        <v>438.5</v>
      </c>
      <c r="P26" s="265">
        <v>10531</v>
      </c>
      <c r="Q26" s="265">
        <v>132346</v>
      </c>
      <c r="R26" s="265">
        <v>6816</v>
      </c>
    </row>
    <row r="27" spans="1:18" x14ac:dyDescent="0.25">
      <c r="A27" s="66" t="s">
        <v>389</v>
      </c>
      <c r="B27" t="s">
        <v>38</v>
      </c>
      <c r="C27" t="s">
        <v>238</v>
      </c>
      <c r="D27" s="265">
        <v>8947</v>
      </c>
      <c r="E27" s="265">
        <v>1029</v>
      </c>
      <c r="F27" s="265">
        <v>9976</v>
      </c>
      <c r="G27" s="265">
        <v>180</v>
      </c>
      <c r="H27" s="271">
        <v>0.99769724100000001</v>
      </c>
      <c r="I27" s="250">
        <v>9953</v>
      </c>
      <c r="J27" s="265">
        <v>-741253</v>
      </c>
      <c r="K27" s="265">
        <v>80629221</v>
      </c>
      <c r="L27" s="265">
        <v>150000</v>
      </c>
      <c r="M27" s="265">
        <v>80779221</v>
      </c>
      <c r="N27" s="265">
        <v>3696</v>
      </c>
      <c r="O27" s="250">
        <v>176424.6</v>
      </c>
      <c r="P27" s="265">
        <v>4237075</v>
      </c>
      <c r="Q27" s="265">
        <v>85016296</v>
      </c>
      <c r="R27" s="265">
        <v>0</v>
      </c>
    </row>
    <row r="28" spans="1:18" x14ac:dyDescent="0.25">
      <c r="A28" s="66" t="s">
        <v>385</v>
      </c>
      <c r="B28" t="s">
        <v>39</v>
      </c>
      <c r="C28" t="s">
        <v>238</v>
      </c>
      <c r="D28" s="265">
        <v>59</v>
      </c>
      <c r="E28" s="265">
        <v>5</v>
      </c>
      <c r="F28" s="265">
        <v>64</v>
      </c>
      <c r="G28" s="265">
        <v>0</v>
      </c>
      <c r="H28" s="271">
        <v>1.596475316</v>
      </c>
      <c r="I28" s="250">
        <v>102.2</v>
      </c>
      <c r="J28" s="265">
        <v>0</v>
      </c>
      <c r="K28" s="265">
        <v>835533</v>
      </c>
      <c r="L28" s="265">
        <v>0</v>
      </c>
      <c r="M28" s="265">
        <v>835533</v>
      </c>
      <c r="N28" s="265">
        <v>22</v>
      </c>
      <c r="O28" s="250">
        <v>2346.8000000000002</v>
      </c>
      <c r="P28" s="265">
        <v>56362</v>
      </c>
      <c r="Q28" s="265">
        <v>891895</v>
      </c>
      <c r="R28" s="265">
        <v>46750</v>
      </c>
    </row>
    <row r="29" spans="1:18" x14ac:dyDescent="0.25">
      <c r="A29" s="66" t="s">
        <v>388</v>
      </c>
      <c r="B29" t="s">
        <v>40</v>
      </c>
      <c r="C29" t="s">
        <v>238</v>
      </c>
      <c r="D29" s="265">
        <v>1890</v>
      </c>
      <c r="E29" s="265">
        <v>130</v>
      </c>
      <c r="F29" s="265">
        <v>2020</v>
      </c>
      <c r="G29" s="265">
        <v>0</v>
      </c>
      <c r="H29" s="271">
        <v>0.78160214299999997</v>
      </c>
      <c r="I29" s="250">
        <v>1578.8</v>
      </c>
      <c r="J29" s="265">
        <v>0</v>
      </c>
      <c r="K29" s="265">
        <v>12907435</v>
      </c>
      <c r="L29" s="265">
        <v>0</v>
      </c>
      <c r="M29" s="265">
        <v>12907435</v>
      </c>
      <c r="N29" s="265">
        <v>947</v>
      </c>
      <c r="O29" s="250">
        <v>42539.8</v>
      </c>
      <c r="P29" s="265">
        <v>1021651</v>
      </c>
      <c r="Q29" s="265">
        <v>13929086</v>
      </c>
      <c r="R29" s="265">
        <v>722200</v>
      </c>
    </row>
    <row r="30" spans="1:18" x14ac:dyDescent="0.25">
      <c r="A30" s="66" t="s">
        <v>387</v>
      </c>
      <c r="B30" t="s">
        <v>41</v>
      </c>
      <c r="C30" t="s">
        <v>238</v>
      </c>
      <c r="D30" s="265">
        <v>1462</v>
      </c>
      <c r="E30" s="265">
        <v>72</v>
      </c>
      <c r="F30" s="265">
        <v>1534</v>
      </c>
      <c r="G30" s="265">
        <v>0</v>
      </c>
      <c r="H30" s="271">
        <v>3.7284276730000001</v>
      </c>
      <c r="I30" s="250">
        <v>5719.4</v>
      </c>
      <c r="J30" s="265">
        <v>0</v>
      </c>
      <c r="K30" s="265">
        <v>46758795</v>
      </c>
      <c r="L30" s="265">
        <v>0</v>
      </c>
      <c r="M30" s="265">
        <v>46758795</v>
      </c>
      <c r="N30" s="265">
        <v>382</v>
      </c>
      <c r="O30" s="250">
        <v>21057</v>
      </c>
      <c r="P30" s="265">
        <v>505712</v>
      </c>
      <c r="Q30" s="265">
        <v>47264507</v>
      </c>
      <c r="R30" s="265">
        <v>2616261</v>
      </c>
    </row>
    <row r="31" spans="1:18" x14ac:dyDescent="0.25">
      <c r="A31" s="66" t="s">
        <v>386</v>
      </c>
      <c r="B31" t="s">
        <v>42</v>
      </c>
      <c r="C31" t="s">
        <v>334</v>
      </c>
      <c r="D31" s="265">
        <v>310</v>
      </c>
      <c r="E31" s="265">
        <v>10</v>
      </c>
      <c r="F31" s="265">
        <v>320</v>
      </c>
      <c r="G31" s="265">
        <v>0</v>
      </c>
      <c r="H31" s="271">
        <v>1.6106184429999999</v>
      </c>
      <c r="I31" s="250">
        <v>515.4</v>
      </c>
      <c r="J31" s="265">
        <v>0</v>
      </c>
      <c r="K31" s="265">
        <v>4213638</v>
      </c>
      <c r="L31" s="265">
        <v>0</v>
      </c>
      <c r="M31" s="265">
        <v>4213638</v>
      </c>
      <c r="N31" s="265">
        <v>123</v>
      </c>
      <c r="O31" s="250">
        <v>10683.4</v>
      </c>
      <c r="P31" s="265">
        <v>256576</v>
      </c>
      <c r="Q31" s="265">
        <v>4470214</v>
      </c>
      <c r="R31" s="265">
        <v>235763</v>
      </c>
    </row>
    <row r="32" spans="1:18" x14ac:dyDescent="0.25">
      <c r="A32" s="66" t="s">
        <v>383</v>
      </c>
      <c r="B32" t="s">
        <v>43</v>
      </c>
      <c r="C32" t="s">
        <v>238</v>
      </c>
      <c r="D32" s="265">
        <v>3141</v>
      </c>
      <c r="E32" s="265">
        <v>320</v>
      </c>
      <c r="F32" s="265">
        <v>3461</v>
      </c>
      <c r="G32" s="265">
        <v>110</v>
      </c>
      <c r="H32" s="271">
        <v>1.0212641440000001</v>
      </c>
      <c r="I32" s="250">
        <v>3534.6</v>
      </c>
      <c r="J32" s="265">
        <v>0</v>
      </c>
      <c r="K32" s="265">
        <v>28897024</v>
      </c>
      <c r="L32" s="265">
        <v>0</v>
      </c>
      <c r="M32" s="265">
        <v>28897024</v>
      </c>
      <c r="N32" s="265">
        <v>1478</v>
      </c>
      <c r="O32" s="250">
        <v>74667.7</v>
      </c>
      <c r="P32" s="265">
        <v>1793246</v>
      </c>
      <c r="Q32" s="265">
        <v>30690270</v>
      </c>
      <c r="R32" s="265">
        <v>1616854</v>
      </c>
    </row>
    <row r="33" spans="1:18" x14ac:dyDescent="0.25">
      <c r="A33" s="66" t="s">
        <v>382</v>
      </c>
      <c r="B33" t="s">
        <v>44</v>
      </c>
      <c r="C33" t="s">
        <v>334</v>
      </c>
      <c r="D33" s="265">
        <v>456</v>
      </c>
      <c r="E33" s="265">
        <v>45</v>
      </c>
      <c r="F33" s="265">
        <v>501</v>
      </c>
      <c r="G33" s="265">
        <v>0</v>
      </c>
      <c r="H33" s="271">
        <v>1.305823827</v>
      </c>
      <c r="I33" s="250">
        <v>654.20000000000005</v>
      </c>
      <c r="J33" s="265">
        <v>0</v>
      </c>
      <c r="K33" s="265">
        <v>5348394</v>
      </c>
      <c r="L33" s="265">
        <v>0</v>
      </c>
      <c r="M33" s="265">
        <v>5348394</v>
      </c>
      <c r="N33" s="265">
        <v>252</v>
      </c>
      <c r="O33" s="250">
        <v>11252.6</v>
      </c>
      <c r="P33" s="265">
        <v>270246</v>
      </c>
      <c r="Q33" s="265">
        <v>5618640</v>
      </c>
      <c r="R33" s="265">
        <v>299255</v>
      </c>
    </row>
    <row r="34" spans="1:18" x14ac:dyDescent="0.25">
      <c r="A34" s="66" t="s">
        <v>381</v>
      </c>
      <c r="B34" t="s">
        <v>45</v>
      </c>
      <c r="C34" t="s">
        <v>238</v>
      </c>
      <c r="D34" s="265">
        <v>893</v>
      </c>
      <c r="E34" s="265">
        <v>16</v>
      </c>
      <c r="F34" s="265">
        <v>909</v>
      </c>
      <c r="G34" s="265">
        <v>0</v>
      </c>
      <c r="H34" s="271">
        <v>3.6423178539999999</v>
      </c>
      <c r="I34" s="250">
        <v>3310.9</v>
      </c>
      <c r="J34" s="265">
        <v>0</v>
      </c>
      <c r="K34" s="265">
        <v>27068171</v>
      </c>
      <c r="L34" s="265">
        <v>0</v>
      </c>
      <c r="M34" s="265">
        <v>27068171</v>
      </c>
      <c r="N34" s="265">
        <v>215</v>
      </c>
      <c r="O34" s="250">
        <v>12449.6</v>
      </c>
      <c r="P34" s="265">
        <v>298994</v>
      </c>
      <c r="Q34" s="265">
        <v>27367165</v>
      </c>
      <c r="R34" s="265">
        <v>1514526</v>
      </c>
    </row>
    <row r="35" spans="1:18" x14ac:dyDescent="0.25">
      <c r="A35" s="66" t="s">
        <v>380</v>
      </c>
      <c r="B35" t="s">
        <v>46</v>
      </c>
      <c r="C35" t="s">
        <v>272</v>
      </c>
      <c r="D35" s="265">
        <v>36</v>
      </c>
      <c r="E35" s="265">
        <v>2</v>
      </c>
      <c r="F35" s="265">
        <v>38</v>
      </c>
      <c r="G35" s="265">
        <v>0</v>
      </c>
      <c r="H35" s="271">
        <v>1.219121202</v>
      </c>
      <c r="I35" s="250">
        <v>46.3</v>
      </c>
      <c r="J35" s="265">
        <v>0</v>
      </c>
      <c r="K35" s="265">
        <v>378524</v>
      </c>
      <c r="L35" s="265">
        <v>0</v>
      </c>
      <c r="M35" s="265">
        <v>378524</v>
      </c>
      <c r="N35" s="265">
        <v>17</v>
      </c>
      <c r="O35" s="250">
        <v>737.7</v>
      </c>
      <c r="P35" s="265">
        <v>17717</v>
      </c>
      <c r="Q35" s="265">
        <v>396241</v>
      </c>
      <c r="R35" s="265">
        <v>21179</v>
      </c>
    </row>
    <row r="36" spans="1:18" x14ac:dyDescent="0.25">
      <c r="A36" s="66" t="s">
        <v>379</v>
      </c>
      <c r="B36" t="s">
        <v>47</v>
      </c>
      <c r="C36" t="s">
        <v>272</v>
      </c>
      <c r="D36" s="265">
        <v>1361</v>
      </c>
      <c r="E36" s="265">
        <v>114</v>
      </c>
      <c r="F36" s="265">
        <v>1475</v>
      </c>
      <c r="G36" s="265">
        <v>80</v>
      </c>
      <c r="H36" s="271">
        <v>1.051441493</v>
      </c>
      <c r="I36" s="250">
        <v>1550.9</v>
      </c>
      <c r="J36" s="265">
        <v>-115504</v>
      </c>
      <c r="K36" s="265">
        <v>12563836</v>
      </c>
      <c r="L36" s="265">
        <v>0</v>
      </c>
      <c r="M36" s="265">
        <v>12563836</v>
      </c>
      <c r="N36" s="265">
        <v>767</v>
      </c>
      <c r="O36" s="250">
        <v>33313.1</v>
      </c>
      <c r="P36" s="265">
        <v>800059</v>
      </c>
      <c r="Q36" s="265">
        <v>13363895</v>
      </c>
      <c r="R36" s="265">
        <v>0</v>
      </c>
    </row>
    <row r="37" spans="1:18" x14ac:dyDescent="0.25">
      <c r="A37" s="66" t="s">
        <v>378</v>
      </c>
      <c r="B37" t="s">
        <v>48</v>
      </c>
      <c r="C37" t="s">
        <v>317</v>
      </c>
      <c r="D37" s="265">
        <v>64</v>
      </c>
      <c r="E37" s="265">
        <v>11</v>
      </c>
      <c r="F37" s="265">
        <v>75</v>
      </c>
      <c r="G37" s="265">
        <v>0</v>
      </c>
      <c r="H37" s="271">
        <v>0.75911176499999999</v>
      </c>
      <c r="I37" s="250">
        <v>56.9</v>
      </c>
      <c r="J37" s="265">
        <v>0</v>
      </c>
      <c r="K37" s="265">
        <v>465184</v>
      </c>
      <c r="L37" s="265">
        <v>0</v>
      </c>
      <c r="M37" s="265">
        <v>465184</v>
      </c>
      <c r="N37" s="265">
        <v>41</v>
      </c>
      <c r="O37" s="250">
        <v>823.3</v>
      </c>
      <c r="P37" s="265">
        <v>19773</v>
      </c>
      <c r="Q37" s="265">
        <v>484957</v>
      </c>
      <c r="R37" s="265">
        <v>26028</v>
      </c>
    </row>
    <row r="38" spans="1:18" x14ac:dyDescent="0.25">
      <c r="A38" s="66" t="s">
        <v>375</v>
      </c>
      <c r="B38" t="s">
        <v>49</v>
      </c>
      <c r="C38" t="s">
        <v>317</v>
      </c>
      <c r="D38" s="265">
        <v>68</v>
      </c>
      <c r="E38" s="265">
        <v>0</v>
      </c>
      <c r="F38" s="265">
        <v>68</v>
      </c>
      <c r="G38" s="265">
        <v>0</v>
      </c>
      <c r="H38" s="271">
        <v>1.59</v>
      </c>
      <c r="I38" s="250">
        <v>108.1</v>
      </c>
      <c r="J38" s="265">
        <v>-8051</v>
      </c>
      <c r="K38" s="265">
        <v>875718</v>
      </c>
      <c r="L38" s="265">
        <v>0</v>
      </c>
      <c r="M38" s="265">
        <v>875718</v>
      </c>
      <c r="N38" s="265">
        <v>29</v>
      </c>
      <c r="O38" s="250">
        <v>2718.9</v>
      </c>
      <c r="P38" s="265">
        <v>65298</v>
      </c>
      <c r="Q38" s="265">
        <v>941016</v>
      </c>
      <c r="R38" s="265">
        <v>0</v>
      </c>
    </row>
    <row r="39" spans="1:18" x14ac:dyDescent="0.25">
      <c r="A39" s="66" t="s">
        <v>374</v>
      </c>
      <c r="B39" t="s">
        <v>50</v>
      </c>
      <c r="C39" t="s">
        <v>246</v>
      </c>
      <c r="D39" s="265">
        <v>3008</v>
      </c>
      <c r="E39" s="265">
        <v>30</v>
      </c>
      <c r="F39" s="265">
        <v>3038</v>
      </c>
      <c r="G39" s="265">
        <v>30</v>
      </c>
      <c r="H39" s="271">
        <v>1.097288257</v>
      </c>
      <c r="I39" s="250">
        <v>3333.6</v>
      </c>
      <c r="J39" s="265">
        <v>-248271</v>
      </c>
      <c r="K39" s="265">
        <v>27005483</v>
      </c>
      <c r="L39" s="265">
        <v>0</v>
      </c>
      <c r="M39" s="265">
        <v>27005483</v>
      </c>
      <c r="N39" s="265">
        <v>1214</v>
      </c>
      <c r="O39" s="250">
        <v>58597.3</v>
      </c>
      <c r="P39" s="265">
        <v>1407293</v>
      </c>
      <c r="Q39" s="265">
        <v>28412776</v>
      </c>
      <c r="R39" s="265">
        <v>0</v>
      </c>
    </row>
    <row r="40" spans="1:18" x14ac:dyDescent="0.25">
      <c r="A40" s="66" t="s">
        <v>373</v>
      </c>
      <c r="B40" t="s">
        <v>51</v>
      </c>
      <c r="C40" t="s">
        <v>238</v>
      </c>
      <c r="D40" s="265">
        <v>136</v>
      </c>
      <c r="E40" s="265">
        <v>7</v>
      </c>
      <c r="F40" s="265">
        <v>143</v>
      </c>
      <c r="G40" s="265">
        <v>0</v>
      </c>
      <c r="H40" s="271">
        <v>0.48760395499999998</v>
      </c>
      <c r="I40" s="250">
        <v>69.7</v>
      </c>
      <c r="J40" s="265">
        <v>0</v>
      </c>
      <c r="K40" s="265">
        <v>569830</v>
      </c>
      <c r="L40" s="265">
        <v>200000</v>
      </c>
      <c r="M40" s="265">
        <v>769830</v>
      </c>
      <c r="N40" s="265">
        <v>97</v>
      </c>
      <c r="O40" s="250">
        <v>1184.7</v>
      </c>
      <c r="P40" s="265">
        <v>28452</v>
      </c>
      <c r="Q40" s="265">
        <v>798282</v>
      </c>
      <c r="R40" s="265">
        <v>43074</v>
      </c>
    </row>
    <row r="41" spans="1:18" x14ac:dyDescent="0.25">
      <c r="A41" s="66" t="s">
        <v>372</v>
      </c>
      <c r="B41" t="s">
        <v>52</v>
      </c>
      <c r="C41" t="s">
        <v>240</v>
      </c>
      <c r="D41" s="265">
        <v>6525</v>
      </c>
      <c r="E41" s="265">
        <v>523</v>
      </c>
      <c r="F41" s="265">
        <v>7048</v>
      </c>
      <c r="G41" s="265">
        <v>444</v>
      </c>
      <c r="H41" s="271">
        <v>1.0539532039999999</v>
      </c>
      <c r="I41" s="250">
        <v>7428.3</v>
      </c>
      <c r="J41" s="265">
        <v>-553225</v>
      </c>
      <c r="K41" s="265">
        <v>60176634</v>
      </c>
      <c r="L41" s="265">
        <v>0</v>
      </c>
      <c r="M41" s="265">
        <v>60176634</v>
      </c>
      <c r="N41" s="265">
        <v>3162</v>
      </c>
      <c r="O41" s="250">
        <v>150979.6</v>
      </c>
      <c r="P41" s="265">
        <v>3625979</v>
      </c>
      <c r="Q41" s="265">
        <v>63802613</v>
      </c>
      <c r="R41" s="265">
        <v>0</v>
      </c>
    </row>
    <row r="42" spans="1:18" x14ac:dyDescent="0.25">
      <c r="A42" s="66" t="s">
        <v>377</v>
      </c>
      <c r="B42" t="s">
        <v>53</v>
      </c>
      <c r="C42" t="s">
        <v>240</v>
      </c>
      <c r="D42" s="265">
        <v>166</v>
      </c>
      <c r="E42" s="265">
        <v>14</v>
      </c>
      <c r="F42" s="265">
        <v>180</v>
      </c>
      <c r="G42" s="265">
        <v>0</v>
      </c>
      <c r="H42" s="271">
        <v>1.0274888929999999</v>
      </c>
      <c r="I42" s="250">
        <v>184.9</v>
      </c>
      <c r="J42" s="265">
        <v>0</v>
      </c>
      <c r="K42" s="265">
        <v>1511645</v>
      </c>
      <c r="L42" s="265">
        <v>0</v>
      </c>
      <c r="M42" s="265">
        <v>1511645</v>
      </c>
      <c r="N42" s="265">
        <v>72</v>
      </c>
      <c r="O42" s="250">
        <v>2573.1999999999998</v>
      </c>
      <c r="P42" s="265">
        <v>61799</v>
      </c>
      <c r="Q42" s="265">
        <v>1573444</v>
      </c>
      <c r="R42" s="265">
        <v>84580</v>
      </c>
    </row>
    <row r="43" spans="1:18" x14ac:dyDescent="0.25">
      <c r="A43" s="66" t="s">
        <v>376</v>
      </c>
      <c r="B43" t="s">
        <v>54</v>
      </c>
      <c r="C43" t="s">
        <v>240</v>
      </c>
      <c r="D43" s="265">
        <v>118</v>
      </c>
      <c r="E43" s="265">
        <v>5</v>
      </c>
      <c r="F43" s="265">
        <v>123</v>
      </c>
      <c r="G43" s="265">
        <v>0</v>
      </c>
      <c r="H43" s="271">
        <v>1.090759837</v>
      </c>
      <c r="I43" s="250">
        <v>134.19999999999999</v>
      </c>
      <c r="J43" s="265">
        <v>0</v>
      </c>
      <c r="K43" s="265">
        <v>1097148</v>
      </c>
      <c r="L43" s="265">
        <v>0</v>
      </c>
      <c r="M43" s="265">
        <v>1097148</v>
      </c>
      <c r="N43" s="265">
        <v>34</v>
      </c>
      <c r="O43" s="250">
        <v>2263.1</v>
      </c>
      <c r="P43" s="265">
        <v>54351</v>
      </c>
      <c r="Q43" s="265">
        <v>1151499</v>
      </c>
      <c r="R43" s="265">
        <v>61388</v>
      </c>
    </row>
    <row r="44" spans="1:18" x14ac:dyDescent="0.25">
      <c r="A44" s="66" t="s">
        <v>371</v>
      </c>
      <c r="B44" t="s">
        <v>55</v>
      </c>
      <c r="C44" t="s">
        <v>271</v>
      </c>
      <c r="D44" s="265">
        <v>555</v>
      </c>
      <c r="E44" s="265">
        <v>15</v>
      </c>
      <c r="F44" s="265">
        <v>570</v>
      </c>
      <c r="G44" s="265">
        <v>10</v>
      </c>
      <c r="H44" s="271">
        <v>1.04740543</v>
      </c>
      <c r="I44" s="250">
        <v>597</v>
      </c>
      <c r="J44" s="265">
        <v>-44462</v>
      </c>
      <c r="K44" s="265">
        <v>4836295</v>
      </c>
      <c r="L44" s="265">
        <v>0</v>
      </c>
      <c r="M44" s="265">
        <v>4836295</v>
      </c>
      <c r="N44" s="265">
        <v>225</v>
      </c>
      <c r="O44" s="250">
        <v>10124.9</v>
      </c>
      <c r="P44" s="265">
        <v>243163</v>
      </c>
      <c r="Q44" s="265">
        <v>5079458</v>
      </c>
      <c r="R44" s="265">
        <v>0</v>
      </c>
    </row>
    <row r="45" spans="1:18" x14ac:dyDescent="0.25">
      <c r="A45" s="66" t="s">
        <v>370</v>
      </c>
      <c r="B45" t="s">
        <v>56</v>
      </c>
      <c r="C45" t="s">
        <v>248</v>
      </c>
      <c r="D45" s="265">
        <v>2561</v>
      </c>
      <c r="E45" s="265">
        <v>173</v>
      </c>
      <c r="F45" s="265">
        <v>2734</v>
      </c>
      <c r="G45" s="265">
        <v>113</v>
      </c>
      <c r="H45" s="271">
        <v>1.0753892839999999</v>
      </c>
      <c r="I45" s="250">
        <v>2940.1</v>
      </c>
      <c r="J45" s="265">
        <v>-218965</v>
      </c>
      <c r="K45" s="265">
        <v>23817741</v>
      </c>
      <c r="L45" s="265">
        <v>0</v>
      </c>
      <c r="M45" s="265">
        <v>23817741</v>
      </c>
      <c r="N45" s="265">
        <v>1322</v>
      </c>
      <c r="O45" s="250">
        <v>63037.5</v>
      </c>
      <c r="P45" s="265">
        <v>1513931</v>
      </c>
      <c r="Q45" s="265">
        <v>25331672</v>
      </c>
      <c r="R45" s="265">
        <v>0</v>
      </c>
    </row>
    <row r="46" spans="1:18" x14ac:dyDescent="0.25">
      <c r="A46" s="66" t="s">
        <v>369</v>
      </c>
      <c r="B46" t="s">
        <v>210</v>
      </c>
      <c r="C46" t="s">
        <v>246</v>
      </c>
      <c r="D46" s="265">
        <v>89</v>
      </c>
      <c r="E46" s="265">
        <v>9</v>
      </c>
      <c r="F46" s="265">
        <v>98</v>
      </c>
      <c r="G46" s="265">
        <v>0</v>
      </c>
      <c r="H46" s="271">
        <v>1.070298929</v>
      </c>
      <c r="I46" s="250">
        <v>104.9</v>
      </c>
      <c r="J46" s="265">
        <v>0</v>
      </c>
      <c r="K46" s="265">
        <v>857607</v>
      </c>
      <c r="L46" s="265">
        <v>0</v>
      </c>
      <c r="M46" s="265">
        <v>857607</v>
      </c>
      <c r="N46" s="265">
        <v>50</v>
      </c>
      <c r="O46" s="250">
        <v>1789.1</v>
      </c>
      <c r="P46" s="265">
        <v>42968</v>
      </c>
      <c r="Q46" s="265">
        <v>900575</v>
      </c>
      <c r="R46" s="265">
        <v>47985</v>
      </c>
    </row>
    <row r="47" spans="1:18" x14ac:dyDescent="0.25">
      <c r="A47" s="66" t="s">
        <v>368</v>
      </c>
      <c r="B47" t="s">
        <v>58</v>
      </c>
      <c r="C47" t="s">
        <v>238</v>
      </c>
      <c r="D47" s="265">
        <v>85</v>
      </c>
      <c r="E47" s="265">
        <v>5</v>
      </c>
      <c r="F47" s="265">
        <v>90</v>
      </c>
      <c r="G47" s="265">
        <v>0</v>
      </c>
      <c r="H47" s="271">
        <v>1.179555967</v>
      </c>
      <c r="I47" s="250">
        <v>106.2</v>
      </c>
      <c r="J47" s="265">
        <v>0</v>
      </c>
      <c r="K47" s="265">
        <v>868235</v>
      </c>
      <c r="L47" s="265">
        <v>0</v>
      </c>
      <c r="M47" s="265">
        <v>868235</v>
      </c>
      <c r="N47" s="265">
        <v>47</v>
      </c>
      <c r="O47" s="250">
        <v>2316.6</v>
      </c>
      <c r="P47" s="265">
        <v>55636</v>
      </c>
      <c r="Q47" s="265">
        <v>923871</v>
      </c>
      <c r="R47" s="265">
        <v>48580</v>
      </c>
    </row>
    <row r="48" spans="1:18" x14ac:dyDescent="0.25">
      <c r="A48" s="66" t="s">
        <v>367</v>
      </c>
      <c r="B48" t="s">
        <v>59</v>
      </c>
      <c r="C48" t="s">
        <v>238</v>
      </c>
      <c r="D48" s="265">
        <v>63</v>
      </c>
      <c r="E48" s="265">
        <v>0</v>
      </c>
      <c r="F48" s="265">
        <v>63</v>
      </c>
      <c r="G48" s="265">
        <v>0</v>
      </c>
      <c r="H48" s="271">
        <v>0.97451005000000002</v>
      </c>
      <c r="I48" s="250">
        <v>61.4</v>
      </c>
      <c r="J48" s="265">
        <v>0</v>
      </c>
      <c r="K48" s="265">
        <v>501974</v>
      </c>
      <c r="L48" s="265">
        <v>0</v>
      </c>
      <c r="M48" s="265">
        <v>501974</v>
      </c>
      <c r="N48" s="265">
        <v>13</v>
      </c>
      <c r="O48" s="250">
        <v>212.5</v>
      </c>
      <c r="P48" s="265">
        <v>5103</v>
      </c>
      <c r="Q48" s="265">
        <v>507077</v>
      </c>
      <c r="R48" s="265">
        <v>28087</v>
      </c>
    </row>
    <row r="49" spans="1:18" x14ac:dyDescent="0.25">
      <c r="A49" s="66" t="s">
        <v>366</v>
      </c>
      <c r="B49" t="s">
        <v>60</v>
      </c>
      <c r="C49" t="s">
        <v>240</v>
      </c>
      <c r="D49" s="265">
        <v>23</v>
      </c>
      <c r="E49" s="265">
        <v>0</v>
      </c>
      <c r="F49" s="265">
        <v>23</v>
      </c>
      <c r="G49" s="265">
        <v>0</v>
      </c>
      <c r="H49" s="271">
        <v>0.80139253600000004</v>
      </c>
      <c r="I49" s="250">
        <v>18.399999999999999</v>
      </c>
      <c r="J49" s="265">
        <v>0</v>
      </c>
      <c r="K49" s="265">
        <v>150429</v>
      </c>
      <c r="L49" s="265">
        <v>0</v>
      </c>
      <c r="M49" s="265">
        <v>150429</v>
      </c>
      <c r="N49" s="265">
        <v>9</v>
      </c>
      <c r="O49" s="250">
        <v>160.4</v>
      </c>
      <c r="P49" s="265">
        <v>3852</v>
      </c>
      <c r="Q49" s="265">
        <v>154281</v>
      </c>
      <c r="R49" s="265">
        <v>8417</v>
      </c>
    </row>
    <row r="50" spans="1:18" x14ac:dyDescent="0.25">
      <c r="A50" s="66" t="s">
        <v>365</v>
      </c>
      <c r="B50" t="s">
        <v>61</v>
      </c>
      <c r="C50" t="s">
        <v>238</v>
      </c>
      <c r="D50" s="265">
        <v>664</v>
      </c>
      <c r="E50" s="265">
        <v>95</v>
      </c>
      <c r="F50" s="265">
        <v>759</v>
      </c>
      <c r="G50" s="265">
        <v>0</v>
      </c>
      <c r="H50" s="271">
        <v>0.72341920199999998</v>
      </c>
      <c r="I50" s="250">
        <v>549.1</v>
      </c>
      <c r="J50" s="265">
        <v>0</v>
      </c>
      <c r="K50" s="265">
        <v>4489152</v>
      </c>
      <c r="L50" s="265">
        <v>0</v>
      </c>
      <c r="M50" s="265">
        <v>4489152</v>
      </c>
      <c r="N50" s="265">
        <v>306</v>
      </c>
      <c r="O50" s="250">
        <v>13910.4</v>
      </c>
      <c r="P50" s="265">
        <v>334077</v>
      </c>
      <c r="Q50" s="265">
        <v>4823229</v>
      </c>
      <c r="R50" s="265">
        <v>251178</v>
      </c>
    </row>
    <row r="51" spans="1:18" x14ac:dyDescent="0.25">
      <c r="A51" s="66" t="s">
        <v>364</v>
      </c>
      <c r="B51" t="s">
        <v>62</v>
      </c>
      <c r="C51" t="s">
        <v>346</v>
      </c>
      <c r="D51" s="265">
        <v>69</v>
      </c>
      <c r="E51" s="265">
        <v>0</v>
      </c>
      <c r="F51" s="265">
        <v>69</v>
      </c>
      <c r="G51" s="265">
        <v>0</v>
      </c>
      <c r="H51" s="271">
        <v>1.0669123869999999</v>
      </c>
      <c r="I51" s="250">
        <v>73.599999999999994</v>
      </c>
      <c r="J51" s="265">
        <v>0</v>
      </c>
      <c r="K51" s="265">
        <v>601715</v>
      </c>
      <c r="L51" s="265">
        <v>0</v>
      </c>
      <c r="M51" s="265">
        <v>601715</v>
      </c>
      <c r="N51" s="265">
        <v>55</v>
      </c>
      <c r="O51" s="250">
        <v>2159.8000000000002</v>
      </c>
      <c r="P51" s="265">
        <v>51871</v>
      </c>
      <c r="Q51" s="265">
        <v>653586</v>
      </c>
      <c r="R51" s="265">
        <v>33667</v>
      </c>
    </row>
    <row r="52" spans="1:18" x14ac:dyDescent="0.25">
      <c r="A52" s="66" t="s">
        <v>363</v>
      </c>
      <c r="B52" t="s">
        <v>63</v>
      </c>
      <c r="C52" t="s">
        <v>238</v>
      </c>
      <c r="D52" s="265">
        <v>83</v>
      </c>
      <c r="E52" s="265">
        <v>5</v>
      </c>
      <c r="F52" s="265">
        <v>88</v>
      </c>
      <c r="G52" s="265">
        <v>0</v>
      </c>
      <c r="H52" s="271">
        <v>0.93090634400000005</v>
      </c>
      <c r="I52" s="250">
        <v>81.900000000000006</v>
      </c>
      <c r="J52" s="265">
        <v>0</v>
      </c>
      <c r="K52" s="265">
        <v>669571</v>
      </c>
      <c r="L52" s="265">
        <v>60000</v>
      </c>
      <c r="M52" s="265">
        <v>729571</v>
      </c>
      <c r="N52" s="265">
        <v>29</v>
      </c>
      <c r="O52" s="250">
        <v>1318.7</v>
      </c>
      <c r="P52" s="265">
        <v>31670</v>
      </c>
      <c r="Q52" s="265">
        <v>761241</v>
      </c>
      <c r="R52" s="265">
        <v>40821</v>
      </c>
    </row>
    <row r="53" spans="1:18" x14ac:dyDescent="0.25">
      <c r="A53" s="66" t="s">
        <v>362</v>
      </c>
      <c r="B53" t="s">
        <v>64</v>
      </c>
      <c r="C53" t="s">
        <v>296</v>
      </c>
      <c r="D53" s="265">
        <v>2434</v>
      </c>
      <c r="E53" s="265">
        <v>260</v>
      </c>
      <c r="F53" s="265">
        <v>2694</v>
      </c>
      <c r="G53" s="265">
        <v>166</v>
      </c>
      <c r="H53" s="271">
        <v>1.0253113650000001</v>
      </c>
      <c r="I53" s="250">
        <v>2762.2</v>
      </c>
      <c r="J53" s="265">
        <v>-205716</v>
      </c>
      <c r="K53" s="265">
        <v>22376573</v>
      </c>
      <c r="L53" s="265">
        <v>0</v>
      </c>
      <c r="M53" s="265">
        <v>22376573</v>
      </c>
      <c r="N53" s="265">
        <v>954</v>
      </c>
      <c r="O53" s="250">
        <v>49317.7</v>
      </c>
      <c r="P53" s="265">
        <v>1184431</v>
      </c>
      <c r="Q53" s="265">
        <v>23561004</v>
      </c>
      <c r="R53" s="265">
        <v>0</v>
      </c>
    </row>
    <row r="54" spans="1:18" x14ac:dyDescent="0.25">
      <c r="A54" s="66" t="s">
        <v>348</v>
      </c>
      <c r="B54" t="s">
        <v>65</v>
      </c>
      <c r="C54" t="s">
        <v>346</v>
      </c>
      <c r="D54" s="265">
        <v>43</v>
      </c>
      <c r="E54" s="265">
        <v>5</v>
      </c>
      <c r="F54" s="265">
        <v>48</v>
      </c>
      <c r="G54" s="265">
        <v>0</v>
      </c>
      <c r="H54" s="271">
        <v>1.59</v>
      </c>
      <c r="I54" s="250">
        <v>76.3</v>
      </c>
      <c r="J54" s="265">
        <v>0</v>
      </c>
      <c r="K54" s="265">
        <v>623789</v>
      </c>
      <c r="L54" s="265">
        <v>0</v>
      </c>
      <c r="M54" s="265">
        <v>623789</v>
      </c>
      <c r="N54" s="265">
        <v>16</v>
      </c>
      <c r="O54" s="250">
        <v>1488.2</v>
      </c>
      <c r="P54" s="265">
        <v>35741</v>
      </c>
      <c r="Q54" s="265">
        <v>659530</v>
      </c>
      <c r="R54" s="265">
        <v>34902</v>
      </c>
    </row>
    <row r="55" spans="1:18" x14ac:dyDescent="0.25">
      <c r="A55" s="66" t="s">
        <v>347</v>
      </c>
      <c r="B55" t="s">
        <v>66</v>
      </c>
      <c r="C55" t="s">
        <v>346</v>
      </c>
      <c r="D55" s="265">
        <v>2572</v>
      </c>
      <c r="E55" s="265">
        <v>161</v>
      </c>
      <c r="F55" s="265">
        <v>2733</v>
      </c>
      <c r="G55" s="265">
        <v>108</v>
      </c>
      <c r="H55" s="271">
        <v>1.107106728</v>
      </c>
      <c r="I55" s="250">
        <v>3025.7</v>
      </c>
      <c r="J55" s="265">
        <v>-225340</v>
      </c>
      <c r="K55" s="265">
        <v>24511186</v>
      </c>
      <c r="L55" s="265">
        <v>400000</v>
      </c>
      <c r="M55" s="265">
        <v>24911186</v>
      </c>
      <c r="N55" s="265">
        <v>1308</v>
      </c>
      <c r="O55" s="250">
        <v>63851</v>
      </c>
      <c r="P55" s="265">
        <v>1533468</v>
      </c>
      <c r="Q55" s="265">
        <v>26444654</v>
      </c>
      <c r="R55" s="265">
        <v>0</v>
      </c>
    </row>
    <row r="56" spans="1:18" x14ac:dyDescent="0.25">
      <c r="A56" s="66" t="s">
        <v>341</v>
      </c>
      <c r="B56" t="s">
        <v>67</v>
      </c>
      <c r="C56" t="s">
        <v>238</v>
      </c>
      <c r="D56" s="265">
        <v>5059</v>
      </c>
      <c r="E56" s="265">
        <v>721</v>
      </c>
      <c r="F56" s="265">
        <v>5780</v>
      </c>
      <c r="G56" s="265">
        <v>170</v>
      </c>
      <c r="H56" s="271">
        <v>1.0259115350000001</v>
      </c>
      <c r="I56" s="250">
        <v>5929.8</v>
      </c>
      <c r="J56" s="265">
        <v>-441624</v>
      </c>
      <c r="K56" s="265">
        <v>48037291</v>
      </c>
      <c r="L56" s="265">
        <v>0</v>
      </c>
      <c r="M56" s="265">
        <v>48037291</v>
      </c>
      <c r="N56" s="265">
        <v>1795</v>
      </c>
      <c r="O56" s="250">
        <v>92245.4</v>
      </c>
      <c r="P56" s="265">
        <v>2215398</v>
      </c>
      <c r="Q56" s="265">
        <v>50252689</v>
      </c>
      <c r="R56" s="265">
        <v>0</v>
      </c>
    </row>
    <row r="57" spans="1:18" x14ac:dyDescent="0.25">
      <c r="A57" s="66" t="s">
        <v>361</v>
      </c>
      <c r="B57" t="s">
        <v>68</v>
      </c>
      <c r="C57" t="s">
        <v>238</v>
      </c>
      <c r="D57" s="265">
        <v>332</v>
      </c>
      <c r="E57" s="265">
        <v>13</v>
      </c>
      <c r="F57" s="265">
        <v>345</v>
      </c>
      <c r="G57" s="265">
        <v>0</v>
      </c>
      <c r="H57" s="271">
        <v>0.62193357500000002</v>
      </c>
      <c r="I57" s="250">
        <v>214.6</v>
      </c>
      <c r="J57" s="265">
        <v>0</v>
      </c>
      <c r="K57" s="265">
        <v>1754456</v>
      </c>
      <c r="L57" s="265">
        <v>300000</v>
      </c>
      <c r="M57" s="265">
        <v>2054456</v>
      </c>
      <c r="N57" s="265">
        <v>55</v>
      </c>
      <c r="O57" s="250">
        <v>529.20000000000005</v>
      </c>
      <c r="P57" s="265">
        <v>12709</v>
      </c>
      <c r="Q57" s="265">
        <v>2067165</v>
      </c>
      <c r="R57" s="265">
        <v>114952</v>
      </c>
    </row>
    <row r="58" spans="1:18" x14ac:dyDescent="0.25">
      <c r="A58" s="66" t="s">
        <v>360</v>
      </c>
      <c r="B58" t="s">
        <v>69</v>
      </c>
      <c r="C58" t="s">
        <v>334</v>
      </c>
      <c r="D58" s="265">
        <v>582</v>
      </c>
      <c r="E58" s="265">
        <v>50</v>
      </c>
      <c r="F58" s="265">
        <v>632</v>
      </c>
      <c r="G58" s="265">
        <v>0</v>
      </c>
      <c r="H58" s="271">
        <v>3.6447658349999998</v>
      </c>
      <c r="I58" s="250">
        <v>2303.5</v>
      </c>
      <c r="J58" s="265">
        <v>0</v>
      </c>
      <c r="K58" s="265">
        <v>18832200</v>
      </c>
      <c r="L58" s="265">
        <v>0</v>
      </c>
      <c r="M58" s="265">
        <v>18832200</v>
      </c>
      <c r="N58" s="265">
        <v>194</v>
      </c>
      <c r="O58" s="250">
        <v>9216.1</v>
      </c>
      <c r="P58" s="265">
        <v>221337</v>
      </c>
      <c r="Q58" s="265">
        <v>19053537</v>
      </c>
      <c r="R58" s="265">
        <v>1053705</v>
      </c>
    </row>
    <row r="59" spans="1:18" x14ac:dyDescent="0.25">
      <c r="A59" s="66" t="s">
        <v>359</v>
      </c>
      <c r="B59" t="s">
        <v>70</v>
      </c>
      <c r="C59" t="s">
        <v>238</v>
      </c>
      <c r="D59" s="265">
        <v>1390</v>
      </c>
      <c r="E59" s="265">
        <v>85</v>
      </c>
      <c r="F59" s="265">
        <v>1475</v>
      </c>
      <c r="G59" s="265">
        <v>0</v>
      </c>
      <c r="H59" s="271">
        <v>1.0336302079999999</v>
      </c>
      <c r="I59" s="250">
        <v>1524.6</v>
      </c>
      <c r="J59" s="265">
        <v>0</v>
      </c>
      <c r="K59" s="265">
        <v>12464325</v>
      </c>
      <c r="L59" s="265">
        <v>0</v>
      </c>
      <c r="M59" s="265">
        <v>12464325</v>
      </c>
      <c r="N59" s="265">
        <v>749</v>
      </c>
      <c r="O59" s="250">
        <v>26437.8</v>
      </c>
      <c r="P59" s="265">
        <v>634940</v>
      </c>
      <c r="Q59" s="265">
        <v>13099265</v>
      </c>
      <c r="R59" s="265">
        <v>697407</v>
      </c>
    </row>
    <row r="60" spans="1:18" x14ac:dyDescent="0.25">
      <c r="A60" s="66" t="s">
        <v>358</v>
      </c>
      <c r="B60" t="s">
        <v>71</v>
      </c>
      <c r="C60" t="s">
        <v>238</v>
      </c>
      <c r="D60" s="265">
        <v>105</v>
      </c>
      <c r="E60" s="265">
        <v>10</v>
      </c>
      <c r="F60" s="265">
        <v>115</v>
      </c>
      <c r="G60" s="265">
        <v>0</v>
      </c>
      <c r="H60" s="271">
        <v>1.651459649</v>
      </c>
      <c r="I60" s="250">
        <v>189.9</v>
      </c>
      <c r="J60" s="265">
        <v>0</v>
      </c>
      <c r="K60" s="265">
        <v>1552522</v>
      </c>
      <c r="L60" s="265">
        <v>0</v>
      </c>
      <c r="M60" s="265">
        <v>1552522</v>
      </c>
      <c r="N60" s="265">
        <v>50</v>
      </c>
      <c r="O60" s="250">
        <v>4002</v>
      </c>
      <c r="P60" s="265">
        <v>96113</v>
      </c>
      <c r="Q60" s="265">
        <v>1648635</v>
      </c>
      <c r="R60" s="265">
        <v>86867</v>
      </c>
    </row>
    <row r="61" spans="1:18" x14ac:dyDescent="0.25">
      <c r="A61" s="66" t="s">
        <v>357</v>
      </c>
      <c r="B61" t="s">
        <v>72</v>
      </c>
      <c r="C61" t="s">
        <v>317</v>
      </c>
      <c r="D61" s="265">
        <v>20</v>
      </c>
      <c r="E61" s="265">
        <v>0</v>
      </c>
      <c r="F61" s="265">
        <v>20</v>
      </c>
      <c r="G61" s="265">
        <v>0</v>
      </c>
      <c r="H61" s="271">
        <v>0.84150000000000003</v>
      </c>
      <c r="I61" s="250">
        <v>16.8</v>
      </c>
      <c r="J61" s="265">
        <v>0</v>
      </c>
      <c r="K61" s="265">
        <v>137348</v>
      </c>
      <c r="L61" s="265">
        <v>0</v>
      </c>
      <c r="M61" s="265">
        <v>137348</v>
      </c>
      <c r="N61" s="265">
        <v>12</v>
      </c>
      <c r="O61" s="250">
        <v>288.7</v>
      </c>
      <c r="P61" s="265">
        <v>6934</v>
      </c>
      <c r="Q61" s="265">
        <v>144282</v>
      </c>
      <c r="R61" s="265">
        <v>7685</v>
      </c>
    </row>
    <row r="62" spans="1:18" x14ac:dyDescent="0.25">
      <c r="A62" s="66" t="s">
        <v>356</v>
      </c>
      <c r="B62" t="s">
        <v>154</v>
      </c>
      <c r="C62" t="s">
        <v>238</v>
      </c>
      <c r="D62" s="265">
        <v>33</v>
      </c>
      <c r="E62" s="265">
        <v>4</v>
      </c>
      <c r="F62" s="265">
        <v>37</v>
      </c>
      <c r="G62" s="265">
        <v>0</v>
      </c>
      <c r="H62" s="271">
        <v>0.383873099</v>
      </c>
      <c r="I62" s="250">
        <v>14.2</v>
      </c>
      <c r="J62" s="265">
        <v>0</v>
      </c>
      <c r="K62" s="265">
        <v>116092</v>
      </c>
      <c r="L62" s="265">
        <v>215000</v>
      </c>
      <c r="M62" s="265">
        <v>331092</v>
      </c>
      <c r="N62" s="265">
        <v>16</v>
      </c>
      <c r="O62" s="250">
        <v>171.1</v>
      </c>
      <c r="P62" s="265">
        <v>4109</v>
      </c>
      <c r="Q62" s="265">
        <v>335201</v>
      </c>
      <c r="R62" s="265">
        <v>18525</v>
      </c>
    </row>
    <row r="63" spans="1:18" x14ac:dyDescent="0.25">
      <c r="A63" s="66" t="s">
        <v>355</v>
      </c>
      <c r="B63" t="s">
        <v>171</v>
      </c>
      <c r="C63" t="s">
        <v>238</v>
      </c>
      <c r="D63" s="265">
        <v>0</v>
      </c>
      <c r="E63" s="265">
        <v>20</v>
      </c>
      <c r="F63" s="265">
        <v>20</v>
      </c>
      <c r="G63" s="265">
        <v>0</v>
      </c>
      <c r="H63" s="271">
        <v>0.315</v>
      </c>
      <c r="I63" s="250">
        <v>6.3</v>
      </c>
      <c r="J63" s="265">
        <v>0</v>
      </c>
      <c r="K63" s="265">
        <v>51505</v>
      </c>
      <c r="L63" s="265">
        <v>37500</v>
      </c>
      <c r="M63" s="265">
        <v>89005</v>
      </c>
      <c r="N63" s="265">
        <v>0</v>
      </c>
      <c r="O63" s="250">
        <v>0</v>
      </c>
      <c r="P63" s="265">
        <v>0</v>
      </c>
      <c r="Q63" s="265">
        <v>89005</v>
      </c>
      <c r="R63" s="265">
        <v>4980</v>
      </c>
    </row>
    <row r="64" spans="1:18" x14ac:dyDescent="0.25">
      <c r="A64" s="66" t="s">
        <v>354</v>
      </c>
      <c r="B64" t="s">
        <v>73</v>
      </c>
      <c r="C64" t="s">
        <v>271</v>
      </c>
      <c r="D64" s="265">
        <v>97</v>
      </c>
      <c r="E64" s="265">
        <v>3</v>
      </c>
      <c r="F64" s="265">
        <v>100</v>
      </c>
      <c r="G64" s="265">
        <v>0</v>
      </c>
      <c r="H64" s="271">
        <v>1.0034391979999999</v>
      </c>
      <c r="I64" s="250">
        <v>100.3</v>
      </c>
      <c r="J64" s="265">
        <v>0</v>
      </c>
      <c r="K64" s="265">
        <v>820000</v>
      </c>
      <c r="L64" s="265">
        <v>0</v>
      </c>
      <c r="M64" s="265">
        <v>820000</v>
      </c>
      <c r="N64" s="265">
        <v>41</v>
      </c>
      <c r="O64" s="250">
        <v>1732.1</v>
      </c>
      <c r="P64" s="265">
        <v>41599</v>
      </c>
      <c r="Q64" s="265">
        <v>861599</v>
      </c>
      <c r="R64" s="265">
        <v>45881</v>
      </c>
    </row>
    <row r="65" spans="1:18" x14ac:dyDescent="0.25">
      <c r="A65" s="66" t="s">
        <v>353</v>
      </c>
      <c r="B65" t="s">
        <v>74</v>
      </c>
      <c r="C65" t="s">
        <v>256</v>
      </c>
      <c r="D65" s="265">
        <v>2316</v>
      </c>
      <c r="E65" s="265">
        <v>283</v>
      </c>
      <c r="F65" s="265">
        <v>2599</v>
      </c>
      <c r="G65" s="265">
        <v>153</v>
      </c>
      <c r="H65" s="271">
        <v>1.083149127</v>
      </c>
      <c r="I65" s="250">
        <v>2815.1</v>
      </c>
      <c r="J65" s="265">
        <v>-209656</v>
      </c>
      <c r="K65" s="265">
        <v>22805116</v>
      </c>
      <c r="L65" s="265">
        <v>0</v>
      </c>
      <c r="M65" s="265">
        <v>22805116</v>
      </c>
      <c r="N65" s="265">
        <v>979</v>
      </c>
      <c r="O65" s="250">
        <v>53590</v>
      </c>
      <c r="P65" s="265">
        <v>1287036</v>
      </c>
      <c r="Q65" s="265">
        <v>24092152</v>
      </c>
      <c r="R65" s="265">
        <v>0</v>
      </c>
    </row>
    <row r="66" spans="1:18" x14ac:dyDescent="0.25">
      <c r="A66" s="66" t="s">
        <v>352</v>
      </c>
      <c r="B66" t="s">
        <v>75</v>
      </c>
      <c r="C66" t="s">
        <v>252</v>
      </c>
      <c r="D66" s="265">
        <v>5467</v>
      </c>
      <c r="E66" s="265">
        <v>599</v>
      </c>
      <c r="F66" s="265">
        <v>6066</v>
      </c>
      <c r="G66" s="265">
        <v>160</v>
      </c>
      <c r="H66" s="271">
        <v>1.028256552</v>
      </c>
      <c r="I66" s="250">
        <v>6237.4</v>
      </c>
      <c r="J66" s="265">
        <v>-464533</v>
      </c>
      <c r="K66" s="265">
        <v>50529157</v>
      </c>
      <c r="L66" s="265">
        <v>0</v>
      </c>
      <c r="M66" s="265">
        <v>50529157</v>
      </c>
      <c r="N66" s="265">
        <v>2589</v>
      </c>
      <c r="O66" s="250">
        <v>129709.1</v>
      </c>
      <c r="P66" s="265">
        <v>3115139</v>
      </c>
      <c r="Q66" s="265">
        <v>53644296</v>
      </c>
      <c r="R66" s="265">
        <v>0</v>
      </c>
    </row>
    <row r="67" spans="1:18" x14ac:dyDescent="0.25">
      <c r="A67" s="66" t="s">
        <v>351</v>
      </c>
      <c r="B67" t="s">
        <v>76</v>
      </c>
      <c r="C67" t="s">
        <v>334</v>
      </c>
      <c r="D67" s="265">
        <v>2145</v>
      </c>
      <c r="E67" s="265">
        <v>109</v>
      </c>
      <c r="F67" s="265">
        <v>2254</v>
      </c>
      <c r="G67" s="265">
        <v>80</v>
      </c>
      <c r="H67" s="271">
        <v>1.0332287099999999</v>
      </c>
      <c r="I67" s="250">
        <v>2328.9</v>
      </c>
      <c r="J67" s="265">
        <v>-173446</v>
      </c>
      <c r="K67" s="265">
        <v>18866411</v>
      </c>
      <c r="L67" s="265">
        <v>0</v>
      </c>
      <c r="M67" s="265">
        <v>18866411</v>
      </c>
      <c r="N67" s="265">
        <v>941</v>
      </c>
      <c r="O67" s="250">
        <v>46727.5</v>
      </c>
      <c r="P67" s="265">
        <v>1122224</v>
      </c>
      <c r="Q67" s="265">
        <v>19988635</v>
      </c>
      <c r="R67" s="265">
        <v>0</v>
      </c>
    </row>
    <row r="68" spans="1:18" x14ac:dyDescent="0.25">
      <c r="A68" s="66" t="s">
        <v>350</v>
      </c>
      <c r="B68" t="s">
        <v>77</v>
      </c>
      <c r="C68" t="s">
        <v>256</v>
      </c>
      <c r="D68" s="265">
        <v>77</v>
      </c>
      <c r="E68" s="265">
        <v>143</v>
      </c>
      <c r="F68" s="265">
        <v>220</v>
      </c>
      <c r="G68" s="265">
        <v>110</v>
      </c>
      <c r="H68" s="271">
        <v>0.80730263999999996</v>
      </c>
      <c r="I68" s="250">
        <v>177.6</v>
      </c>
      <c r="J68" s="265">
        <v>0</v>
      </c>
      <c r="K68" s="265">
        <v>1451964</v>
      </c>
      <c r="L68" s="265">
        <v>0</v>
      </c>
      <c r="M68" s="265">
        <v>1451964</v>
      </c>
      <c r="N68" s="265">
        <v>180</v>
      </c>
      <c r="O68" s="250">
        <v>5785.2</v>
      </c>
      <c r="P68" s="265">
        <v>138939</v>
      </c>
      <c r="Q68" s="265">
        <v>1590903</v>
      </c>
      <c r="R68" s="265">
        <v>81241</v>
      </c>
    </row>
    <row r="69" spans="1:18" x14ac:dyDescent="0.25">
      <c r="A69" s="66" t="s">
        <v>349</v>
      </c>
      <c r="B69" t="s">
        <v>78</v>
      </c>
      <c r="C69" t="s">
        <v>256</v>
      </c>
      <c r="D69" s="265">
        <v>2256</v>
      </c>
      <c r="E69" s="265">
        <v>185</v>
      </c>
      <c r="F69" s="265">
        <v>2441</v>
      </c>
      <c r="G69" s="265">
        <v>57</v>
      </c>
      <c r="H69" s="271">
        <v>1.0262990649999999</v>
      </c>
      <c r="I69" s="250">
        <v>2505.1999999999998</v>
      </c>
      <c r="J69" s="265">
        <v>-186576</v>
      </c>
      <c r="K69" s="265">
        <v>20294617</v>
      </c>
      <c r="L69" s="265">
        <v>90000</v>
      </c>
      <c r="M69" s="265">
        <v>20384617</v>
      </c>
      <c r="N69" s="265">
        <v>987</v>
      </c>
      <c r="O69" s="250">
        <v>51691.6</v>
      </c>
      <c r="P69" s="265">
        <v>1241444</v>
      </c>
      <c r="Q69" s="265">
        <v>21626061</v>
      </c>
      <c r="R69" s="265">
        <v>0</v>
      </c>
    </row>
    <row r="70" spans="1:18" x14ac:dyDescent="0.25">
      <c r="A70" s="66" t="s">
        <v>345</v>
      </c>
      <c r="B70" t="s">
        <v>79</v>
      </c>
      <c r="C70" t="s">
        <v>246</v>
      </c>
      <c r="D70" s="265">
        <v>82</v>
      </c>
      <c r="E70" s="265">
        <v>35</v>
      </c>
      <c r="F70" s="265">
        <v>117</v>
      </c>
      <c r="G70" s="265">
        <v>25</v>
      </c>
      <c r="H70" s="271">
        <v>0.82664744599999995</v>
      </c>
      <c r="I70" s="250">
        <v>96.7</v>
      </c>
      <c r="J70" s="265">
        <v>0</v>
      </c>
      <c r="K70" s="265">
        <v>790568</v>
      </c>
      <c r="L70" s="265">
        <v>0</v>
      </c>
      <c r="M70" s="265">
        <v>790568</v>
      </c>
      <c r="N70" s="265">
        <v>44</v>
      </c>
      <c r="O70" s="250">
        <v>928.9</v>
      </c>
      <c r="P70" s="265">
        <v>22309</v>
      </c>
      <c r="Q70" s="265">
        <v>812877</v>
      </c>
      <c r="R70" s="265">
        <v>44234</v>
      </c>
    </row>
    <row r="71" spans="1:18" x14ac:dyDescent="0.25">
      <c r="A71" s="66" t="s">
        <v>344</v>
      </c>
      <c r="B71" t="s">
        <v>80</v>
      </c>
      <c r="C71" t="s">
        <v>242</v>
      </c>
      <c r="D71" s="265">
        <v>52</v>
      </c>
      <c r="E71" s="265">
        <v>0</v>
      </c>
      <c r="F71" s="265">
        <v>52</v>
      </c>
      <c r="G71" s="265">
        <v>0</v>
      </c>
      <c r="H71" s="271">
        <v>1.598785047</v>
      </c>
      <c r="I71" s="250">
        <v>83.1</v>
      </c>
      <c r="J71" s="265">
        <v>0</v>
      </c>
      <c r="K71" s="265">
        <v>679382</v>
      </c>
      <c r="L71" s="265">
        <v>0</v>
      </c>
      <c r="M71" s="265">
        <v>679382</v>
      </c>
      <c r="N71" s="265">
        <v>19</v>
      </c>
      <c r="O71" s="250">
        <v>1745.8</v>
      </c>
      <c r="P71" s="265">
        <v>41928</v>
      </c>
      <c r="Q71" s="265">
        <v>721310</v>
      </c>
      <c r="R71" s="265">
        <v>38013</v>
      </c>
    </row>
    <row r="72" spans="1:18" x14ac:dyDescent="0.25">
      <c r="A72" s="66" t="s">
        <v>343</v>
      </c>
      <c r="B72" t="s">
        <v>81</v>
      </c>
      <c r="C72" t="s">
        <v>242</v>
      </c>
      <c r="D72" s="265">
        <v>90</v>
      </c>
      <c r="E72" s="265">
        <v>4</v>
      </c>
      <c r="F72" s="265">
        <v>94</v>
      </c>
      <c r="G72" s="265">
        <v>0</v>
      </c>
      <c r="H72" s="271">
        <v>1.0712529740000001</v>
      </c>
      <c r="I72" s="250">
        <v>100.7</v>
      </c>
      <c r="J72" s="265">
        <v>0</v>
      </c>
      <c r="K72" s="265">
        <v>823270</v>
      </c>
      <c r="L72" s="265">
        <v>0</v>
      </c>
      <c r="M72" s="265">
        <v>823270</v>
      </c>
      <c r="N72" s="265">
        <v>32</v>
      </c>
      <c r="O72" s="250">
        <v>2067.1</v>
      </c>
      <c r="P72" s="265">
        <v>49644</v>
      </c>
      <c r="Q72" s="265">
        <v>872914</v>
      </c>
      <c r="R72" s="265">
        <v>46064</v>
      </c>
    </row>
    <row r="73" spans="1:18" x14ac:dyDescent="0.25">
      <c r="A73" s="66" t="s">
        <v>342</v>
      </c>
      <c r="B73" t="s">
        <v>82</v>
      </c>
      <c r="C73" t="s">
        <v>271</v>
      </c>
      <c r="D73" s="265">
        <v>139</v>
      </c>
      <c r="E73" s="265">
        <v>10</v>
      </c>
      <c r="F73" s="265">
        <v>149</v>
      </c>
      <c r="G73" s="265">
        <v>0</v>
      </c>
      <c r="H73" s="271">
        <v>1.2617277309999999</v>
      </c>
      <c r="I73" s="250">
        <v>188</v>
      </c>
      <c r="J73" s="265">
        <v>0</v>
      </c>
      <c r="K73" s="265">
        <v>1536989</v>
      </c>
      <c r="L73" s="265">
        <v>0</v>
      </c>
      <c r="M73" s="265">
        <v>1536989</v>
      </c>
      <c r="N73" s="265">
        <v>93</v>
      </c>
      <c r="O73" s="250">
        <v>5412.9</v>
      </c>
      <c r="P73" s="265">
        <v>129998</v>
      </c>
      <c r="Q73" s="265">
        <v>1666987</v>
      </c>
      <c r="R73" s="265">
        <v>85998</v>
      </c>
    </row>
    <row r="74" spans="1:18" x14ac:dyDescent="0.25">
      <c r="A74" s="66" t="s">
        <v>340</v>
      </c>
      <c r="B74" t="s">
        <v>172</v>
      </c>
      <c r="C74" t="s">
        <v>244</v>
      </c>
      <c r="D74" s="265">
        <v>32</v>
      </c>
      <c r="E74" s="265">
        <v>1</v>
      </c>
      <c r="F74" s="265">
        <v>33</v>
      </c>
      <c r="G74" s="265">
        <v>0</v>
      </c>
      <c r="H74" s="271">
        <v>1.0455000000000001</v>
      </c>
      <c r="I74" s="250">
        <v>34.5</v>
      </c>
      <c r="J74" s="265">
        <v>-2569</v>
      </c>
      <c r="K74" s="265">
        <v>279485</v>
      </c>
      <c r="L74" s="265">
        <v>0</v>
      </c>
      <c r="M74" s="265">
        <v>279485</v>
      </c>
      <c r="N74" s="265">
        <v>13</v>
      </c>
      <c r="O74" s="250">
        <v>571.20000000000005</v>
      </c>
      <c r="P74" s="265">
        <v>13718</v>
      </c>
      <c r="Q74" s="265">
        <v>293203</v>
      </c>
      <c r="R74" s="265">
        <v>0</v>
      </c>
    </row>
    <row r="75" spans="1:18" x14ac:dyDescent="0.25">
      <c r="A75" s="66" t="s">
        <v>384</v>
      </c>
      <c r="B75" t="s">
        <v>83</v>
      </c>
      <c r="C75" t="s">
        <v>238</v>
      </c>
      <c r="D75" s="265">
        <v>37</v>
      </c>
      <c r="E75" s="265">
        <v>0</v>
      </c>
      <c r="F75" s="265">
        <v>37</v>
      </c>
      <c r="G75" s="265">
        <v>0</v>
      </c>
      <c r="H75" s="271">
        <v>0.84150000000000003</v>
      </c>
      <c r="I75" s="250">
        <v>31.1</v>
      </c>
      <c r="J75" s="265">
        <v>0</v>
      </c>
      <c r="K75" s="265">
        <v>254257</v>
      </c>
      <c r="L75" s="265">
        <v>0</v>
      </c>
      <c r="M75" s="265">
        <v>254257</v>
      </c>
      <c r="N75" s="265">
        <v>39</v>
      </c>
      <c r="O75" s="250">
        <v>834</v>
      </c>
      <c r="P75" s="265">
        <v>20030</v>
      </c>
      <c r="Q75" s="265">
        <v>274287</v>
      </c>
      <c r="R75" s="265">
        <v>14226</v>
      </c>
    </row>
    <row r="76" spans="1:18" x14ac:dyDescent="0.25">
      <c r="A76" s="66" t="s">
        <v>338</v>
      </c>
      <c r="B76" t="s">
        <v>84</v>
      </c>
      <c r="C76" t="s">
        <v>252</v>
      </c>
      <c r="D76" s="265">
        <v>27</v>
      </c>
      <c r="E76" s="265">
        <v>1</v>
      </c>
      <c r="F76" s="265">
        <v>28</v>
      </c>
      <c r="G76" s="265">
        <v>0</v>
      </c>
      <c r="H76" s="271">
        <v>0.84150000000000003</v>
      </c>
      <c r="I76" s="250">
        <v>23.6</v>
      </c>
      <c r="J76" s="265">
        <v>0</v>
      </c>
      <c r="K76" s="265">
        <v>192941</v>
      </c>
      <c r="L76" s="265">
        <v>0</v>
      </c>
      <c r="M76" s="265">
        <v>192941</v>
      </c>
      <c r="N76" s="265">
        <v>25</v>
      </c>
      <c r="O76" s="250">
        <v>588.1</v>
      </c>
      <c r="P76" s="265">
        <v>14124</v>
      </c>
      <c r="Q76" s="265">
        <v>207065</v>
      </c>
      <c r="R76" s="265">
        <v>10795</v>
      </c>
    </row>
    <row r="77" spans="1:18" x14ac:dyDescent="0.25">
      <c r="A77" s="66" t="s">
        <v>337</v>
      </c>
      <c r="B77" t="s">
        <v>85</v>
      </c>
      <c r="C77" t="s">
        <v>252</v>
      </c>
      <c r="D77" s="265">
        <v>43</v>
      </c>
      <c r="E77" s="265">
        <v>0</v>
      </c>
      <c r="F77" s="265">
        <v>43</v>
      </c>
      <c r="G77" s="265">
        <v>0</v>
      </c>
      <c r="H77" s="271">
        <v>1.4703514820000001</v>
      </c>
      <c r="I77" s="250">
        <v>63.2</v>
      </c>
      <c r="J77" s="265">
        <v>0</v>
      </c>
      <c r="K77" s="265">
        <v>516690</v>
      </c>
      <c r="L77" s="265">
        <v>0</v>
      </c>
      <c r="M77" s="265">
        <v>516690</v>
      </c>
      <c r="N77" s="265">
        <v>18</v>
      </c>
      <c r="O77" s="250">
        <v>1717.2</v>
      </c>
      <c r="P77" s="265">
        <v>41241</v>
      </c>
      <c r="Q77" s="265">
        <v>557931</v>
      </c>
      <c r="R77" s="265">
        <v>28910</v>
      </c>
    </row>
    <row r="78" spans="1:18" x14ac:dyDescent="0.25">
      <c r="A78" s="66" t="s">
        <v>336</v>
      </c>
      <c r="B78" t="s">
        <v>190</v>
      </c>
      <c r="C78" t="s">
        <v>317</v>
      </c>
      <c r="D78" s="265">
        <v>7</v>
      </c>
      <c r="E78" s="265">
        <v>0</v>
      </c>
      <c r="F78" s="265">
        <v>7</v>
      </c>
      <c r="G78" s="265">
        <v>0</v>
      </c>
      <c r="H78" s="271">
        <v>0.84150000000000003</v>
      </c>
      <c r="I78" s="250">
        <v>5.9</v>
      </c>
      <c r="J78" s="265">
        <v>0</v>
      </c>
      <c r="K78" s="265">
        <v>48235</v>
      </c>
      <c r="L78" s="265">
        <v>0</v>
      </c>
      <c r="M78" s="265">
        <v>48235</v>
      </c>
      <c r="N78" s="265">
        <v>7</v>
      </c>
      <c r="O78" s="250">
        <v>139</v>
      </c>
      <c r="P78" s="265">
        <v>3338</v>
      </c>
      <c r="Q78" s="265">
        <v>51573</v>
      </c>
      <c r="R78" s="265">
        <v>2699</v>
      </c>
    </row>
    <row r="79" spans="1:18" x14ac:dyDescent="0.25">
      <c r="A79" s="66" t="s">
        <v>335</v>
      </c>
      <c r="B79" t="s">
        <v>86</v>
      </c>
      <c r="C79" t="s">
        <v>334</v>
      </c>
      <c r="D79" s="265">
        <v>1130</v>
      </c>
      <c r="E79" s="265">
        <v>98</v>
      </c>
      <c r="F79" s="265">
        <v>1228</v>
      </c>
      <c r="G79" s="265">
        <v>50</v>
      </c>
      <c r="H79" s="271">
        <v>0.97246781999999998</v>
      </c>
      <c r="I79" s="250">
        <v>1194.2</v>
      </c>
      <c r="J79" s="265">
        <v>-88938</v>
      </c>
      <c r="K79" s="265">
        <v>9674211</v>
      </c>
      <c r="L79" s="265">
        <v>90000</v>
      </c>
      <c r="M79" s="265">
        <v>9764211</v>
      </c>
      <c r="N79" s="265">
        <v>528</v>
      </c>
      <c r="O79" s="250">
        <v>22748.400000000001</v>
      </c>
      <c r="P79" s="265">
        <v>546334</v>
      </c>
      <c r="Q79" s="265">
        <v>10310545</v>
      </c>
      <c r="R79" s="265">
        <v>0</v>
      </c>
    </row>
    <row r="80" spans="1:18" x14ac:dyDescent="0.25">
      <c r="A80" s="66" t="s">
        <v>333</v>
      </c>
      <c r="B80" t="s">
        <v>87</v>
      </c>
      <c r="C80" t="s">
        <v>254</v>
      </c>
      <c r="D80" s="265">
        <v>1604</v>
      </c>
      <c r="E80" s="265">
        <v>90</v>
      </c>
      <c r="F80" s="265">
        <v>1694</v>
      </c>
      <c r="G80" s="265">
        <v>65</v>
      </c>
      <c r="H80" s="271">
        <v>1.086680203</v>
      </c>
      <c r="I80" s="250">
        <v>1840.8</v>
      </c>
      <c r="J80" s="265">
        <v>-137094</v>
      </c>
      <c r="K80" s="265">
        <v>14912315</v>
      </c>
      <c r="L80" s="265">
        <v>0</v>
      </c>
      <c r="M80" s="265">
        <v>14912315</v>
      </c>
      <c r="N80" s="265">
        <v>612</v>
      </c>
      <c r="O80" s="250">
        <v>32427.5</v>
      </c>
      <c r="P80" s="265">
        <v>778790</v>
      </c>
      <c r="Q80" s="265">
        <v>15691105</v>
      </c>
      <c r="R80" s="265">
        <v>0</v>
      </c>
    </row>
    <row r="81" spans="1:18" x14ac:dyDescent="0.25">
      <c r="A81" s="66" t="s">
        <v>332</v>
      </c>
      <c r="B81" t="s">
        <v>88</v>
      </c>
      <c r="C81" t="s">
        <v>238</v>
      </c>
      <c r="D81" s="265">
        <v>2470</v>
      </c>
      <c r="E81" s="265">
        <v>220</v>
      </c>
      <c r="F81" s="265">
        <v>2690</v>
      </c>
      <c r="G81" s="265">
        <v>80</v>
      </c>
      <c r="H81" s="271">
        <v>1.0471160399999999</v>
      </c>
      <c r="I81" s="250">
        <v>2816.7</v>
      </c>
      <c r="J81" s="265">
        <v>-209775</v>
      </c>
      <c r="K81" s="265">
        <v>22818077</v>
      </c>
      <c r="L81" s="265">
        <v>0</v>
      </c>
      <c r="M81" s="265">
        <v>22818077</v>
      </c>
      <c r="N81" s="265">
        <v>985</v>
      </c>
      <c r="O81" s="250">
        <v>50245.1</v>
      </c>
      <c r="P81" s="265">
        <v>1206704</v>
      </c>
      <c r="Q81" s="265">
        <v>24024781</v>
      </c>
      <c r="R81" s="265">
        <v>0</v>
      </c>
    </row>
    <row r="82" spans="1:18" x14ac:dyDescent="0.25">
      <c r="A82" s="66" t="s">
        <v>331</v>
      </c>
      <c r="B82" t="s">
        <v>89</v>
      </c>
      <c r="C82" t="s">
        <v>287</v>
      </c>
      <c r="D82" s="265">
        <v>4312</v>
      </c>
      <c r="E82" s="265">
        <v>716</v>
      </c>
      <c r="F82" s="265">
        <v>5028</v>
      </c>
      <c r="G82" s="265">
        <v>470</v>
      </c>
      <c r="H82" s="271">
        <v>1.0257955439999999</v>
      </c>
      <c r="I82" s="250">
        <v>5157.7</v>
      </c>
      <c r="J82" s="265">
        <v>0</v>
      </c>
      <c r="K82" s="265">
        <v>42166632</v>
      </c>
      <c r="L82" s="265">
        <v>60000</v>
      </c>
      <c r="M82" s="265">
        <v>42226632</v>
      </c>
      <c r="N82" s="265">
        <v>2030</v>
      </c>
      <c r="O82" s="250">
        <v>92121</v>
      </c>
      <c r="P82" s="265">
        <v>2212410</v>
      </c>
      <c r="Q82" s="265">
        <v>44439042</v>
      </c>
      <c r="R82" s="265">
        <v>2362677</v>
      </c>
    </row>
    <row r="83" spans="1:18" x14ac:dyDescent="0.25">
      <c r="A83" s="66" t="s">
        <v>329</v>
      </c>
      <c r="B83" t="s">
        <v>90</v>
      </c>
      <c r="C83" t="s">
        <v>238</v>
      </c>
      <c r="D83" s="265">
        <v>199</v>
      </c>
      <c r="E83" s="265">
        <v>15</v>
      </c>
      <c r="F83" s="265">
        <v>214</v>
      </c>
      <c r="G83" s="265">
        <v>0</v>
      </c>
      <c r="H83" s="271">
        <v>0.99348329800000001</v>
      </c>
      <c r="I83" s="250">
        <v>212.6</v>
      </c>
      <c r="J83" s="265">
        <v>0</v>
      </c>
      <c r="K83" s="265">
        <v>1738105</v>
      </c>
      <c r="L83" s="265">
        <v>0</v>
      </c>
      <c r="M83" s="265">
        <v>1738105</v>
      </c>
      <c r="N83" s="265">
        <v>79</v>
      </c>
      <c r="O83" s="250">
        <v>3556.9</v>
      </c>
      <c r="P83" s="265">
        <v>85424</v>
      </c>
      <c r="Q83" s="265">
        <v>1823529</v>
      </c>
      <c r="R83" s="265">
        <v>97251</v>
      </c>
    </row>
    <row r="84" spans="1:18" x14ac:dyDescent="0.25">
      <c r="A84" s="66" t="s">
        <v>325</v>
      </c>
      <c r="B84" t="s">
        <v>91</v>
      </c>
      <c r="C84" t="s">
        <v>238</v>
      </c>
      <c r="D84" s="265">
        <v>73</v>
      </c>
      <c r="E84" s="265">
        <v>0</v>
      </c>
      <c r="F84" s="265">
        <v>73</v>
      </c>
      <c r="G84" s="265">
        <v>0</v>
      </c>
      <c r="H84" s="271">
        <v>0.62969785899999997</v>
      </c>
      <c r="I84" s="250">
        <v>46</v>
      </c>
      <c r="J84" s="265">
        <v>0</v>
      </c>
      <c r="K84" s="265">
        <v>376072</v>
      </c>
      <c r="L84" s="265">
        <v>0</v>
      </c>
      <c r="M84" s="265">
        <v>376072</v>
      </c>
      <c r="N84" s="265">
        <v>71</v>
      </c>
      <c r="O84" s="250">
        <v>659.6</v>
      </c>
      <c r="P84" s="265">
        <v>15841</v>
      </c>
      <c r="Q84" s="265">
        <v>391913</v>
      </c>
      <c r="R84" s="265">
        <v>21042</v>
      </c>
    </row>
    <row r="85" spans="1:18" x14ac:dyDescent="0.25">
      <c r="A85" s="66" t="s">
        <v>780</v>
      </c>
      <c r="B85" t="s">
        <v>92</v>
      </c>
      <c r="C85" t="s">
        <v>238</v>
      </c>
      <c r="D85" s="265">
        <v>953</v>
      </c>
      <c r="E85" s="265">
        <v>70</v>
      </c>
      <c r="F85" s="265">
        <v>1023</v>
      </c>
      <c r="G85" s="265">
        <v>0</v>
      </c>
      <c r="H85" s="271">
        <v>0.64765676000000005</v>
      </c>
      <c r="I85" s="250">
        <v>662.6</v>
      </c>
      <c r="J85" s="265">
        <v>0</v>
      </c>
      <c r="K85" s="265">
        <v>5417068</v>
      </c>
      <c r="L85" s="265">
        <v>500000</v>
      </c>
      <c r="M85" s="265">
        <v>5917068</v>
      </c>
      <c r="N85" s="265">
        <v>622</v>
      </c>
      <c r="O85" s="250">
        <v>10152.9</v>
      </c>
      <c r="P85" s="265">
        <v>243836</v>
      </c>
      <c r="Q85" s="265">
        <v>6160904</v>
      </c>
      <c r="R85" s="265">
        <v>331073</v>
      </c>
    </row>
    <row r="86" spans="1:18" x14ac:dyDescent="0.25">
      <c r="A86" s="66" t="s">
        <v>327</v>
      </c>
      <c r="B86" t="s">
        <v>93</v>
      </c>
      <c r="C86" t="s">
        <v>246</v>
      </c>
      <c r="D86" s="265">
        <v>153</v>
      </c>
      <c r="E86" s="265">
        <v>57</v>
      </c>
      <c r="F86" s="265">
        <v>210</v>
      </c>
      <c r="G86" s="265">
        <v>50</v>
      </c>
      <c r="H86" s="271">
        <v>1.011928545</v>
      </c>
      <c r="I86" s="250">
        <v>212.5</v>
      </c>
      <c r="J86" s="265">
        <v>0</v>
      </c>
      <c r="K86" s="265">
        <v>1737288</v>
      </c>
      <c r="L86" s="265">
        <v>0</v>
      </c>
      <c r="M86" s="265">
        <v>1737288</v>
      </c>
      <c r="N86" s="265">
        <v>127</v>
      </c>
      <c r="O86" s="250">
        <v>5627.6</v>
      </c>
      <c r="P86" s="265">
        <v>135154</v>
      </c>
      <c r="Q86" s="265">
        <v>1872442</v>
      </c>
      <c r="R86" s="265">
        <v>97205</v>
      </c>
    </row>
    <row r="87" spans="1:18" x14ac:dyDescent="0.25">
      <c r="A87" s="66" t="s">
        <v>326</v>
      </c>
      <c r="B87" t="s">
        <v>173</v>
      </c>
      <c r="C87" t="s">
        <v>254</v>
      </c>
      <c r="D87" s="265">
        <v>0</v>
      </c>
      <c r="E87" s="265">
        <v>8</v>
      </c>
      <c r="F87" s="265">
        <v>8</v>
      </c>
      <c r="G87" s="265">
        <v>0</v>
      </c>
      <c r="H87" s="271">
        <v>1</v>
      </c>
      <c r="I87" s="250">
        <v>8</v>
      </c>
      <c r="J87" s="265">
        <v>0</v>
      </c>
      <c r="K87" s="265">
        <v>65404</v>
      </c>
      <c r="L87" s="265">
        <v>0</v>
      </c>
      <c r="M87" s="265">
        <v>65404</v>
      </c>
      <c r="N87" s="265">
        <v>0</v>
      </c>
      <c r="O87" s="250">
        <v>0</v>
      </c>
      <c r="P87" s="265">
        <v>0</v>
      </c>
      <c r="Q87" s="265">
        <v>65404</v>
      </c>
      <c r="R87" s="265">
        <v>3659</v>
      </c>
    </row>
    <row r="88" spans="1:18" x14ac:dyDescent="0.25">
      <c r="A88" s="66" t="s">
        <v>323</v>
      </c>
      <c r="B88" t="s">
        <v>192</v>
      </c>
      <c r="C88" t="s">
        <v>238</v>
      </c>
      <c r="D88" s="265">
        <v>0</v>
      </c>
      <c r="E88" s="265">
        <v>114</v>
      </c>
      <c r="F88" s="265">
        <v>114</v>
      </c>
      <c r="G88" s="265">
        <v>0</v>
      </c>
      <c r="H88" s="271">
        <v>0.315</v>
      </c>
      <c r="I88" s="250">
        <v>35.9</v>
      </c>
      <c r="J88" s="265">
        <v>0</v>
      </c>
      <c r="K88" s="265">
        <v>293499</v>
      </c>
      <c r="L88" s="265">
        <v>0</v>
      </c>
      <c r="M88" s="265">
        <v>293499</v>
      </c>
      <c r="N88" s="265">
        <v>0</v>
      </c>
      <c r="O88" s="250">
        <v>0</v>
      </c>
      <c r="P88" s="265">
        <v>0</v>
      </c>
      <c r="Q88" s="265">
        <v>293499</v>
      </c>
      <c r="R88" s="265">
        <v>16422</v>
      </c>
    </row>
    <row r="89" spans="1:18" x14ac:dyDescent="0.25">
      <c r="A89" s="66" t="s">
        <v>322</v>
      </c>
      <c r="B89" t="s">
        <v>488</v>
      </c>
      <c r="C89" t="s">
        <v>238</v>
      </c>
      <c r="D89" s="265">
        <v>0</v>
      </c>
      <c r="E89" s="265">
        <v>30</v>
      </c>
      <c r="F89" s="265">
        <v>30</v>
      </c>
      <c r="G89" s="265">
        <v>0</v>
      </c>
      <c r="H89" s="271">
        <v>0.57845454500000004</v>
      </c>
      <c r="I89" s="250">
        <v>17.399999999999999</v>
      </c>
      <c r="J89" s="265">
        <v>0</v>
      </c>
      <c r="K89" s="265">
        <v>142253</v>
      </c>
      <c r="L89" s="265">
        <v>0</v>
      </c>
      <c r="M89" s="265">
        <v>142253</v>
      </c>
      <c r="N89" s="265">
        <v>0</v>
      </c>
      <c r="O89" s="250">
        <v>0</v>
      </c>
      <c r="P89" s="265">
        <v>0</v>
      </c>
      <c r="Q89" s="265">
        <v>142253</v>
      </c>
      <c r="R89" s="265">
        <v>7959</v>
      </c>
    </row>
    <row r="90" spans="1:18" x14ac:dyDescent="0.25">
      <c r="A90" s="66" t="s">
        <v>321</v>
      </c>
      <c r="B90" t="s">
        <v>94</v>
      </c>
      <c r="C90" t="s">
        <v>244</v>
      </c>
      <c r="D90" s="265">
        <v>1198</v>
      </c>
      <c r="E90" s="265">
        <v>88</v>
      </c>
      <c r="F90" s="265">
        <v>1286</v>
      </c>
      <c r="G90" s="265">
        <v>26</v>
      </c>
      <c r="H90" s="271">
        <v>1.302371572</v>
      </c>
      <c r="I90" s="250">
        <v>1674.8</v>
      </c>
      <c r="J90" s="265">
        <v>-124731</v>
      </c>
      <c r="K90" s="265">
        <v>13567550</v>
      </c>
      <c r="L90" s="265">
        <v>0</v>
      </c>
      <c r="M90" s="265">
        <v>13567550</v>
      </c>
      <c r="N90" s="265">
        <v>535</v>
      </c>
      <c r="O90" s="250">
        <v>29287</v>
      </c>
      <c r="P90" s="265">
        <v>703367</v>
      </c>
      <c r="Q90" s="265">
        <v>14270917</v>
      </c>
      <c r="R90" s="265">
        <v>0</v>
      </c>
    </row>
    <row r="91" spans="1:18" x14ac:dyDescent="0.25">
      <c r="A91" s="66" t="s">
        <v>320</v>
      </c>
      <c r="B91" t="s">
        <v>95</v>
      </c>
      <c r="C91" t="s">
        <v>246</v>
      </c>
      <c r="D91" s="265">
        <v>43</v>
      </c>
      <c r="E91" s="265">
        <v>2</v>
      </c>
      <c r="F91" s="265">
        <v>45</v>
      </c>
      <c r="G91" s="265">
        <v>0</v>
      </c>
      <c r="H91" s="271">
        <v>1.323389873</v>
      </c>
      <c r="I91" s="250">
        <v>59.6</v>
      </c>
      <c r="J91" s="265">
        <v>-4439</v>
      </c>
      <c r="K91" s="265">
        <v>482819</v>
      </c>
      <c r="L91" s="265">
        <v>0</v>
      </c>
      <c r="M91" s="265">
        <v>482819</v>
      </c>
      <c r="N91" s="265">
        <v>20</v>
      </c>
      <c r="O91" s="250">
        <v>2117.9</v>
      </c>
      <c r="P91" s="265">
        <v>50864</v>
      </c>
      <c r="Q91" s="265">
        <v>533683</v>
      </c>
      <c r="R91" s="265">
        <v>0</v>
      </c>
    </row>
    <row r="92" spans="1:18" x14ac:dyDescent="0.25">
      <c r="A92" s="66" t="s">
        <v>319</v>
      </c>
      <c r="B92" t="s">
        <v>96</v>
      </c>
      <c r="C92" t="s">
        <v>246</v>
      </c>
      <c r="D92" s="265">
        <v>6829</v>
      </c>
      <c r="E92" s="265">
        <v>843</v>
      </c>
      <c r="F92" s="265">
        <v>7672</v>
      </c>
      <c r="G92" s="265">
        <v>450</v>
      </c>
      <c r="H92" s="271">
        <v>1.0706407920000001</v>
      </c>
      <c r="I92" s="250">
        <v>8214</v>
      </c>
      <c r="J92" s="265">
        <v>-611741</v>
      </c>
      <c r="K92" s="265">
        <v>66541587</v>
      </c>
      <c r="L92" s="265">
        <v>0</v>
      </c>
      <c r="M92" s="265">
        <v>66541587</v>
      </c>
      <c r="N92" s="265">
        <v>3087</v>
      </c>
      <c r="O92" s="250">
        <v>155361</v>
      </c>
      <c r="P92" s="265">
        <v>3731204</v>
      </c>
      <c r="Q92" s="265">
        <v>70272791</v>
      </c>
      <c r="R92" s="265">
        <v>0</v>
      </c>
    </row>
    <row r="93" spans="1:18" x14ac:dyDescent="0.25">
      <c r="A93" s="66" t="s">
        <v>316</v>
      </c>
      <c r="B93" t="s">
        <v>97</v>
      </c>
      <c r="C93" t="s">
        <v>238</v>
      </c>
      <c r="D93" s="265">
        <v>45</v>
      </c>
      <c r="E93" s="265">
        <v>0</v>
      </c>
      <c r="F93" s="265">
        <v>45</v>
      </c>
      <c r="G93" s="265">
        <v>0</v>
      </c>
      <c r="H93" s="271">
        <v>1.198246701</v>
      </c>
      <c r="I93" s="250">
        <v>53.9</v>
      </c>
      <c r="J93" s="265">
        <v>0</v>
      </c>
      <c r="K93" s="265">
        <v>440658</v>
      </c>
      <c r="L93" s="265">
        <v>0</v>
      </c>
      <c r="M93" s="265">
        <v>440658</v>
      </c>
      <c r="N93" s="265">
        <v>9</v>
      </c>
      <c r="O93" s="250">
        <v>797</v>
      </c>
      <c r="P93" s="265">
        <v>19141</v>
      </c>
      <c r="Q93" s="265">
        <v>459799</v>
      </c>
      <c r="R93" s="265">
        <v>24656</v>
      </c>
    </row>
    <row r="94" spans="1:18" x14ac:dyDescent="0.25">
      <c r="A94" s="66" t="s">
        <v>315</v>
      </c>
      <c r="B94" t="s">
        <v>98</v>
      </c>
      <c r="C94" t="s">
        <v>238</v>
      </c>
      <c r="D94" s="265">
        <v>81</v>
      </c>
      <c r="E94" s="265">
        <v>5</v>
      </c>
      <c r="F94" s="265">
        <v>86</v>
      </c>
      <c r="G94" s="265">
        <v>0</v>
      </c>
      <c r="H94" s="271">
        <v>0.88694674100000004</v>
      </c>
      <c r="I94" s="250">
        <v>76.3</v>
      </c>
      <c r="J94" s="265">
        <v>0</v>
      </c>
      <c r="K94" s="265">
        <v>623789</v>
      </c>
      <c r="L94" s="265">
        <v>0</v>
      </c>
      <c r="M94" s="265">
        <v>623789</v>
      </c>
      <c r="N94" s="265">
        <v>82</v>
      </c>
      <c r="O94" s="250">
        <v>1593.1</v>
      </c>
      <c r="P94" s="265">
        <v>38260</v>
      </c>
      <c r="Q94" s="265">
        <v>662049</v>
      </c>
      <c r="R94" s="265">
        <v>34902</v>
      </c>
    </row>
    <row r="95" spans="1:18" x14ac:dyDescent="0.25">
      <c r="A95" s="66" t="s">
        <v>314</v>
      </c>
      <c r="B95" t="s">
        <v>99</v>
      </c>
      <c r="C95" t="s">
        <v>238</v>
      </c>
      <c r="D95" s="265">
        <v>47</v>
      </c>
      <c r="E95" s="265">
        <v>15</v>
      </c>
      <c r="F95" s="265">
        <v>62</v>
      </c>
      <c r="G95" s="265">
        <v>0</v>
      </c>
      <c r="H95" s="271">
        <v>0.91336991899999997</v>
      </c>
      <c r="I95" s="250">
        <v>56.6</v>
      </c>
      <c r="J95" s="265">
        <v>0</v>
      </c>
      <c r="K95" s="265">
        <v>462732</v>
      </c>
      <c r="L95" s="265">
        <v>0</v>
      </c>
      <c r="M95" s="265">
        <v>462732</v>
      </c>
      <c r="N95" s="265">
        <v>83</v>
      </c>
      <c r="O95" s="250">
        <v>1776.5</v>
      </c>
      <c r="P95" s="265">
        <v>42665</v>
      </c>
      <c r="Q95" s="265">
        <v>505397</v>
      </c>
      <c r="R95" s="265">
        <v>25891</v>
      </c>
    </row>
    <row r="96" spans="1:18" x14ac:dyDescent="0.25">
      <c r="A96" s="66" t="s">
        <v>313</v>
      </c>
      <c r="B96" t="s">
        <v>100</v>
      </c>
      <c r="C96" t="s">
        <v>254</v>
      </c>
      <c r="D96" s="265">
        <v>945</v>
      </c>
      <c r="E96" s="265">
        <v>39</v>
      </c>
      <c r="F96" s="265">
        <v>984</v>
      </c>
      <c r="G96" s="265">
        <v>10</v>
      </c>
      <c r="H96" s="271">
        <v>1.2141770110000001</v>
      </c>
      <c r="I96" s="250">
        <v>1194.8</v>
      </c>
      <c r="J96" s="265">
        <v>-88983</v>
      </c>
      <c r="K96" s="265">
        <v>9679071</v>
      </c>
      <c r="L96" s="265">
        <v>0</v>
      </c>
      <c r="M96" s="265">
        <v>9679071</v>
      </c>
      <c r="N96" s="265">
        <v>412</v>
      </c>
      <c r="O96" s="250">
        <v>22304.2</v>
      </c>
      <c r="P96" s="265">
        <v>535666</v>
      </c>
      <c r="Q96" s="265">
        <v>10214737</v>
      </c>
      <c r="R96" s="265">
        <v>0</v>
      </c>
    </row>
    <row r="97" spans="1:18" x14ac:dyDescent="0.25">
      <c r="A97" s="66" t="s">
        <v>312</v>
      </c>
      <c r="B97" t="s">
        <v>101</v>
      </c>
      <c r="C97" t="s">
        <v>238</v>
      </c>
      <c r="D97" s="265">
        <v>1332</v>
      </c>
      <c r="E97" s="265">
        <v>95</v>
      </c>
      <c r="F97" s="265">
        <v>1427</v>
      </c>
      <c r="G97" s="265">
        <v>15</v>
      </c>
      <c r="H97" s="271">
        <v>0.883606632</v>
      </c>
      <c r="I97" s="250">
        <v>1260.9000000000001</v>
      </c>
      <c r="J97" s="265">
        <v>0</v>
      </c>
      <c r="K97" s="265">
        <v>10308453</v>
      </c>
      <c r="L97" s="265">
        <v>0</v>
      </c>
      <c r="M97" s="265">
        <v>10308453</v>
      </c>
      <c r="N97" s="265">
        <v>588</v>
      </c>
      <c r="O97" s="250">
        <v>30821.5</v>
      </c>
      <c r="P97" s="265">
        <v>740220</v>
      </c>
      <c r="Q97" s="265">
        <v>11048673</v>
      </c>
      <c r="R97" s="265">
        <v>576781</v>
      </c>
    </row>
    <row r="98" spans="1:18" x14ac:dyDescent="0.25">
      <c r="A98" s="66" t="s">
        <v>311</v>
      </c>
      <c r="B98" t="s">
        <v>102</v>
      </c>
      <c r="C98" t="s">
        <v>296</v>
      </c>
      <c r="D98" s="265">
        <v>64</v>
      </c>
      <c r="E98" s="265">
        <v>3</v>
      </c>
      <c r="F98" s="265">
        <v>67</v>
      </c>
      <c r="G98" s="265">
        <v>0</v>
      </c>
      <c r="H98" s="271">
        <v>1.0679928860000001</v>
      </c>
      <c r="I98" s="250">
        <v>71.599999999999994</v>
      </c>
      <c r="J98" s="265">
        <v>0</v>
      </c>
      <c r="K98" s="265">
        <v>585364</v>
      </c>
      <c r="L98" s="265">
        <v>0</v>
      </c>
      <c r="M98" s="265">
        <v>585364</v>
      </c>
      <c r="N98" s="265">
        <v>27</v>
      </c>
      <c r="O98" s="250">
        <v>1400.7</v>
      </c>
      <c r="P98" s="265">
        <v>33640</v>
      </c>
      <c r="Q98" s="265">
        <v>619004</v>
      </c>
      <c r="R98" s="265">
        <v>32752</v>
      </c>
    </row>
    <row r="99" spans="1:18" x14ac:dyDescent="0.25">
      <c r="A99" s="66" t="s">
        <v>318</v>
      </c>
      <c r="B99" t="s">
        <v>103</v>
      </c>
      <c r="C99" t="s">
        <v>317</v>
      </c>
      <c r="D99" s="265">
        <v>4815</v>
      </c>
      <c r="E99" s="265">
        <v>359</v>
      </c>
      <c r="F99" s="265">
        <v>5174</v>
      </c>
      <c r="G99" s="265">
        <v>140</v>
      </c>
      <c r="H99" s="271">
        <v>1.1085556620000001</v>
      </c>
      <c r="I99" s="250">
        <v>5735.7</v>
      </c>
      <c r="J99" s="265">
        <v>-427168</v>
      </c>
      <c r="K99" s="265">
        <v>46464887</v>
      </c>
      <c r="L99" s="265">
        <v>0</v>
      </c>
      <c r="M99" s="265">
        <v>46464887</v>
      </c>
      <c r="N99" s="265">
        <v>2240</v>
      </c>
      <c r="O99" s="250">
        <v>116515.5</v>
      </c>
      <c r="P99" s="265">
        <v>2798277</v>
      </c>
      <c r="Q99" s="265">
        <v>49263164</v>
      </c>
      <c r="R99" s="265">
        <v>0</v>
      </c>
    </row>
    <row r="100" spans="1:18" x14ac:dyDescent="0.25">
      <c r="A100" s="66" t="s">
        <v>308</v>
      </c>
      <c r="B100" t="s">
        <v>104</v>
      </c>
      <c r="C100" t="s">
        <v>287</v>
      </c>
      <c r="D100" s="265">
        <v>117</v>
      </c>
      <c r="E100" s="265">
        <v>0</v>
      </c>
      <c r="F100" s="265">
        <v>117</v>
      </c>
      <c r="G100" s="265">
        <v>0</v>
      </c>
      <c r="H100" s="271">
        <v>1.0647510060000001</v>
      </c>
      <c r="I100" s="250">
        <v>124.6</v>
      </c>
      <c r="J100" s="265">
        <v>0</v>
      </c>
      <c r="K100" s="265">
        <v>1018664</v>
      </c>
      <c r="L100" s="265">
        <v>0</v>
      </c>
      <c r="M100" s="265">
        <v>1018664</v>
      </c>
      <c r="N100" s="265">
        <v>56</v>
      </c>
      <c r="O100" s="250">
        <v>1601.5</v>
      </c>
      <c r="P100" s="265">
        <v>38462</v>
      </c>
      <c r="Q100" s="265">
        <v>1057126</v>
      </c>
      <c r="R100" s="265">
        <v>56997</v>
      </c>
    </row>
    <row r="101" spans="1:18" x14ac:dyDescent="0.25">
      <c r="A101" s="66" t="s">
        <v>307</v>
      </c>
      <c r="B101" t="s">
        <v>105</v>
      </c>
      <c r="C101" t="s">
        <v>242</v>
      </c>
      <c r="D101" s="265">
        <v>50</v>
      </c>
      <c r="E101" s="265">
        <v>2</v>
      </c>
      <c r="F101" s="265">
        <v>52</v>
      </c>
      <c r="G101" s="265">
        <v>0</v>
      </c>
      <c r="H101" s="271">
        <v>1.139943978</v>
      </c>
      <c r="I101" s="250">
        <v>59.3</v>
      </c>
      <c r="J101" s="265">
        <v>0</v>
      </c>
      <c r="K101" s="265">
        <v>484805</v>
      </c>
      <c r="L101" s="265">
        <v>0</v>
      </c>
      <c r="M101" s="265">
        <v>484805</v>
      </c>
      <c r="N101" s="265">
        <v>23</v>
      </c>
      <c r="O101" s="250">
        <v>1104.8</v>
      </c>
      <c r="P101" s="265">
        <v>26533</v>
      </c>
      <c r="Q101" s="265">
        <v>511338</v>
      </c>
      <c r="R101" s="265">
        <v>27126</v>
      </c>
    </row>
    <row r="102" spans="1:18" x14ac:dyDescent="0.25">
      <c r="A102" s="66" t="s">
        <v>306</v>
      </c>
      <c r="B102" t="s">
        <v>106</v>
      </c>
      <c r="C102" t="s">
        <v>246</v>
      </c>
      <c r="D102" s="265">
        <v>194</v>
      </c>
      <c r="E102" s="265">
        <v>75</v>
      </c>
      <c r="F102" s="265">
        <v>269</v>
      </c>
      <c r="G102" s="265">
        <v>55</v>
      </c>
      <c r="H102" s="271">
        <v>0.81011179300000002</v>
      </c>
      <c r="I102" s="250">
        <v>217.9</v>
      </c>
      <c r="J102" s="265">
        <v>0</v>
      </c>
      <c r="K102" s="265">
        <v>1781435</v>
      </c>
      <c r="L102" s="265">
        <v>0</v>
      </c>
      <c r="M102" s="265">
        <v>1781435</v>
      </c>
      <c r="N102" s="265">
        <v>128</v>
      </c>
      <c r="O102" s="250">
        <v>2287.4</v>
      </c>
      <c r="P102" s="265">
        <v>54935</v>
      </c>
      <c r="Q102" s="265">
        <v>1836370</v>
      </c>
      <c r="R102" s="265">
        <v>99675</v>
      </c>
    </row>
    <row r="103" spans="1:18" x14ac:dyDescent="0.25">
      <c r="A103" s="66" t="s">
        <v>310</v>
      </c>
      <c r="B103" t="s">
        <v>107</v>
      </c>
      <c r="C103" t="s">
        <v>238</v>
      </c>
      <c r="D103" s="265">
        <v>105</v>
      </c>
      <c r="E103" s="265">
        <v>8</v>
      </c>
      <c r="F103" s="265">
        <v>113</v>
      </c>
      <c r="G103" s="265">
        <v>0</v>
      </c>
      <c r="H103" s="271">
        <v>1.592227488</v>
      </c>
      <c r="I103" s="250">
        <v>179.9</v>
      </c>
      <c r="J103" s="265">
        <v>0</v>
      </c>
      <c r="K103" s="265">
        <v>1470767</v>
      </c>
      <c r="L103" s="265">
        <v>0</v>
      </c>
      <c r="M103" s="265">
        <v>1470767</v>
      </c>
      <c r="N103" s="265">
        <v>54</v>
      </c>
      <c r="O103" s="250">
        <v>5151.6000000000004</v>
      </c>
      <c r="P103" s="265">
        <v>123723</v>
      </c>
      <c r="Q103" s="265">
        <v>1594490</v>
      </c>
      <c r="R103" s="265">
        <v>82293</v>
      </c>
    </row>
    <row r="104" spans="1:18" x14ac:dyDescent="0.25">
      <c r="A104" s="66" t="s">
        <v>309</v>
      </c>
      <c r="B104" t="s">
        <v>108</v>
      </c>
      <c r="C104" t="s">
        <v>242</v>
      </c>
      <c r="D104" s="265">
        <v>77</v>
      </c>
      <c r="E104" s="265">
        <v>0</v>
      </c>
      <c r="F104" s="265">
        <v>77</v>
      </c>
      <c r="G104" s="265">
        <v>0</v>
      </c>
      <c r="H104" s="271">
        <v>1.0680350279999999</v>
      </c>
      <c r="I104" s="250">
        <v>82.2</v>
      </c>
      <c r="J104" s="265">
        <v>0</v>
      </c>
      <c r="K104" s="265">
        <v>672024</v>
      </c>
      <c r="L104" s="265">
        <v>0</v>
      </c>
      <c r="M104" s="265">
        <v>672024</v>
      </c>
      <c r="N104" s="265">
        <v>49</v>
      </c>
      <c r="O104" s="250">
        <v>1942.4</v>
      </c>
      <c r="P104" s="265">
        <v>46649</v>
      </c>
      <c r="Q104" s="265">
        <v>718673</v>
      </c>
      <c r="R104" s="265">
        <v>37601</v>
      </c>
    </row>
    <row r="105" spans="1:18" x14ac:dyDescent="0.25">
      <c r="A105" s="66" t="s">
        <v>305</v>
      </c>
      <c r="B105" t="s">
        <v>109</v>
      </c>
      <c r="C105" t="s">
        <v>246</v>
      </c>
      <c r="D105" s="265">
        <v>890</v>
      </c>
      <c r="E105" s="265">
        <v>117</v>
      </c>
      <c r="F105" s="265">
        <v>1007</v>
      </c>
      <c r="G105" s="265">
        <v>65</v>
      </c>
      <c r="H105" s="271">
        <v>1.1052195419999999</v>
      </c>
      <c r="I105" s="250">
        <v>1113</v>
      </c>
      <c r="J105" s="265">
        <v>-82891</v>
      </c>
      <c r="K105" s="265">
        <v>9016409</v>
      </c>
      <c r="L105" s="265">
        <v>0</v>
      </c>
      <c r="M105" s="265">
        <v>9016409</v>
      </c>
      <c r="N105" s="265">
        <v>319</v>
      </c>
      <c r="O105" s="250">
        <v>19598.099999999999</v>
      </c>
      <c r="P105" s="265">
        <v>470675</v>
      </c>
      <c r="Q105" s="265">
        <v>9487084</v>
      </c>
      <c r="R105" s="265">
        <v>0</v>
      </c>
    </row>
    <row r="106" spans="1:18" x14ac:dyDescent="0.25">
      <c r="A106" s="66" t="s">
        <v>304</v>
      </c>
      <c r="B106" t="s">
        <v>110</v>
      </c>
      <c r="C106" t="s">
        <v>246</v>
      </c>
      <c r="D106" s="265">
        <v>179</v>
      </c>
      <c r="E106" s="265">
        <v>0</v>
      </c>
      <c r="F106" s="265">
        <v>179</v>
      </c>
      <c r="G106" s="265">
        <v>0</v>
      </c>
      <c r="H106" s="271">
        <v>0.78111783999999995</v>
      </c>
      <c r="I106" s="250">
        <v>139.80000000000001</v>
      </c>
      <c r="J106" s="265">
        <v>0</v>
      </c>
      <c r="K106" s="265">
        <v>1142931</v>
      </c>
      <c r="L106" s="265">
        <v>0</v>
      </c>
      <c r="M106" s="265">
        <v>1142931</v>
      </c>
      <c r="N106" s="265">
        <v>78</v>
      </c>
      <c r="O106" s="250">
        <v>3198.6</v>
      </c>
      <c r="P106" s="265">
        <v>76819</v>
      </c>
      <c r="Q106" s="265">
        <v>1219750</v>
      </c>
      <c r="R106" s="265">
        <v>63950</v>
      </c>
    </row>
    <row r="107" spans="1:18" x14ac:dyDescent="0.25">
      <c r="A107" s="66" t="s">
        <v>303</v>
      </c>
      <c r="B107" t="s">
        <v>111</v>
      </c>
      <c r="C107" t="s">
        <v>254</v>
      </c>
      <c r="D107" s="265">
        <v>1630</v>
      </c>
      <c r="E107" s="265">
        <v>170</v>
      </c>
      <c r="F107" s="265">
        <v>1800</v>
      </c>
      <c r="G107" s="265">
        <v>90</v>
      </c>
      <c r="H107" s="271">
        <v>0.92866406099999999</v>
      </c>
      <c r="I107" s="250">
        <v>1671.6</v>
      </c>
      <c r="J107" s="265">
        <v>-124493</v>
      </c>
      <c r="K107" s="265">
        <v>13541626</v>
      </c>
      <c r="L107" s="265">
        <v>0</v>
      </c>
      <c r="M107" s="265">
        <v>13541626</v>
      </c>
      <c r="N107" s="265">
        <v>861</v>
      </c>
      <c r="O107" s="250">
        <v>37333.699999999997</v>
      </c>
      <c r="P107" s="265">
        <v>896619</v>
      </c>
      <c r="Q107" s="265">
        <v>14438245</v>
      </c>
      <c r="R107" s="265">
        <v>0</v>
      </c>
    </row>
    <row r="108" spans="1:18" x14ac:dyDescent="0.25">
      <c r="A108" s="66" t="s">
        <v>302</v>
      </c>
      <c r="B108" t="s">
        <v>112</v>
      </c>
      <c r="C108" t="s">
        <v>238</v>
      </c>
      <c r="D108" s="265">
        <v>67</v>
      </c>
      <c r="E108" s="265">
        <v>11</v>
      </c>
      <c r="F108" s="265">
        <v>78</v>
      </c>
      <c r="G108" s="265">
        <v>0</v>
      </c>
      <c r="H108" s="271">
        <v>0.73816071400000005</v>
      </c>
      <c r="I108" s="250">
        <v>57.6</v>
      </c>
      <c r="J108" s="265">
        <v>0</v>
      </c>
      <c r="K108" s="265">
        <v>470907</v>
      </c>
      <c r="L108" s="265">
        <v>100000</v>
      </c>
      <c r="M108" s="265">
        <v>570907</v>
      </c>
      <c r="N108" s="265">
        <v>33</v>
      </c>
      <c r="O108" s="250">
        <v>352.8</v>
      </c>
      <c r="P108" s="265">
        <v>8473</v>
      </c>
      <c r="Q108" s="265">
        <v>579380</v>
      </c>
      <c r="R108" s="265">
        <v>31944</v>
      </c>
    </row>
    <row r="109" spans="1:18" x14ac:dyDescent="0.25">
      <c r="A109" s="66" t="s">
        <v>781</v>
      </c>
      <c r="B109" t="s">
        <v>113</v>
      </c>
      <c r="C109" t="s">
        <v>238</v>
      </c>
      <c r="D109" s="265">
        <v>477</v>
      </c>
      <c r="E109" s="265">
        <v>40</v>
      </c>
      <c r="F109" s="265">
        <v>517</v>
      </c>
      <c r="G109" s="265">
        <v>0</v>
      </c>
      <c r="H109" s="271">
        <v>0.71465982299999997</v>
      </c>
      <c r="I109" s="250">
        <v>369.5</v>
      </c>
      <c r="J109" s="265">
        <v>0</v>
      </c>
      <c r="K109" s="265">
        <v>3020837</v>
      </c>
      <c r="L109" s="265">
        <v>100000</v>
      </c>
      <c r="M109" s="265">
        <v>3120837</v>
      </c>
      <c r="N109" s="265">
        <v>450</v>
      </c>
      <c r="O109" s="250">
        <v>5715</v>
      </c>
      <c r="P109" s="265">
        <v>137253</v>
      </c>
      <c r="Q109" s="265">
        <v>3258090</v>
      </c>
      <c r="R109" s="265">
        <v>174618</v>
      </c>
    </row>
    <row r="110" spans="1:18" x14ac:dyDescent="0.25">
      <c r="A110" s="66" t="s">
        <v>301</v>
      </c>
      <c r="B110" t="s">
        <v>114</v>
      </c>
      <c r="C110" t="s">
        <v>246</v>
      </c>
      <c r="D110" s="265">
        <v>30</v>
      </c>
      <c r="E110" s="265">
        <v>3</v>
      </c>
      <c r="F110" s="265">
        <v>33</v>
      </c>
      <c r="G110" s="265">
        <v>0</v>
      </c>
      <c r="H110" s="271">
        <v>0.84030845099999996</v>
      </c>
      <c r="I110" s="250">
        <v>27.7</v>
      </c>
      <c r="J110" s="265">
        <v>0</v>
      </c>
      <c r="K110" s="265">
        <v>226461</v>
      </c>
      <c r="L110" s="265">
        <v>0</v>
      </c>
      <c r="M110" s="265">
        <v>226461</v>
      </c>
      <c r="N110" s="265">
        <v>24</v>
      </c>
      <c r="O110" s="250">
        <v>417</v>
      </c>
      <c r="P110" s="265">
        <v>10015</v>
      </c>
      <c r="Q110" s="265">
        <v>236476</v>
      </c>
      <c r="R110" s="265">
        <v>12671</v>
      </c>
    </row>
    <row r="111" spans="1:18" x14ac:dyDescent="0.25">
      <c r="A111" s="66" t="s">
        <v>300</v>
      </c>
      <c r="B111" t="s">
        <v>183</v>
      </c>
      <c r="C111" t="s">
        <v>238</v>
      </c>
      <c r="D111" s="265">
        <v>37</v>
      </c>
      <c r="E111" s="265">
        <v>0</v>
      </c>
      <c r="F111" s="265">
        <v>37</v>
      </c>
      <c r="G111" s="265">
        <v>0</v>
      </c>
      <c r="H111" s="271">
        <v>0.315</v>
      </c>
      <c r="I111" s="250">
        <v>11.7</v>
      </c>
      <c r="J111" s="265">
        <v>0</v>
      </c>
      <c r="K111" s="265">
        <v>95653</v>
      </c>
      <c r="L111" s="265">
        <v>0</v>
      </c>
      <c r="M111" s="265">
        <v>95653</v>
      </c>
      <c r="N111" s="265">
        <v>0</v>
      </c>
      <c r="O111" s="250">
        <v>0</v>
      </c>
      <c r="P111" s="265">
        <v>0</v>
      </c>
      <c r="Q111" s="265">
        <v>95653</v>
      </c>
      <c r="R111" s="265">
        <v>5352</v>
      </c>
    </row>
    <row r="112" spans="1:18" x14ac:dyDescent="0.25">
      <c r="A112" s="66" t="s">
        <v>299</v>
      </c>
      <c r="B112" t="s">
        <v>174</v>
      </c>
      <c r="C112" t="s">
        <v>246</v>
      </c>
      <c r="D112" s="265">
        <v>0</v>
      </c>
      <c r="E112" s="265">
        <v>10</v>
      </c>
      <c r="F112" s="265">
        <v>10</v>
      </c>
      <c r="G112" s="265">
        <v>0</v>
      </c>
      <c r="H112" s="271">
        <v>0.84150000000000003</v>
      </c>
      <c r="I112" s="250">
        <v>8.4</v>
      </c>
      <c r="J112" s="265">
        <v>0</v>
      </c>
      <c r="K112" s="265">
        <v>68674</v>
      </c>
      <c r="L112" s="265">
        <v>0</v>
      </c>
      <c r="M112" s="265">
        <v>68674</v>
      </c>
      <c r="N112" s="265">
        <v>0</v>
      </c>
      <c r="O112" s="250">
        <v>0</v>
      </c>
      <c r="P112" s="265">
        <v>0</v>
      </c>
      <c r="Q112" s="265">
        <v>68674</v>
      </c>
      <c r="R112" s="265">
        <v>3842</v>
      </c>
    </row>
    <row r="113" spans="1:18" x14ac:dyDescent="0.25">
      <c r="A113" s="66" t="s">
        <v>298</v>
      </c>
      <c r="B113" t="s">
        <v>115</v>
      </c>
      <c r="C113" t="s">
        <v>296</v>
      </c>
      <c r="D113" s="265">
        <v>50</v>
      </c>
      <c r="E113" s="265">
        <v>0</v>
      </c>
      <c r="F113" s="265">
        <v>50</v>
      </c>
      <c r="G113" s="265">
        <v>0</v>
      </c>
      <c r="H113" s="271">
        <v>1.048245951</v>
      </c>
      <c r="I113" s="250">
        <v>52.4</v>
      </c>
      <c r="J113" s="265">
        <v>0</v>
      </c>
      <c r="K113" s="265">
        <v>428395</v>
      </c>
      <c r="L113" s="265">
        <v>0</v>
      </c>
      <c r="M113" s="265">
        <v>428395</v>
      </c>
      <c r="N113" s="265">
        <v>37</v>
      </c>
      <c r="O113" s="250">
        <v>1343.6</v>
      </c>
      <c r="P113" s="265">
        <v>32268</v>
      </c>
      <c r="Q113" s="265">
        <v>460663</v>
      </c>
      <c r="R113" s="265">
        <v>23970</v>
      </c>
    </row>
    <row r="114" spans="1:18" x14ac:dyDescent="0.25">
      <c r="A114" s="66" t="s">
        <v>297</v>
      </c>
      <c r="B114" t="s">
        <v>116</v>
      </c>
      <c r="C114" t="s">
        <v>296</v>
      </c>
      <c r="D114" s="265">
        <v>3139</v>
      </c>
      <c r="E114" s="265">
        <v>328</v>
      </c>
      <c r="F114" s="265">
        <v>3467</v>
      </c>
      <c r="G114" s="265">
        <v>200</v>
      </c>
      <c r="H114" s="271">
        <v>1.1558256309999999</v>
      </c>
      <c r="I114" s="250">
        <v>4007.2</v>
      </c>
      <c r="J114" s="265">
        <v>-298438</v>
      </c>
      <c r="K114" s="265">
        <v>32462314</v>
      </c>
      <c r="L114" s="265">
        <v>90000</v>
      </c>
      <c r="M114" s="265">
        <v>32552314</v>
      </c>
      <c r="N114" s="265">
        <v>1569</v>
      </c>
      <c r="O114" s="250">
        <v>77349.600000000006</v>
      </c>
      <c r="P114" s="265">
        <v>1857655</v>
      </c>
      <c r="Q114" s="265">
        <v>34409969</v>
      </c>
      <c r="R114" s="265">
        <v>0</v>
      </c>
    </row>
    <row r="115" spans="1:18" x14ac:dyDescent="0.25">
      <c r="A115" s="66" t="s">
        <v>295</v>
      </c>
      <c r="B115" t="s">
        <v>117</v>
      </c>
      <c r="C115" t="s">
        <v>254</v>
      </c>
      <c r="D115" s="265">
        <v>1889</v>
      </c>
      <c r="E115" s="265">
        <v>199</v>
      </c>
      <c r="F115" s="265">
        <v>2088</v>
      </c>
      <c r="G115" s="265">
        <v>149</v>
      </c>
      <c r="H115" s="271">
        <v>1.060283485</v>
      </c>
      <c r="I115" s="250">
        <v>2213.9</v>
      </c>
      <c r="J115" s="265">
        <v>-164881</v>
      </c>
      <c r="K115" s="265">
        <v>17934797</v>
      </c>
      <c r="L115" s="265">
        <v>0</v>
      </c>
      <c r="M115" s="265">
        <v>17934797</v>
      </c>
      <c r="N115" s="265">
        <v>896</v>
      </c>
      <c r="O115" s="250">
        <v>45955.4</v>
      </c>
      <c r="P115" s="265">
        <v>1103681</v>
      </c>
      <c r="Q115" s="265">
        <v>19038478</v>
      </c>
      <c r="R115" s="265">
        <v>0</v>
      </c>
    </row>
    <row r="116" spans="1:18" x14ac:dyDescent="0.25">
      <c r="A116" s="66" t="s">
        <v>782</v>
      </c>
      <c r="B116" t="s">
        <v>175</v>
      </c>
      <c r="C116" t="s">
        <v>238</v>
      </c>
      <c r="D116" s="265">
        <v>214</v>
      </c>
      <c r="E116" s="265">
        <v>7</v>
      </c>
      <c r="F116" s="265">
        <v>221</v>
      </c>
      <c r="G116" s="265">
        <v>0</v>
      </c>
      <c r="H116" s="271">
        <v>1.2148516469999999</v>
      </c>
      <c r="I116" s="250">
        <v>268.5</v>
      </c>
      <c r="J116" s="265">
        <v>-19997</v>
      </c>
      <c r="K116" s="265">
        <v>2175117</v>
      </c>
      <c r="L116" s="265">
        <v>100000</v>
      </c>
      <c r="M116" s="265">
        <v>2275117</v>
      </c>
      <c r="N116" s="265">
        <v>77</v>
      </c>
      <c r="O116" s="250">
        <v>5830.4</v>
      </c>
      <c r="P116" s="265">
        <v>140025</v>
      </c>
      <c r="Q116" s="265">
        <v>2415142</v>
      </c>
      <c r="R116" s="265">
        <v>0</v>
      </c>
    </row>
    <row r="117" spans="1:18" x14ac:dyDescent="0.25">
      <c r="A117" s="66" t="s">
        <v>294</v>
      </c>
      <c r="B117" t="s">
        <v>212</v>
      </c>
      <c r="C117" t="s">
        <v>238</v>
      </c>
      <c r="D117" s="265">
        <v>0</v>
      </c>
      <c r="E117" s="265">
        <v>0</v>
      </c>
      <c r="F117" s="265">
        <v>0</v>
      </c>
      <c r="G117" s="265">
        <v>0</v>
      </c>
      <c r="H117" s="271">
        <v>0.315</v>
      </c>
      <c r="I117" s="250">
        <v>0</v>
      </c>
      <c r="J117" s="265">
        <v>0</v>
      </c>
      <c r="K117" s="265">
        <v>0</v>
      </c>
      <c r="L117" s="265">
        <v>0</v>
      </c>
      <c r="M117" s="265">
        <v>0</v>
      </c>
      <c r="N117" s="265">
        <v>0</v>
      </c>
      <c r="O117" s="250">
        <v>0</v>
      </c>
      <c r="P117" s="265">
        <v>0</v>
      </c>
      <c r="Q117" s="265">
        <v>0</v>
      </c>
      <c r="R117" s="265">
        <v>0</v>
      </c>
    </row>
    <row r="118" spans="1:18" x14ac:dyDescent="0.25">
      <c r="A118" s="66" t="s">
        <v>293</v>
      </c>
      <c r="B118" t="s">
        <v>118</v>
      </c>
      <c r="C118" t="s">
        <v>249</v>
      </c>
      <c r="D118" s="265">
        <v>3324</v>
      </c>
      <c r="E118" s="265">
        <v>306</v>
      </c>
      <c r="F118" s="265">
        <v>3630</v>
      </c>
      <c r="G118" s="265">
        <v>60</v>
      </c>
      <c r="H118" s="271">
        <v>1.059778162</v>
      </c>
      <c r="I118" s="250">
        <v>3847</v>
      </c>
      <c r="J118" s="265">
        <v>-286507</v>
      </c>
      <c r="K118" s="265">
        <v>31164534</v>
      </c>
      <c r="L118" s="265">
        <v>0</v>
      </c>
      <c r="M118" s="265">
        <v>31164534</v>
      </c>
      <c r="N118" s="265">
        <v>1304</v>
      </c>
      <c r="O118" s="250">
        <v>63638.6</v>
      </c>
      <c r="P118" s="265">
        <v>1528367</v>
      </c>
      <c r="Q118" s="265">
        <v>32692901</v>
      </c>
      <c r="R118" s="265">
        <v>0</v>
      </c>
    </row>
    <row r="119" spans="1:18" x14ac:dyDescent="0.25">
      <c r="A119" s="66" t="s">
        <v>292</v>
      </c>
      <c r="B119" t="s">
        <v>119</v>
      </c>
      <c r="C119" t="s">
        <v>287</v>
      </c>
      <c r="D119" s="265">
        <v>1814</v>
      </c>
      <c r="E119" s="265">
        <v>257</v>
      </c>
      <c r="F119" s="265">
        <v>2071</v>
      </c>
      <c r="G119" s="265">
        <v>165</v>
      </c>
      <c r="H119" s="271">
        <v>1.081573315</v>
      </c>
      <c r="I119" s="250">
        <v>2239.9</v>
      </c>
      <c r="J119" s="265">
        <v>-166817</v>
      </c>
      <c r="K119" s="265">
        <v>18145423</v>
      </c>
      <c r="L119" s="265">
        <v>0</v>
      </c>
      <c r="M119" s="265">
        <v>18145423</v>
      </c>
      <c r="N119" s="265">
        <v>788</v>
      </c>
      <c r="O119" s="250">
        <v>40173.800000000003</v>
      </c>
      <c r="P119" s="265">
        <v>964828</v>
      </c>
      <c r="Q119" s="265">
        <v>19110251</v>
      </c>
      <c r="R119" s="265">
        <v>0</v>
      </c>
    </row>
    <row r="120" spans="1:18" x14ac:dyDescent="0.25">
      <c r="A120" s="66" t="s">
        <v>291</v>
      </c>
      <c r="B120" t="s">
        <v>120</v>
      </c>
      <c r="C120" t="s">
        <v>242</v>
      </c>
      <c r="D120" s="265">
        <v>5755</v>
      </c>
      <c r="E120" s="265">
        <v>416</v>
      </c>
      <c r="F120" s="265">
        <v>6171</v>
      </c>
      <c r="G120" s="265">
        <v>150</v>
      </c>
      <c r="H120" s="271">
        <v>1.045866593</v>
      </c>
      <c r="I120" s="250">
        <v>6454</v>
      </c>
      <c r="J120" s="265">
        <v>-480664</v>
      </c>
      <c r="K120" s="265">
        <v>52283833</v>
      </c>
      <c r="L120" s="265">
        <v>90000</v>
      </c>
      <c r="M120" s="265">
        <v>52373833</v>
      </c>
      <c r="N120" s="265">
        <v>2526</v>
      </c>
      <c r="O120" s="250">
        <v>118370</v>
      </c>
      <c r="P120" s="265">
        <v>2842816</v>
      </c>
      <c r="Q120" s="265">
        <v>55216649</v>
      </c>
      <c r="R120" s="265">
        <v>0</v>
      </c>
    </row>
    <row r="121" spans="1:18" x14ac:dyDescent="0.25">
      <c r="A121" s="66" t="s">
        <v>290</v>
      </c>
      <c r="B121" t="s">
        <v>121</v>
      </c>
      <c r="C121" t="s">
        <v>271</v>
      </c>
      <c r="D121" s="265">
        <v>4109</v>
      </c>
      <c r="E121" s="265">
        <v>658</v>
      </c>
      <c r="F121" s="265">
        <v>4767</v>
      </c>
      <c r="G121" s="265">
        <v>500</v>
      </c>
      <c r="H121" s="271">
        <v>1.0401869450000001</v>
      </c>
      <c r="I121" s="250">
        <v>4958.6000000000004</v>
      </c>
      <c r="J121" s="265">
        <v>-369294</v>
      </c>
      <c r="K121" s="265">
        <v>40169602</v>
      </c>
      <c r="L121" s="265">
        <v>470000</v>
      </c>
      <c r="M121" s="265">
        <v>40639602</v>
      </c>
      <c r="N121" s="265">
        <v>1933</v>
      </c>
      <c r="O121" s="250">
        <v>96309.5</v>
      </c>
      <c r="P121" s="265">
        <v>2313003</v>
      </c>
      <c r="Q121" s="265">
        <v>42952605</v>
      </c>
      <c r="R121" s="265">
        <v>0</v>
      </c>
    </row>
    <row r="122" spans="1:18" x14ac:dyDescent="0.25">
      <c r="A122" s="66" t="s">
        <v>289</v>
      </c>
      <c r="B122" t="s">
        <v>122</v>
      </c>
      <c r="C122" t="s">
        <v>238</v>
      </c>
      <c r="D122" s="265">
        <v>1564</v>
      </c>
      <c r="E122" s="265">
        <v>295</v>
      </c>
      <c r="F122" s="265">
        <v>1859</v>
      </c>
      <c r="G122" s="265">
        <v>80</v>
      </c>
      <c r="H122" s="271">
        <v>1.085639598</v>
      </c>
      <c r="I122" s="250">
        <v>2018.2</v>
      </c>
      <c r="J122" s="265">
        <v>0</v>
      </c>
      <c r="K122" s="265">
        <v>16499738</v>
      </c>
      <c r="L122" s="265">
        <v>0</v>
      </c>
      <c r="M122" s="265">
        <v>16499738</v>
      </c>
      <c r="N122" s="265">
        <v>627</v>
      </c>
      <c r="O122" s="250">
        <v>29980.400000000001</v>
      </c>
      <c r="P122" s="265">
        <v>720020</v>
      </c>
      <c r="Q122" s="265">
        <v>17219758</v>
      </c>
      <c r="R122" s="265">
        <v>923198</v>
      </c>
    </row>
    <row r="123" spans="1:18" x14ac:dyDescent="0.25">
      <c r="A123" s="66" t="s">
        <v>288</v>
      </c>
      <c r="B123" t="s">
        <v>184</v>
      </c>
      <c r="C123" t="s">
        <v>287</v>
      </c>
      <c r="D123" s="265">
        <v>49</v>
      </c>
      <c r="E123" s="265">
        <v>34</v>
      </c>
      <c r="F123" s="265">
        <v>83</v>
      </c>
      <c r="G123" s="265">
        <v>0</v>
      </c>
      <c r="H123" s="271">
        <v>0.63</v>
      </c>
      <c r="I123" s="250">
        <v>52.3</v>
      </c>
      <c r="J123" s="265">
        <v>0</v>
      </c>
      <c r="K123" s="265">
        <v>427577</v>
      </c>
      <c r="L123" s="265">
        <v>6650000</v>
      </c>
      <c r="M123" s="265">
        <v>7077577</v>
      </c>
      <c r="N123" s="265">
        <v>0</v>
      </c>
      <c r="O123" s="250">
        <v>0</v>
      </c>
      <c r="P123" s="265">
        <v>0</v>
      </c>
      <c r="Q123" s="265">
        <v>7077577</v>
      </c>
      <c r="R123" s="265">
        <v>396007</v>
      </c>
    </row>
    <row r="124" spans="1:18" x14ac:dyDescent="0.25">
      <c r="A124" s="66" t="s">
        <v>286</v>
      </c>
      <c r="B124" t="s">
        <v>123</v>
      </c>
      <c r="C124" t="s">
        <v>238</v>
      </c>
      <c r="D124" s="265">
        <v>27</v>
      </c>
      <c r="E124" s="265">
        <v>0</v>
      </c>
      <c r="F124" s="265">
        <v>27</v>
      </c>
      <c r="G124" s="265">
        <v>0</v>
      </c>
      <c r="H124" s="271">
        <v>1.23</v>
      </c>
      <c r="I124" s="250">
        <v>33.200000000000003</v>
      </c>
      <c r="J124" s="265">
        <v>0</v>
      </c>
      <c r="K124" s="265">
        <v>271426</v>
      </c>
      <c r="L124" s="265">
        <v>280000</v>
      </c>
      <c r="M124" s="265">
        <v>551426</v>
      </c>
      <c r="N124" s="265">
        <v>9</v>
      </c>
      <c r="O124" s="250">
        <v>797</v>
      </c>
      <c r="P124" s="265">
        <v>19141</v>
      </c>
      <c r="Q124" s="265">
        <v>570567</v>
      </c>
      <c r="R124" s="265">
        <v>30854</v>
      </c>
    </row>
    <row r="125" spans="1:18" x14ac:dyDescent="0.25">
      <c r="A125" s="66" t="s">
        <v>285</v>
      </c>
      <c r="B125" t="s">
        <v>155</v>
      </c>
      <c r="C125" t="s">
        <v>238</v>
      </c>
      <c r="D125" s="265">
        <v>21</v>
      </c>
      <c r="E125" s="265">
        <v>0</v>
      </c>
      <c r="F125" s="265">
        <v>21</v>
      </c>
      <c r="G125" s="265">
        <v>0</v>
      </c>
      <c r="H125" s="271">
        <v>1.0455000000000001</v>
      </c>
      <c r="I125" s="250">
        <v>22</v>
      </c>
      <c r="J125" s="265">
        <v>0</v>
      </c>
      <c r="K125" s="265">
        <v>179860</v>
      </c>
      <c r="L125" s="265">
        <v>0</v>
      </c>
      <c r="M125" s="265">
        <v>179860</v>
      </c>
      <c r="N125" s="265">
        <v>10</v>
      </c>
      <c r="O125" s="250">
        <v>212.5</v>
      </c>
      <c r="P125" s="265">
        <v>5103</v>
      </c>
      <c r="Q125" s="265">
        <v>184963</v>
      </c>
      <c r="R125" s="265">
        <v>10064</v>
      </c>
    </row>
    <row r="126" spans="1:18" x14ac:dyDescent="0.25">
      <c r="A126" s="66" t="s">
        <v>284</v>
      </c>
      <c r="B126" t="s">
        <v>124</v>
      </c>
      <c r="C126" t="s">
        <v>272</v>
      </c>
      <c r="D126" s="265">
        <v>102</v>
      </c>
      <c r="E126" s="265">
        <v>0</v>
      </c>
      <c r="F126" s="265">
        <v>102</v>
      </c>
      <c r="G126" s="265">
        <v>0</v>
      </c>
      <c r="H126" s="271">
        <v>1.271532847</v>
      </c>
      <c r="I126" s="250">
        <v>129.69999999999999</v>
      </c>
      <c r="J126" s="265">
        <v>0</v>
      </c>
      <c r="K126" s="265">
        <v>1060359</v>
      </c>
      <c r="L126" s="265">
        <v>0</v>
      </c>
      <c r="M126" s="265">
        <v>1060359</v>
      </c>
      <c r="N126" s="265">
        <v>38</v>
      </c>
      <c r="O126" s="250">
        <v>2281</v>
      </c>
      <c r="P126" s="265">
        <v>54781</v>
      </c>
      <c r="Q126" s="265">
        <v>1115140</v>
      </c>
      <c r="R126" s="265">
        <v>59329</v>
      </c>
    </row>
    <row r="127" spans="1:18" x14ac:dyDescent="0.25">
      <c r="A127" s="66" t="s">
        <v>283</v>
      </c>
      <c r="B127" t="s">
        <v>125</v>
      </c>
      <c r="C127" t="s">
        <v>252</v>
      </c>
      <c r="D127" s="265">
        <v>218</v>
      </c>
      <c r="E127" s="265">
        <v>20</v>
      </c>
      <c r="F127" s="265">
        <v>238</v>
      </c>
      <c r="G127" s="265">
        <v>0</v>
      </c>
      <c r="H127" s="271">
        <v>1.369380281</v>
      </c>
      <c r="I127" s="250">
        <v>325.89999999999998</v>
      </c>
      <c r="J127" s="265">
        <v>0</v>
      </c>
      <c r="K127" s="265">
        <v>2664386</v>
      </c>
      <c r="L127" s="265">
        <v>0</v>
      </c>
      <c r="M127" s="265">
        <v>2664386</v>
      </c>
      <c r="N127" s="265">
        <v>137</v>
      </c>
      <c r="O127" s="250">
        <v>7392.9</v>
      </c>
      <c r="P127" s="265">
        <v>177550</v>
      </c>
      <c r="Q127" s="265">
        <v>2841936</v>
      </c>
      <c r="R127" s="265">
        <v>149079</v>
      </c>
    </row>
    <row r="128" spans="1:18" x14ac:dyDescent="0.25">
      <c r="A128" s="66" t="s">
        <v>282</v>
      </c>
      <c r="B128" t="s">
        <v>126</v>
      </c>
      <c r="C128" t="s">
        <v>238</v>
      </c>
      <c r="D128" s="265">
        <v>169</v>
      </c>
      <c r="E128" s="265">
        <v>37</v>
      </c>
      <c r="F128" s="265">
        <v>206</v>
      </c>
      <c r="G128" s="265">
        <v>20</v>
      </c>
      <c r="H128" s="271">
        <v>0.83814167299999998</v>
      </c>
      <c r="I128" s="250">
        <v>172.7</v>
      </c>
      <c r="J128" s="265">
        <v>0</v>
      </c>
      <c r="K128" s="265">
        <v>1411904</v>
      </c>
      <c r="L128" s="265">
        <v>0</v>
      </c>
      <c r="M128" s="265">
        <v>1411904</v>
      </c>
      <c r="N128" s="265">
        <v>98</v>
      </c>
      <c r="O128" s="250">
        <v>1240.3</v>
      </c>
      <c r="P128" s="265">
        <v>29787</v>
      </c>
      <c r="Q128" s="265">
        <v>1441691</v>
      </c>
      <c r="R128" s="265">
        <v>78999</v>
      </c>
    </row>
    <row r="129" spans="1:18" x14ac:dyDescent="0.25">
      <c r="A129" s="66" t="s">
        <v>281</v>
      </c>
      <c r="B129" t="s">
        <v>127</v>
      </c>
      <c r="C129" t="s">
        <v>271</v>
      </c>
      <c r="D129" s="265">
        <v>488</v>
      </c>
      <c r="E129" s="265">
        <v>160</v>
      </c>
      <c r="F129" s="265">
        <v>648</v>
      </c>
      <c r="G129" s="265">
        <v>110</v>
      </c>
      <c r="H129" s="271">
        <v>0.709182007</v>
      </c>
      <c r="I129" s="250">
        <v>459.5</v>
      </c>
      <c r="J129" s="265">
        <v>0</v>
      </c>
      <c r="K129" s="265">
        <v>3756629</v>
      </c>
      <c r="L129" s="265">
        <v>0</v>
      </c>
      <c r="M129" s="265">
        <v>3756629</v>
      </c>
      <c r="N129" s="265">
        <v>451</v>
      </c>
      <c r="O129" s="250">
        <v>7733</v>
      </c>
      <c r="P129" s="265">
        <v>185718</v>
      </c>
      <c r="Q129" s="265">
        <v>3942347</v>
      </c>
      <c r="R129" s="265">
        <v>210192</v>
      </c>
    </row>
    <row r="130" spans="1:18" x14ac:dyDescent="0.25">
      <c r="A130" s="66" t="s">
        <v>280</v>
      </c>
      <c r="B130" t="s">
        <v>128</v>
      </c>
      <c r="C130" t="s">
        <v>271</v>
      </c>
      <c r="D130" s="265">
        <v>563</v>
      </c>
      <c r="E130" s="265">
        <v>0</v>
      </c>
      <c r="F130" s="265">
        <v>563</v>
      </c>
      <c r="G130" s="265">
        <v>0</v>
      </c>
      <c r="H130" s="271">
        <v>1.0678462209999999</v>
      </c>
      <c r="I130" s="250">
        <v>601.20000000000005</v>
      </c>
      <c r="J130" s="265">
        <v>-44775</v>
      </c>
      <c r="K130" s="265">
        <v>4870319</v>
      </c>
      <c r="L130" s="265">
        <v>0</v>
      </c>
      <c r="M130" s="265">
        <v>4870319</v>
      </c>
      <c r="N130" s="265">
        <v>247</v>
      </c>
      <c r="O130" s="250">
        <v>14685.2</v>
      </c>
      <c r="P130" s="265">
        <v>352685</v>
      </c>
      <c r="Q130" s="265">
        <v>5223004</v>
      </c>
      <c r="R130" s="265">
        <v>0</v>
      </c>
    </row>
    <row r="131" spans="1:18" x14ac:dyDescent="0.25">
      <c r="A131" s="66" t="s">
        <v>783</v>
      </c>
      <c r="B131" t="s">
        <v>129</v>
      </c>
      <c r="C131" t="s">
        <v>238</v>
      </c>
      <c r="D131" s="265">
        <v>873</v>
      </c>
      <c r="E131" s="265">
        <v>10</v>
      </c>
      <c r="F131" s="265">
        <v>883</v>
      </c>
      <c r="G131" s="265">
        <v>0</v>
      </c>
      <c r="H131" s="271">
        <v>0.99732120899999999</v>
      </c>
      <c r="I131" s="250">
        <v>880.6</v>
      </c>
      <c r="J131" s="265">
        <v>0</v>
      </c>
      <c r="K131" s="265">
        <v>7199321</v>
      </c>
      <c r="L131" s="265">
        <v>0</v>
      </c>
      <c r="M131" s="265">
        <v>7199321</v>
      </c>
      <c r="N131" s="265">
        <v>280</v>
      </c>
      <c r="O131" s="250">
        <v>15448.1</v>
      </c>
      <c r="P131" s="265">
        <v>371007</v>
      </c>
      <c r="Q131" s="265">
        <v>7570328</v>
      </c>
      <c r="R131" s="265">
        <v>402818</v>
      </c>
    </row>
    <row r="132" spans="1:18" x14ac:dyDescent="0.25">
      <c r="A132" s="66" t="s">
        <v>278</v>
      </c>
      <c r="B132" t="s">
        <v>130</v>
      </c>
      <c r="C132" t="s">
        <v>244</v>
      </c>
      <c r="D132" s="265">
        <v>1394</v>
      </c>
      <c r="E132" s="265">
        <v>125</v>
      </c>
      <c r="F132" s="265">
        <v>1519</v>
      </c>
      <c r="G132" s="265">
        <v>80</v>
      </c>
      <c r="H132" s="271">
        <v>1.1380644170000001</v>
      </c>
      <c r="I132" s="250">
        <v>1728.7</v>
      </c>
      <c r="J132" s="265">
        <v>-128746</v>
      </c>
      <c r="K132" s="265">
        <v>14004193</v>
      </c>
      <c r="L132" s="265">
        <v>0</v>
      </c>
      <c r="M132" s="265">
        <v>14004193</v>
      </c>
      <c r="N132" s="265">
        <v>655</v>
      </c>
      <c r="O132" s="250">
        <v>34846.300000000003</v>
      </c>
      <c r="P132" s="265">
        <v>836881</v>
      </c>
      <c r="Q132" s="265">
        <v>14841074</v>
      </c>
      <c r="R132" s="265">
        <v>0</v>
      </c>
    </row>
    <row r="133" spans="1:18" x14ac:dyDescent="0.25">
      <c r="A133" s="66" t="s">
        <v>277</v>
      </c>
      <c r="B133" t="s">
        <v>131</v>
      </c>
      <c r="C133" t="s">
        <v>249</v>
      </c>
      <c r="D133" s="265">
        <v>956</v>
      </c>
      <c r="E133" s="265">
        <v>867</v>
      </c>
      <c r="F133" s="265">
        <v>1823</v>
      </c>
      <c r="G133" s="265">
        <v>672</v>
      </c>
      <c r="H133" s="271">
        <v>0.84988779400000003</v>
      </c>
      <c r="I133" s="250">
        <v>1549.3</v>
      </c>
      <c r="J133" s="265">
        <v>0</v>
      </c>
      <c r="K133" s="265">
        <v>12666259</v>
      </c>
      <c r="L133" s="265">
        <v>250000</v>
      </c>
      <c r="M133" s="265">
        <v>12916259</v>
      </c>
      <c r="N133" s="265">
        <v>845</v>
      </c>
      <c r="O133" s="250">
        <v>27869.3</v>
      </c>
      <c r="P133" s="265">
        <v>669319</v>
      </c>
      <c r="Q133" s="265">
        <v>13585578</v>
      </c>
      <c r="R133" s="265">
        <v>722694</v>
      </c>
    </row>
    <row r="134" spans="1:18" x14ac:dyDescent="0.25">
      <c r="A134" s="66" t="s">
        <v>276</v>
      </c>
      <c r="B134" t="s">
        <v>132</v>
      </c>
      <c r="C134" t="s">
        <v>249</v>
      </c>
      <c r="D134" s="265">
        <v>8065</v>
      </c>
      <c r="E134" s="265">
        <v>549</v>
      </c>
      <c r="F134" s="265">
        <v>8614</v>
      </c>
      <c r="G134" s="265">
        <v>105</v>
      </c>
      <c r="H134" s="271">
        <v>1.0298232570000001</v>
      </c>
      <c r="I134" s="250">
        <v>8870.9</v>
      </c>
      <c r="J134" s="265">
        <v>-660664</v>
      </c>
      <c r="K134" s="265">
        <v>71863132</v>
      </c>
      <c r="L134" s="265">
        <v>150000</v>
      </c>
      <c r="M134" s="265">
        <v>72013132</v>
      </c>
      <c r="N134" s="265">
        <v>3773</v>
      </c>
      <c r="O134" s="250">
        <v>185209.4</v>
      </c>
      <c r="P134" s="265">
        <v>4448054</v>
      </c>
      <c r="Q134" s="265">
        <v>76461186</v>
      </c>
      <c r="R134" s="265">
        <v>0</v>
      </c>
    </row>
    <row r="135" spans="1:18" x14ac:dyDescent="0.25">
      <c r="A135" s="66" t="s">
        <v>275</v>
      </c>
      <c r="B135" t="s">
        <v>133</v>
      </c>
      <c r="C135" t="s">
        <v>249</v>
      </c>
      <c r="D135" s="265">
        <v>61</v>
      </c>
      <c r="E135" s="265">
        <v>5</v>
      </c>
      <c r="F135" s="265">
        <v>66</v>
      </c>
      <c r="G135" s="265">
        <v>0</v>
      </c>
      <c r="H135" s="271">
        <v>1.455249169</v>
      </c>
      <c r="I135" s="250">
        <v>96</v>
      </c>
      <c r="J135" s="265">
        <v>0</v>
      </c>
      <c r="K135" s="265">
        <v>784845</v>
      </c>
      <c r="L135" s="265">
        <v>0</v>
      </c>
      <c r="M135" s="265">
        <v>784845</v>
      </c>
      <c r="N135" s="265">
        <v>29</v>
      </c>
      <c r="O135" s="250">
        <v>2699.5</v>
      </c>
      <c r="P135" s="265">
        <v>64832</v>
      </c>
      <c r="Q135" s="265">
        <v>849677</v>
      </c>
      <c r="R135" s="265">
        <v>43914</v>
      </c>
    </row>
    <row r="136" spans="1:18" x14ac:dyDescent="0.25">
      <c r="A136" s="66" t="s">
        <v>274</v>
      </c>
      <c r="B136" t="s">
        <v>176</v>
      </c>
      <c r="C136" t="s">
        <v>249</v>
      </c>
      <c r="D136" s="265">
        <v>0</v>
      </c>
      <c r="E136" s="265">
        <v>5</v>
      </c>
      <c r="F136" s="265">
        <v>5</v>
      </c>
      <c r="G136" s="265">
        <v>0</v>
      </c>
      <c r="H136" s="271">
        <v>0.84150000000000003</v>
      </c>
      <c r="I136" s="250">
        <v>4.2</v>
      </c>
      <c r="J136" s="265">
        <v>0</v>
      </c>
      <c r="K136" s="265">
        <v>34337</v>
      </c>
      <c r="L136" s="265">
        <v>0</v>
      </c>
      <c r="M136" s="265">
        <v>34337</v>
      </c>
      <c r="N136" s="265">
        <v>0</v>
      </c>
      <c r="O136" s="250">
        <v>0</v>
      </c>
      <c r="P136" s="265">
        <v>0</v>
      </c>
      <c r="Q136" s="265">
        <v>34337</v>
      </c>
      <c r="R136" s="265">
        <v>1921</v>
      </c>
    </row>
    <row r="137" spans="1:18" x14ac:dyDescent="0.25">
      <c r="A137" s="66" t="s">
        <v>273</v>
      </c>
      <c r="B137" t="s">
        <v>134</v>
      </c>
      <c r="C137" t="s">
        <v>272</v>
      </c>
      <c r="D137" s="265">
        <v>66</v>
      </c>
      <c r="E137" s="265">
        <v>4</v>
      </c>
      <c r="F137" s="265">
        <v>70</v>
      </c>
      <c r="G137" s="265">
        <v>0</v>
      </c>
      <c r="H137" s="271">
        <v>1.6990771920000001</v>
      </c>
      <c r="I137" s="250">
        <v>118.9</v>
      </c>
      <c r="J137" s="265">
        <v>0</v>
      </c>
      <c r="K137" s="265">
        <v>972064</v>
      </c>
      <c r="L137" s="265">
        <v>0</v>
      </c>
      <c r="M137" s="265">
        <v>972064</v>
      </c>
      <c r="N137" s="265">
        <v>26</v>
      </c>
      <c r="O137" s="250">
        <v>2976.5</v>
      </c>
      <c r="P137" s="265">
        <v>71485</v>
      </c>
      <c r="Q137" s="265">
        <v>1043549</v>
      </c>
      <c r="R137" s="265">
        <v>54389</v>
      </c>
    </row>
    <row r="138" spans="1:18" x14ac:dyDescent="0.25">
      <c r="A138" s="66" t="s">
        <v>268</v>
      </c>
      <c r="B138" t="s">
        <v>135</v>
      </c>
      <c r="C138" t="s">
        <v>242</v>
      </c>
      <c r="D138" s="265">
        <v>184</v>
      </c>
      <c r="E138" s="265">
        <v>13</v>
      </c>
      <c r="F138" s="265">
        <v>197</v>
      </c>
      <c r="G138" s="265">
        <v>0</v>
      </c>
      <c r="H138" s="271">
        <v>1.4240868550000001</v>
      </c>
      <c r="I138" s="250">
        <v>280.5</v>
      </c>
      <c r="J138" s="265">
        <v>0</v>
      </c>
      <c r="K138" s="265">
        <v>2293220</v>
      </c>
      <c r="L138" s="265">
        <v>0</v>
      </c>
      <c r="M138" s="265">
        <v>2293220</v>
      </c>
      <c r="N138" s="265">
        <v>71</v>
      </c>
      <c r="O138" s="250">
        <v>5557.1</v>
      </c>
      <c r="P138" s="265">
        <v>133461</v>
      </c>
      <c r="Q138" s="265">
        <v>2426681</v>
      </c>
      <c r="R138" s="265">
        <v>128311</v>
      </c>
    </row>
    <row r="139" spans="1:18" x14ac:dyDescent="0.25">
      <c r="A139" s="66" t="s">
        <v>270</v>
      </c>
      <c r="B139" t="s">
        <v>177</v>
      </c>
      <c r="C139" t="s">
        <v>238</v>
      </c>
      <c r="D139" s="265">
        <v>35</v>
      </c>
      <c r="E139" s="265">
        <v>0</v>
      </c>
      <c r="F139" s="265">
        <v>35</v>
      </c>
      <c r="G139" s="265">
        <v>0</v>
      </c>
      <c r="H139" s="271">
        <v>0.75586134500000002</v>
      </c>
      <c r="I139" s="250">
        <v>26.5</v>
      </c>
      <c r="J139" s="265">
        <v>0</v>
      </c>
      <c r="K139" s="265">
        <v>216650</v>
      </c>
      <c r="L139" s="265">
        <v>0</v>
      </c>
      <c r="M139" s="265">
        <v>216650</v>
      </c>
      <c r="N139" s="265">
        <v>31</v>
      </c>
      <c r="O139" s="250">
        <v>339.2</v>
      </c>
      <c r="P139" s="265">
        <v>8146</v>
      </c>
      <c r="Q139" s="265">
        <v>224796</v>
      </c>
      <c r="R139" s="265">
        <v>12122</v>
      </c>
    </row>
    <row r="140" spans="1:18" x14ac:dyDescent="0.25">
      <c r="A140" s="66" t="s">
        <v>269</v>
      </c>
      <c r="B140" t="s">
        <v>136</v>
      </c>
      <c r="C140" t="s">
        <v>242</v>
      </c>
      <c r="D140" s="265">
        <v>0</v>
      </c>
      <c r="E140" s="265">
        <v>10</v>
      </c>
      <c r="F140" s="265">
        <v>10</v>
      </c>
      <c r="G140" s="265">
        <v>10</v>
      </c>
      <c r="H140" s="271">
        <v>1</v>
      </c>
      <c r="I140" s="250">
        <v>10</v>
      </c>
      <c r="J140" s="265">
        <v>0</v>
      </c>
      <c r="K140" s="265">
        <v>81755</v>
      </c>
      <c r="L140" s="265">
        <v>60000</v>
      </c>
      <c r="M140" s="265">
        <v>141755</v>
      </c>
      <c r="N140" s="265">
        <v>0</v>
      </c>
      <c r="O140" s="250">
        <v>0</v>
      </c>
      <c r="P140" s="265">
        <v>0</v>
      </c>
      <c r="Q140" s="265">
        <v>141755</v>
      </c>
      <c r="R140" s="265">
        <v>7932</v>
      </c>
    </row>
    <row r="141" spans="1:18" x14ac:dyDescent="0.25">
      <c r="A141" s="66" t="s">
        <v>267</v>
      </c>
      <c r="B141" t="s">
        <v>178</v>
      </c>
      <c r="C141" t="s">
        <v>238</v>
      </c>
      <c r="D141" s="265">
        <v>5</v>
      </c>
      <c r="E141" s="265">
        <v>0</v>
      </c>
      <c r="F141" s="265">
        <v>5</v>
      </c>
      <c r="G141" s="265">
        <v>0</v>
      </c>
      <c r="H141" s="271">
        <v>0.84150000000000003</v>
      </c>
      <c r="I141" s="250">
        <v>4.2</v>
      </c>
      <c r="J141" s="265">
        <v>0</v>
      </c>
      <c r="K141" s="265">
        <v>34337</v>
      </c>
      <c r="L141" s="265">
        <v>0</v>
      </c>
      <c r="M141" s="265">
        <v>34337</v>
      </c>
      <c r="N141" s="265">
        <v>7</v>
      </c>
      <c r="O141" s="250">
        <v>106.9</v>
      </c>
      <c r="P141" s="265">
        <v>2567</v>
      </c>
      <c r="Q141" s="265">
        <v>36904</v>
      </c>
      <c r="R141" s="265">
        <v>1921</v>
      </c>
    </row>
    <row r="142" spans="1:18" x14ac:dyDescent="0.25">
      <c r="A142" s="66" t="s">
        <v>266</v>
      </c>
      <c r="B142" t="s">
        <v>137</v>
      </c>
      <c r="C142" t="s">
        <v>254</v>
      </c>
      <c r="D142" s="265">
        <v>610</v>
      </c>
      <c r="E142" s="265">
        <v>561</v>
      </c>
      <c r="F142" s="265">
        <v>1171</v>
      </c>
      <c r="G142" s="265">
        <v>540</v>
      </c>
      <c r="H142" s="271">
        <v>0.84328893599999999</v>
      </c>
      <c r="I142" s="250">
        <v>987.5</v>
      </c>
      <c r="J142" s="265">
        <v>0</v>
      </c>
      <c r="K142" s="265">
        <v>8073279</v>
      </c>
      <c r="L142" s="265">
        <v>210000</v>
      </c>
      <c r="M142" s="265">
        <v>8283279</v>
      </c>
      <c r="N142" s="265">
        <v>585</v>
      </c>
      <c r="O142" s="250">
        <v>17307.400000000001</v>
      </c>
      <c r="P142" s="265">
        <v>415661</v>
      </c>
      <c r="Q142" s="265">
        <v>8698940</v>
      </c>
      <c r="R142" s="265">
        <v>463468</v>
      </c>
    </row>
    <row r="143" spans="1:18" x14ac:dyDescent="0.25">
      <c r="A143" s="66" t="s">
        <v>265</v>
      </c>
      <c r="B143" t="s">
        <v>138</v>
      </c>
      <c r="C143" t="s">
        <v>254</v>
      </c>
      <c r="D143" s="265">
        <v>302</v>
      </c>
      <c r="E143" s="265">
        <v>36</v>
      </c>
      <c r="F143" s="265">
        <v>338</v>
      </c>
      <c r="G143" s="265">
        <v>26</v>
      </c>
      <c r="H143" s="271">
        <v>1.115000309</v>
      </c>
      <c r="I143" s="250">
        <v>376.9</v>
      </c>
      <c r="J143" s="265">
        <v>0</v>
      </c>
      <c r="K143" s="265">
        <v>3081335</v>
      </c>
      <c r="L143" s="265">
        <v>0</v>
      </c>
      <c r="M143" s="265">
        <v>3081335</v>
      </c>
      <c r="N143" s="265">
        <v>118</v>
      </c>
      <c r="O143" s="250">
        <v>6443.7</v>
      </c>
      <c r="P143" s="265">
        <v>154754</v>
      </c>
      <c r="Q143" s="265">
        <v>3236089</v>
      </c>
      <c r="R143" s="265">
        <v>172408</v>
      </c>
    </row>
    <row r="144" spans="1:18" x14ac:dyDescent="0.25">
      <c r="A144" s="66" t="s">
        <v>264</v>
      </c>
      <c r="B144" t="s">
        <v>139</v>
      </c>
      <c r="C144" t="s">
        <v>254</v>
      </c>
      <c r="D144" s="265">
        <v>4466</v>
      </c>
      <c r="E144" s="265">
        <v>623</v>
      </c>
      <c r="F144" s="265">
        <v>5089</v>
      </c>
      <c r="G144" s="265">
        <v>240</v>
      </c>
      <c r="H144" s="271">
        <v>0.97482506300000005</v>
      </c>
      <c r="I144" s="250">
        <v>4960.8999999999996</v>
      </c>
      <c r="J144" s="265">
        <v>-369465</v>
      </c>
      <c r="K144" s="265">
        <v>40188235</v>
      </c>
      <c r="L144" s="265">
        <v>0</v>
      </c>
      <c r="M144" s="265">
        <v>40188235</v>
      </c>
      <c r="N144" s="265">
        <v>2049</v>
      </c>
      <c r="O144" s="250">
        <v>99926.5</v>
      </c>
      <c r="P144" s="265">
        <v>2399870</v>
      </c>
      <c r="Q144" s="265">
        <v>42588105</v>
      </c>
      <c r="R144" s="265">
        <v>0</v>
      </c>
    </row>
    <row r="145" spans="1:18" x14ac:dyDescent="0.25">
      <c r="A145" s="66" t="s">
        <v>784</v>
      </c>
      <c r="B145" t="s">
        <v>140</v>
      </c>
      <c r="C145" t="s">
        <v>254</v>
      </c>
      <c r="D145" s="265">
        <v>79</v>
      </c>
      <c r="E145" s="265">
        <v>5</v>
      </c>
      <c r="F145" s="265">
        <v>84</v>
      </c>
      <c r="G145" s="265">
        <v>0</v>
      </c>
      <c r="H145" s="271">
        <v>1.59</v>
      </c>
      <c r="I145" s="250">
        <v>133.6</v>
      </c>
      <c r="J145" s="265">
        <v>0</v>
      </c>
      <c r="K145" s="265">
        <v>1092243</v>
      </c>
      <c r="L145" s="265">
        <v>0</v>
      </c>
      <c r="M145" s="265">
        <v>1092243</v>
      </c>
      <c r="N145" s="265">
        <v>54</v>
      </c>
      <c r="O145" s="250">
        <v>5151.6000000000004</v>
      </c>
      <c r="P145" s="265">
        <v>123723</v>
      </c>
      <c r="Q145" s="265">
        <v>1215966</v>
      </c>
      <c r="R145" s="265">
        <v>61113</v>
      </c>
    </row>
    <row r="146" spans="1:18" x14ac:dyDescent="0.25">
      <c r="A146" s="66" t="s">
        <v>263</v>
      </c>
      <c r="B146" t="s">
        <v>141</v>
      </c>
      <c r="C146" t="s">
        <v>254</v>
      </c>
      <c r="D146" s="265">
        <v>218</v>
      </c>
      <c r="E146" s="265">
        <v>11</v>
      </c>
      <c r="F146" s="265">
        <v>229</v>
      </c>
      <c r="G146" s="265">
        <v>0</v>
      </c>
      <c r="H146" s="271">
        <v>1.0005351629999999</v>
      </c>
      <c r="I146" s="250">
        <v>229.1</v>
      </c>
      <c r="J146" s="265">
        <v>0</v>
      </c>
      <c r="K146" s="265">
        <v>1873001</v>
      </c>
      <c r="L146" s="265">
        <v>0</v>
      </c>
      <c r="M146" s="265">
        <v>1873001</v>
      </c>
      <c r="N146" s="265">
        <v>98</v>
      </c>
      <c r="O146" s="250">
        <v>3644.7</v>
      </c>
      <c r="P146" s="265">
        <v>87532</v>
      </c>
      <c r="Q146" s="265">
        <v>1960533</v>
      </c>
      <c r="R146" s="265">
        <v>104799</v>
      </c>
    </row>
    <row r="147" spans="1:18" x14ac:dyDescent="0.25">
      <c r="A147" s="66" t="s">
        <v>330</v>
      </c>
      <c r="B147" t="s">
        <v>156</v>
      </c>
      <c r="C147" t="s">
        <v>254</v>
      </c>
      <c r="D147" s="265">
        <v>28</v>
      </c>
      <c r="E147" s="265">
        <v>0</v>
      </c>
      <c r="F147" s="265">
        <v>28</v>
      </c>
      <c r="G147" s="265">
        <v>0</v>
      </c>
      <c r="H147" s="271">
        <v>0.84150000000000003</v>
      </c>
      <c r="I147" s="250">
        <v>23.6</v>
      </c>
      <c r="J147" s="265">
        <v>0</v>
      </c>
      <c r="K147" s="265">
        <v>192941</v>
      </c>
      <c r="L147" s="265">
        <v>0</v>
      </c>
      <c r="M147" s="265">
        <v>192941</v>
      </c>
      <c r="N147" s="265">
        <v>28</v>
      </c>
      <c r="O147" s="250">
        <v>780.5</v>
      </c>
      <c r="P147" s="265">
        <v>18745</v>
      </c>
      <c r="Q147" s="265">
        <v>211686</v>
      </c>
      <c r="R147" s="265">
        <v>10795</v>
      </c>
    </row>
    <row r="148" spans="1:18" x14ac:dyDescent="0.25">
      <c r="A148" s="66" t="s">
        <v>262</v>
      </c>
      <c r="B148" t="s">
        <v>142</v>
      </c>
      <c r="C148" t="s">
        <v>238</v>
      </c>
      <c r="D148" s="265">
        <v>702</v>
      </c>
      <c r="E148" s="265">
        <v>490</v>
      </c>
      <c r="F148" s="265">
        <v>1192</v>
      </c>
      <c r="G148" s="265">
        <v>250</v>
      </c>
      <c r="H148" s="271">
        <v>1.083907779</v>
      </c>
      <c r="I148" s="250">
        <v>1292</v>
      </c>
      <c r="J148" s="265">
        <v>0</v>
      </c>
      <c r="K148" s="265">
        <v>10562710</v>
      </c>
      <c r="L148" s="265">
        <v>100000</v>
      </c>
      <c r="M148" s="265">
        <v>10662710</v>
      </c>
      <c r="N148" s="265">
        <v>542</v>
      </c>
      <c r="O148" s="250">
        <v>21622.6</v>
      </c>
      <c r="P148" s="265">
        <v>519296</v>
      </c>
      <c r="Q148" s="265">
        <v>11182006</v>
      </c>
      <c r="R148" s="265">
        <v>596603</v>
      </c>
    </row>
    <row r="149" spans="1:18" x14ac:dyDescent="0.25">
      <c r="A149" s="66" t="s">
        <v>261</v>
      </c>
      <c r="B149" t="s">
        <v>193</v>
      </c>
      <c r="C149" t="s">
        <v>238</v>
      </c>
      <c r="D149" s="265">
        <v>0</v>
      </c>
      <c r="E149" s="265">
        <v>45</v>
      </c>
      <c r="F149" s="265">
        <v>45</v>
      </c>
      <c r="G149" s="265">
        <v>0</v>
      </c>
      <c r="H149" s="271">
        <v>0.63</v>
      </c>
      <c r="I149" s="250">
        <v>28.4</v>
      </c>
      <c r="J149" s="265">
        <v>0</v>
      </c>
      <c r="K149" s="265">
        <v>232183</v>
      </c>
      <c r="L149" s="265">
        <v>0</v>
      </c>
      <c r="M149" s="265">
        <v>232183</v>
      </c>
      <c r="N149" s="265">
        <v>0</v>
      </c>
      <c r="O149" s="250">
        <v>0</v>
      </c>
      <c r="P149" s="265">
        <v>0</v>
      </c>
      <c r="Q149" s="265">
        <v>232183</v>
      </c>
      <c r="R149" s="265">
        <v>12991</v>
      </c>
    </row>
    <row r="150" spans="1:18" x14ac:dyDescent="0.25">
      <c r="A150" s="66" t="s">
        <v>260</v>
      </c>
      <c r="B150" t="s">
        <v>185</v>
      </c>
      <c r="C150" t="s">
        <v>238</v>
      </c>
      <c r="D150" s="265">
        <v>0</v>
      </c>
      <c r="E150" s="265">
        <v>44</v>
      </c>
      <c r="F150" s="265">
        <v>44</v>
      </c>
      <c r="G150" s="265">
        <v>0</v>
      </c>
      <c r="H150" s="271">
        <v>0.315</v>
      </c>
      <c r="I150" s="250">
        <v>13.9</v>
      </c>
      <c r="J150" s="265">
        <v>0</v>
      </c>
      <c r="K150" s="265">
        <v>113639</v>
      </c>
      <c r="L150" s="265">
        <v>277500</v>
      </c>
      <c r="M150" s="265">
        <v>391139</v>
      </c>
      <c r="N150" s="265">
        <v>0</v>
      </c>
      <c r="O150" s="250">
        <v>0</v>
      </c>
      <c r="P150" s="265">
        <v>0</v>
      </c>
      <c r="Q150" s="265">
        <v>391139</v>
      </c>
      <c r="R150" s="265">
        <v>21885</v>
      </c>
    </row>
    <row r="151" spans="1:18" x14ac:dyDescent="0.25">
      <c r="A151" s="66" t="s">
        <v>259</v>
      </c>
      <c r="B151" t="s">
        <v>143</v>
      </c>
      <c r="C151" t="s">
        <v>244</v>
      </c>
      <c r="D151" s="265">
        <v>2401</v>
      </c>
      <c r="E151" s="265">
        <v>198</v>
      </c>
      <c r="F151" s="265">
        <v>2599</v>
      </c>
      <c r="G151" s="265">
        <v>100</v>
      </c>
      <c r="H151" s="271">
        <v>1.0223535130000001</v>
      </c>
      <c r="I151" s="250">
        <v>2657.1</v>
      </c>
      <c r="J151" s="265">
        <v>-197888</v>
      </c>
      <c r="K151" s="265">
        <v>21525159</v>
      </c>
      <c r="L151" s="265">
        <v>0</v>
      </c>
      <c r="M151" s="265">
        <v>21525159</v>
      </c>
      <c r="N151" s="265">
        <v>1110</v>
      </c>
      <c r="O151" s="250">
        <v>52636.7</v>
      </c>
      <c r="P151" s="265">
        <v>1264142</v>
      </c>
      <c r="Q151" s="265">
        <v>22789301</v>
      </c>
      <c r="R151" s="265">
        <v>0</v>
      </c>
    </row>
    <row r="152" spans="1:18" x14ac:dyDescent="0.25">
      <c r="A152" s="66" t="s">
        <v>258</v>
      </c>
      <c r="B152" t="s">
        <v>144</v>
      </c>
      <c r="C152" t="s">
        <v>249</v>
      </c>
      <c r="D152" s="265">
        <v>1000</v>
      </c>
      <c r="E152" s="265">
        <v>55</v>
      </c>
      <c r="F152" s="265">
        <v>1055</v>
      </c>
      <c r="G152" s="265">
        <v>20</v>
      </c>
      <c r="H152" s="271">
        <v>1.003643356</v>
      </c>
      <c r="I152" s="250">
        <v>1058.8</v>
      </c>
      <c r="J152" s="265">
        <v>-78855</v>
      </c>
      <c r="K152" s="265">
        <v>8577335</v>
      </c>
      <c r="L152" s="265">
        <v>0</v>
      </c>
      <c r="M152" s="265">
        <v>8577335</v>
      </c>
      <c r="N152" s="265">
        <v>331</v>
      </c>
      <c r="O152" s="250">
        <v>17463.5</v>
      </c>
      <c r="P152" s="265">
        <v>419410</v>
      </c>
      <c r="Q152" s="265">
        <v>8996745</v>
      </c>
      <c r="R152" s="265">
        <v>0</v>
      </c>
    </row>
    <row r="153" spans="1:18" x14ac:dyDescent="0.25">
      <c r="A153" s="66" t="s">
        <v>257</v>
      </c>
      <c r="B153" t="s">
        <v>145</v>
      </c>
      <c r="C153" t="s">
        <v>256</v>
      </c>
      <c r="D153" s="265">
        <v>17</v>
      </c>
      <c r="E153" s="265">
        <v>2</v>
      </c>
      <c r="F153" s="265">
        <v>19</v>
      </c>
      <c r="G153" s="265">
        <v>0</v>
      </c>
      <c r="H153" s="271">
        <v>0.84150000000000003</v>
      </c>
      <c r="I153" s="250">
        <v>16</v>
      </c>
      <c r="J153" s="265">
        <v>0</v>
      </c>
      <c r="K153" s="265">
        <v>130808</v>
      </c>
      <c r="L153" s="265">
        <v>0</v>
      </c>
      <c r="M153" s="265">
        <v>130808</v>
      </c>
      <c r="N153" s="265">
        <v>20</v>
      </c>
      <c r="O153" s="250">
        <v>278</v>
      </c>
      <c r="P153" s="265">
        <v>6677</v>
      </c>
      <c r="Q153" s="265">
        <v>137485</v>
      </c>
      <c r="R153" s="265">
        <v>7319</v>
      </c>
    </row>
    <row r="154" spans="1:18" x14ac:dyDescent="0.25">
      <c r="A154" s="66" t="s">
        <v>255</v>
      </c>
      <c r="B154" t="s">
        <v>186</v>
      </c>
      <c r="C154" t="s">
        <v>254</v>
      </c>
      <c r="D154" s="265">
        <v>0</v>
      </c>
      <c r="E154" s="265">
        <v>0</v>
      </c>
      <c r="F154" s="265">
        <v>0</v>
      </c>
      <c r="G154" s="265">
        <v>0</v>
      </c>
      <c r="H154" s="271">
        <v>1</v>
      </c>
      <c r="I154" s="250">
        <v>0</v>
      </c>
      <c r="J154" s="265">
        <v>0</v>
      </c>
      <c r="K154" s="265">
        <v>0</v>
      </c>
      <c r="L154" s="265">
        <v>0</v>
      </c>
      <c r="M154" s="265">
        <v>0</v>
      </c>
      <c r="N154" s="265">
        <v>0</v>
      </c>
      <c r="O154" s="250">
        <v>0</v>
      </c>
      <c r="P154" s="265">
        <v>0</v>
      </c>
      <c r="Q154" s="265">
        <v>0</v>
      </c>
      <c r="R154" s="265">
        <v>0</v>
      </c>
    </row>
    <row r="155" spans="1:18" x14ac:dyDescent="0.25">
      <c r="A155" s="66" t="s">
        <v>253</v>
      </c>
      <c r="B155" t="s">
        <v>146</v>
      </c>
      <c r="C155" t="s">
        <v>252</v>
      </c>
      <c r="D155" s="265">
        <v>158</v>
      </c>
      <c r="E155" s="265">
        <v>15</v>
      </c>
      <c r="F155" s="265">
        <v>173</v>
      </c>
      <c r="G155" s="265">
        <v>0</v>
      </c>
      <c r="H155" s="271">
        <v>1.431143592</v>
      </c>
      <c r="I155" s="250">
        <v>247.6</v>
      </c>
      <c r="J155" s="265">
        <v>0</v>
      </c>
      <c r="K155" s="265">
        <v>2024247</v>
      </c>
      <c r="L155" s="265">
        <v>0</v>
      </c>
      <c r="M155" s="265">
        <v>2024247</v>
      </c>
      <c r="N155" s="265">
        <v>70</v>
      </c>
      <c r="O155" s="250">
        <v>6123.7</v>
      </c>
      <c r="P155" s="265">
        <v>147069</v>
      </c>
      <c r="Q155" s="265">
        <v>2171316</v>
      </c>
      <c r="R155" s="265">
        <v>113261</v>
      </c>
    </row>
    <row r="156" spans="1:18" x14ac:dyDescent="0.25">
      <c r="A156" s="66" t="s">
        <v>251</v>
      </c>
      <c r="B156" t="s">
        <v>147</v>
      </c>
      <c r="C156" t="s">
        <v>238</v>
      </c>
      <c r="D156" s="265">
        <v>3063</v>
      </c>
      <c r="E156" s="265">
        <v>297</v>
      </c>
      <c r="F156" s="265">
        <v>3360</v>
      </c>
      <c r="G156" s="265">
        <v>100</v>
      </c>
      <c r="H156" s="271">
        <v>1.0986407659999999</v>
      </c>
      <c r="I156" s="250">
        <v>3691.4</v>
      </c>
      <c r="J156" s="265">
        <v>-274918</v>
      </c>
      <c r="K156" s="265">
        <v>29904020</v>
      </c>
      <c r="L156" s="265">
        <v>0</v>
      </c>
      <c r="M156" s="265">
        <v>29904020</v>
      </c>
      <c r="N156" s="265">
        <v>1163</v>
      </c>
      <c r="O156" s="250">
        <v>66359.199999999997</v>
      </c>
      <c r="P156" s="265">
        <v>1593706</v>
      </c>
      <c r="Q156" s="265">
        <v>31497726</v>
      </c>
      <c r="R156" s="265">
        <v>0</v>
      </c>
    </row>
    <row r="157" spans="1:18" x14ac:dyDescent="0.25">
      <c r="A157" s="66" t="s">
        <v>250</v>
      </c>
      <c r="B157" t="s">
        <v>148</v>
      </c>
      <c r="C157" t="s">
        <v>249</v>
      </c>
      <c r="D157" s="265">
        <v>128</v>
      </c>
      <c r="E157" s="265">
        <v>0</v>
      </c>
      <c r="F157" s="265">
        <v>128</v>
      </c>
      <c r="G157" s="265">
        <v>0</v>
      </c>
      <c r="H157" s="271">
        <v>1.620336641</v>
      </c>
      <c r="I157" s="250">
        <v>207.4</v>
      </c>
      <c r="J157" s="265">
        <v>0</v>
      </c>
      <c r="K157" s="265">
        <v>1695593</v>
      </c>
      <c r="L157" s="265">
        <v>0</v>
      </c>
      <c r="M157" s="265">
        <v>1695593</v>
      </c>
      <c r="N157" s="265">
        <v>49</v>
      </c>
      <c r="O157" s="250">
        <v>5090.6000000000004</v>
      </c>
      <c r="P157" s="265">
        <v>122258</v>
      </c>
      <c r="Q157" s="265">
        <v>1817851</v>
      </c>
      <c r="R157" s="265">
        <v>94872</v>
      </c>
    </row>
    <row r="158" spans="1:18" x14ac:dyDescent="0.25">
      <c r="A158" s="66" t="s">
        <v>247</v>
      </c>
      <c r="B158" t="s">
        <v>187</v>
      </c>
      <c r="C158" t="s">
        <v>246</v>
      </c>
      <c r="D158" s="265">
        <v>0</v>
      </c>
      <c r="E158" s="265">
        <v>0</v>
      </c>
      <c r="F158" s="265">
        <v>0</v>
      </c>
      <c r="G158" s="265">
        <v>0</v>
      </c>
      <c r="H158" s="271">
        <v>0.84150000000000003</v>
      </c>
      <c r="I158" s="250">
        <v>0</v>
      </c>
      <c r="J158" s="265">
        <v>0</v>
      </c>
      <c r="K158" s="265">
        <v>0</v>
      </c>
      <c r="L158" s="265">
        <v>0</v>
      </c>
      <c r="M158" s="265">
        <v>0</v>
      </c>
      <c r="N158" s="265">
        <v>0</v>
      </c>
      <c r="O158" s="250">
        <v>0</v>
      </c>
      <c r="P158" s="265">
        <v>0</v>
      </c>
      <c r="Q158" s="265">
        <v>0</v>
      </c>
      <c r="R158" s="265">
        <v>0</v>
      </c>
    </row>
    <row r="159" spans="1:18" x14ac:dyDescent="0.25">
      <c r="A159" s="66" t="s">
        <v>245</v>
      </c>
      <c r="B159" t="s">
        <v>188</v>
      </c>
      <c r="C159" t="s">
        <v>244</v>
      </c>
      <c r="D159" s="265">
        <v>0</v>
      </c>
      <c r="E159" s="265">
        <v>35</v>
      </c>
      <c r="F159" s="265">
        <v>35</v>
      </c>
      <c r="G159" s="265">
        <v>0</v>
      </c>
      <c r="H159" s="271">
        <v>0.315</v>
      </c>
      <c r="I159" s="250">
        <v>11</v>
      </c>
      <c r="J159" s="265">
        <v>0</v>
      </c>
      <c r="K159" s="265">
        <v>89930</v>
      </c>
      <c r="L159" s="265">
        <v>243750</v>
      </c>
      <c r="M159" s="265">
        <v>333680</v>
      </c>
      <c r="N159" s="265">
        <v>0</v>
      </c>
      <c r="O159" s="250">
        <v>0</v>
      </c>
      <c r="P159" s="265">
        <v>0</v>
      </c>
      <c r="Q159" s="265">
        <v>333680</v>
      </c>
      <c r="R159" s="265">
        <v>18670</v>
      </c>
    </row>
    <row r="160" spans="1:18" x14ac:dyDescent="0.25">
      <c r="A160" s="66" t="s">
        <v>243</v>
      </c>
      <c r="B160" t="s">
        <v>149</v>
      </c>
      <c r="C160" t="s">
        <v>242</v>
      </c>
      <c r="D160" s="265">
        <v>1320</v>
      </c>
      <c r="E160" s="265">
        <v>230</v>
      </c>
      <c r="F160" s="265">
        <v>1550</v>
      </c>
      <c r="G160" s="265">
        <v>100</v>
      </c>
      <c r="H160" s="271">
        <v>1.194693953</v>
      </c>
      <c r="I160" s="250">
        <v>1851.8</v>
      </c>
      <c r="J160" s="265">
        <v>-137913</v>
      </c>
      <c r="K160" s="265">
        <v>15001426</v>
      </c>
      <c r="L160" s="265">
        <v>0</v>
      </c>
      <c r="M160" s="265">
        <v>15001426</v>
      </c>
      <c r="N160" s="265">
        <v>759</v>
      </c>
      <c r="O160" s="250">
        <v>38022.800000000003</v>
      </c>
      <c r="P160" s="265">
        <v>913169</v>
      </c>
      <c r="Q160" s="265">
        <v>15914595</v>
      </c>
      <c r="R160" s="265">
        <v>0</v>
      </c>
    </row>
    <row r="161" spans="1:18" x14ac:dyDescent="0.25">
      <c r="A161" s="66" t="s">
        <v>241</v>
      </c>
      <c r="B161" t="s">
        <v>150</v>
      </c>
      <c r="C161" t="s">
        <v>240</v>
      </c>
      <c r="D161" s="265">
        <v>1472</v>
      </c>
      <c r="E161" s="265">
        <v>150</v>
      </c>
      <c r="F161" s="265">
        <v>1622</v>
      </c>
      <c r="G161" s="265">
        <v>50</v>
      </c>
      <c r="H161" s="271">
        <v>1.0653143110000001</v>
      </c>
      <c r="I161" s="250">
        <v>1727.9</v>
      </c>
      <c r="J161" s="265">
        <v>-128686</v>
      </c>
      <c r="K161" s="265">
        <v>13997712</v>
      </c>
      <c r="L161" s="265">
        <v>0</v>
      </c>
      <c r="M161" s="265">
        <v>13997712</v>
      </c>
      <c r="N161" s="265">
        <v>693</v>
      </c>
      <c r="O161" s="250">
        <v>32003.3</v>
      </c>
      <c r="P161" s="265">
        <v>768603</v>
      </c>
      <c r="Q161" s="265">
        <v>14766315</v>
      </c>
      <c r="R161" s="265">
        <v>0</v>
      </c>
    </row>
    <row r="162" spans="1:18" x14ac:dyDescent="0.25">
      <c r="A162" s="272" t="s">
        <v>21</v>
      </c>
      <c r="B162" s="273"/>
      <c r="C162" s="273"/>
      <c r="D162" s="274">
        <v>159335</v>
      </c>
      <c r="E162" s="274">
        <v>19135</v>
      </c>
      <c r="F162" s="274">
        <v>178470</v>
      </c>
      <c r="G162" s="274">
        <v>8600</v>
      </c>
      <c r="H162" s="275">
        <v>171.63577834800006</v>
      </c>
      <c r="I162" s="276">
        <v>195426.50000000006</v>
      </c>
      <c r="J162" s="274">
        <v>-10272002</v>
      </c>
      <c r="K162" s="274">
        <v>1587431903</v>
      </c>
      <c r="L162" s="274">
        <v>14501250</v>
      </c>
      <c r="M162" s="274">
        <v>1601933153</v>
      </c>
      <c r="N162" s="274">
        <v>75073</v>
      </c>
      <c r="O162" s="276">
        <v>3536917.3000000003</v>
      </c>
      <c r="P162" s="274">
        <v>84943846</v>
      </c>
      <c r="Q162" s="274">
        <v>1686876999</v>
      </c>
      <c r="R162" s="277">
        <v>26998359</v>
      </c>
    </row>
    <row r="163" spans="1:18" x14ac:dyDescent="0.25">
      <c r="A163"/>
      <c r="B163"/>
      <c r="C163"/>
      <c r="D163" s="265"/>
      <c r="E163" s="265"/>
      <c r="F163" s="265"/>
      <c r="G163" s="265"/>
      <c r="H163" s="265"/>
      <c r="I163" s="265"/>
      <c r="J163" s="265"/>
      <c r="K163" s="265"/>
      <c r="L163" s="265"/>
      <c r="M163" s="265"/>
      <c r="N163" s="265"/>
      <c r="O163" s="265"/>
      <c r="P163" s="265"/>
      <c r="Q163" s="265"/>
      <c r="R163" s="265"/>
    </row>
    <row r="164" spans="1:18" x14ac:dyDescent="0.25">
      <c r="A164"/>
      <c r="B164"/>
      <c r="C164"/>
      <c r="D164"/>
      <c r="E164"/>
      <c r="F164"/>
      <c r="G164"/>
      <c r="H164"/>
      <c r="I164"/>
      <c r="J164"/>
      <c r="K164"/>
      <c r="L164"/>
      <c r="M164"/>
      <c r="N164"/>
      <c r="O164"/>
      <c r="P164"/>
      <c r="Q164"/>
      <c r="R164"/>
    </row>
    <row r="165" spans="1:18" x14ac:dyDescent="0.25">
      <c r="A165" s="261" t="s">
        <v>774</v>
      </c>
      <c r="B165" s="56" t="s">
        <v>775</v>
      </c>
      <c r="C165" s="9"/>
      <c r="D165" s="9">
        <f>_xlfn.IFNA(VLOOKUP("0213612-0X",$A:$Y,COLUMN(D:D),FALSE),0)+_xlfn.IFNA(VLOOKUP("0116354-9X",$A:$Y,COLUMN(D:D),FALSE),0)</f>
        <v>2484</v>
      </c>
      <c r="E165" s="9">
        <f>_xlfn.IFNA(VLOOKUP("0213612-0X",$A:$Y,COLUMN(E:E),FALSE),0)+_xlfn.IFNA(VLOOKUP("0116354-9X",$A:$Y,COLUMN(E:E),FALSE),0)</f>
        <v>1172</v>
      </c>
      <c r="F165" s="9">
        <f>_xlfn.IFNA(VLOOKUP("0213612-0X",$A:$Y,COLUMN(F:F),FALSE),0)+_xlfn.IFNA(VLOOKUP("0116354-9X",$A:$Y,COLUMN(F:F),FALSE),0)</f>
        <v>3656</v>
      </c>
      <c r="G165" s="9">
        <f>_xlfn.IFNA(VLOOKUP("0213612-0X",$A:$Y,COLUMN(G:G),FALSE),0)+_xlfn.IFNA(VLOOKUP("0116354-9X",$A:$Y,COLUMN(G:G),FALSE),0)</f>
        <v>580</v>
      </c>
      <c r="H165">
        <f>I165/F165</f>
        <v>0.799644420131291</v>
      </c>
      <c r="I165" s="9">
        <f t="shared" ref="I165:R165" si="0">_xlfn.IFNA(VLOOKUP("0213612-0X",$A:$Y,COLUMN(I:I),FALSE),0)+_xlfn.IFNA(VLOOKUP("0116354-9X",$A:$Y,COLUMN(I:I),FALSE),0)</f>
        <v>2923.5</v>
      </c>
      <c r="J165" s="9">
        <f t="shared" si="0"/>
        <v>0</v>
      </c>
      <c r="K165" s="9">
        <f t="shared" si="0"/>
        <v>23900993</v>
      </c>
      <c r="L165" s="9">
        <f t="shared" si="0"/>
        <v>0</v>
      </c>
      <c r="M165" s="10">
        <f t="shared" si="0"/>
        <v>23900993</v>
      </c>
      <c r="N165" s="9">
        <f t="shared" si="0"/>
        <v>2302</v>
      </c>
      <c r="O165" s="9">
        <f t="shared" si="0"/>
        <v>63536.1</v>
      </c>
      <c r="P165" s="9">
        <f t="shared" si="0"/>
        <v>1525906</v>
      </c>
      <c r="Q165">
        <f t="shared" si="0"/>
        <v>25426899</v>
      </c>
      <c r="R165">
        <f t="shared" si="0"/>
        <v>1337315</v>
      </c>
    </row>
    <row r="166" spans="1:18" x14ac:dyDescent="0.25">
      <c r="A166" s="261" t="s">
        <v>328</v>
      </c>
      <c r="B166" s="56" t="s">
        <v>92</v>
      </c>
      <c r="C166" s="9"/>
      <c r="D166" s="9">
        <f>_xlfn.IFNA(VLOOKUP("0201689-0X",$A:$Y,COLUMN(D:D),FALSE),0)+_xlfn.IFNA(VLOOKUP("0114371-6X",$A:$Y,COLUMN(D:D),FALSE),0)</f>
        <v>1430</v>
      </c>
      <c r="E166" s="9">
        <f>_xlfn.IFNA(VLOOKUP("0201689-0X",$A:$Y,COLUMN(E:E),FALSE),0)+_xlfn.IFNA(VLOOKUP("0114371-6X",$A:$Y,COLUMN(E:E),FALSE),0)</f>
        <v>110</v>
      </c>
      <c r="F166" s="9">
        <f>_xlfn.IFNA(VLOOKUP("0201689-0X",$A:$Y,COLUMN(F:F),FALSE),0)+_xlfn.IFNA(VLOOKUP("0114371-6X",$A:$Y,COLUMN(F:F),FALSE),0)</f>
        <v>1540</v>
      </c>
      <c r="G166" s="9">
        <f>_xlfn.IFNA(VLOOKUP("0201689-0X",$A:$Y,COLUMN(G:G),FALSE),0)+_xlfn.IFNA(VLOOKUP("0114371-6X",$A:$Y,COLUMN(G:G),FALSE),0)</f>
        <v>0</v>
      </c>
      <c r="H166">
        <f>I166/F166</f>
        <v>0.67019480519480512</v>
      </c>
      <c r="I166" s="9">
        <f t="shared" ref="I166:R166" si="1">_xlfn.IFNA(VLOOKUP("0201689-0X",$A:$Y,COLUMN(I:I),FALSE),0)+_xlfn.IFNA(VLOOKUP("0114371-6X",$A:$Y,COLUMN(I:I),FALSE),0)</f>
        <v>1032.0999999999999</v>
      </c>
      <c r="J166" s="9">
        <f t="shared" si="1"/>
        <v>0</v>
      </c>
      <c r="K166" s="9">
        <f t="shared" si="1"/>
        <v>8437905</v>
      </c>
      <c r="L166" s="9">
        <f t="shared" si="1"/>
        <v>600000</v>
      </c>
      <c r="M166" s="10">
        <f t="shared" si="1"/>
        <v>9037905</v>
      </c>
      <c r="N166" s="9">
        <f t="shared" si="1"/>
        <v>1072</v>
      </c>
      <c r="O166" s="9">
        <f t="shared" si="1"/>
        <v>15867.9</v>
      </c>
      <c r="P166" s="9">
        <f t="shared" si="1"/>
        <v>381089</v>
      </c>
      <c r="Q166">
        <f t="shared" si="1"/>
        <v>9418994</v>
      </c>
      <c r="R166">
        <f t="shared" si="1"/>
        <v>505691</v>
      </c>
    </row>
    <row r="167" spans="1:18" x14ac:dyDescent="0.25">
      <c r="A167" s="261" t="s">
        <v>279</v>
      </c>
      <c r="B167" s="261" t="s">
        <v>129</v>
      </c>
      <c r="C167" s="9"/>
      <c r="D167" s="9">
        <f>_xlfn.IFNA(VLOOKUP("0214081-6X",$A:$Y,COLUMN(D:D),FALSE),0)+_xlfn.IFNA(VLOOKUP("1648362-5X",$A:$Y,COLUMN(D:D),FALSE),0)</f>
        <v>1087</v>
      </c>
      <c r="E167" s="9">
        <f>_xlfn.IFNA(VLOOKUP("0214081-6X",$A:$Y,COLUMN(E:E),FALSE),0)+_xlfn.IFNA(VLOOKUP("1648362-5X",$A:$Y,COLUMN(E:E),FALSE),0)</f>
        <v>17</v>
      </c>
      <c r="F167" s="9">
        <f>_xlfn.IFNA(VLOOKUP("0214081-6X",$A:$Y,COLUMN(F:F),FALSE),0)+_xlfn.IFNA(VLOOKUP("1648362-5X",$A:$Y,COLUMN(F:F),FALSE),0)</f>
        <v>1104</v>
      </c>
      <c r="G167" s="9">
        <f>_xlfn.IFNA(VLOOKUP("0214081-6X",$A:$Y,COLUMN(G:G),FALSE),0)+_xlfn.IFNA(VLOOKUP("1648362-5X",$A:$Y,COLUMN(G:G),FALSE),0)</f>
        <v>0</v>
      </c>
      <c r="H167">
        <f>I167/F167</f>
        <v>1.0408514492753622</v>
      </c>
      <c r="I167" s="9">
        <f t="shared" ref="I167:R167" si="2">_xlfn.IFNA(VLOOKUP("0214081-6X",$A:$Y,COLUMN(I:I),FALSE),0)+_xlfn.IFNA(VLOOKUP("1648362-5X",$A:$Y,COLUMN(I:I),FALSE),0)</f>
        <v>1149.0999999999999</v>
      </c>
      <c r="J167" s="9">
        <f t="shared" si="2"/>
        <v>-19997</v>
      </c>
      <c r="K167" s="9">
        <f t="shared" si="2"/>
        <v>9374438</v>
      </c>
      <c r="L167" s="9">
        <f t="shared" si="2"/>
        <v>100000</v>
      </c>
      <c r="M167" s="10">
        <f t="shared" si="2"/>
        <v>9474438</v>
      </c>
      <c r="N167" s="9">
        <f t="shared" si="2"/>
        <v>357</v>
      </c>
      <c r="O167" s="9">
        <f t="shared" si="2"/>
        <v>21278.5</v>
      </c>
      <c r="P167" s="9">
        <f t="shared" si="2"/>
        <v>511032</v>
      </c>
      <c r="Q167">
        <f t="shared" si="2"/>
        <v>9985470</v>
      </c>
      <c r="R167">
        <f t="shared" si="2"/>
        <v>402818</v>
      </c>
    </row>
    <row r="168" spans="1:18" x14ac:dyDescent="0.25">
      <c r="A168" s="261" t="s">
        <v>776</v>
      </c>
      <c r="B168" s="56" t="s">
        <v>777</v>
      </c>
      <c r="C168" s="9"/>
      <c r="D168" s="9">
        <f>_xlfn.IFNA(VLOOKUP("0204843-8X",$A:$Y,COLUMN(D:D),FALSE),0)</f>
        <v>79</v>
      </c>
      <c r="E168" s="9">
        <f>_xlfn.IFNA(VLOOKUP("0204843-8X",$A:$Y,COLUMN(E:E),FALSE),0)</f>
        <v>5</v>
      </c>
      <c r="F168" s="9">
        <f>_xlfn.IFNA(VLOOKUP("0204843-8X",$A:$Y,COLUMN(F:F),FALSE),0)</f>
        <v>84</v>
      </c>
      <c r="G168" s="9">
        <f>_xlfn.IFNA(VLOOKUP("0204843-8X",$A:$Y,COLUMN(G:G),FALSE),0)</f>
        <v>0</v>
      </c>
      <c r="H168">
        <f>I168/F168</f>
        <v>1.5904761904761904</v>
      </c>
      <c r="I168" s="9">
        <f t="shared" ref="I168:R168" si="3">_xlfn.IFNA(VLOOKUP("0204843-8X",$A:$Y,COLUMN(I:I),FALSE),0)</f>
        <v>133.6</v>
      </c>
      <c r="J168" s="9">
        <f t="shared" si="3"/>
        <v>0</v>
      </c>
      <c r="K168" s="9">
        <f t="shared" si="3"/>
        <v>1092243</v>
      </c>
      <c r="L168" s="9">
        <f t="shared" si="3"/>
        <v>0</v>
      </c>
      <c r="M168" s="10">
        <f t="shared" si="3"/>
        <v>1092243</v>
      </c>
      <c r="N168" s="9">
        <f t="shared" si="3"/>
        <v>54</v>
      </c>
      <c r="O168" s="9">
        <f t="shared" si="3"/>
        <v>5151.6000000000004</v>
      </c>
      <c r="P168" s="9">
        <f t="shared" si="3"/>
        <v>123723</v>
      </c>
      <c r="Q168">
        <f t="shared" si="3"/>
        <v>1215966</v>
      </c>
      <c r="R168">
        <f t="shared" si="3"/>
        <v>61113</v>
      </c>
    </row>
    <row r="169" spans="1:18" x14ac:dyDescent="0.25">
      <c r="A169"/>
      <c r="B169"/>
      <c r="C169"/>
      <c r="D169"/>
      <c r="E169"/>
      <c r="F169"/>
      <c r="G169" s="11"/>
      <c r="H169" s="262" t="s">
        <v>793</v>
      </c>
      <c r="I169"/>
      <c r="J169"/>
      <c r="K169"/>
      <c r="L169"/>
      <c r="M169"/>
      <c r="N169"/>
      <c r="O169"/>
      <c r="P169"/>
      <c r="Q169"/>
      <c r="R169"/>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N187"/>
  <sheetViews>
    <sheetView zoomScale="90" zoomScaleNormal="90" workbookViewId="0">
      <selection activeCell="K161" sqref="K161"/>
    </sheetView>
  </sheetViews>
  <sheetFormatPr defaultRowHeight="14.25" x14ac:dyDescent="0.2"/>
  <cols>
    <col min="1" max="1" width="11.140625" style="43" customWidth="1"/>
    <col min="2" max="2" width="53.42578125" style="43" customWidth="1"/>
    <col min="3" max="3" width="26.7109375" style="43" customWidth="1"/>
    <col min="4" max="4" width="27.28515625" style="43" customWidth="1"/>
    <col min="5" max="5" width="23.28515625" style="43" customWidth="1"/>
    <col min="6" max="6" width="27.85546875" style="43" customWidth="1"/>
    <col min="7" max="7" width="14.5703125" style="43" customWidth="1"/>
    <col min="8" max="8" width="15.5703125" style="43" customWidth="1"/>
    <col min="9" max="9" width="14.140625" style="43" customWidth="1"/>
    <col min="10" max="10" width="17.5703125" style="43" customWidth="1"/>
    <col min="11" max="16384" width="9.140625" style="43"/>
  </cols>
  <sheetData>
    <row r="1" spans="1:14" ht="15" x14ac:dyDescent="0.25">
      <c r="A1" s="112" t="s">
        <v>864</v>
      </c>
      <c r="B1"/>
      <c r="C1" t="s">
        <v>866</v>
      </c>
      <c r="E1"/>
      <c r="F1"/>
      <c r="G1"/>
      <c r="H1"/>
      <c r="I1"/>
      <c r="J1"/>
      <c r="K1"/>
      <c r="L1"/>
      <c r="M1"/>
      <c r="N1"/>
    </row>
    <row r="2" spans="1:14" ht="15" x14ac:dyDescent="0.25">
      <c r="A2" s="245"/>
      <c r="B2"/>
      <c r="C2"/>
      <c r="D2"/>
      <c r="E2"/>
      <c r="F2"/>
      <c r="G2"/>
      <c r="H2"/>
      <c r="I2"/>
      <c r="J2"/>
      <c r="K2"/>
      <c r="L2"/>
      <c r="M2"/>
      <c r="N2"/>
    </row>
    <row r="3" spans="1:14" ht="43.5" customHeight="1" x14ac:dyDescent="0.25">
      <c r="A3" s="124" t="s">
        <v>412</v>
      </c>
      <c r="B3" s="125" t="s">
        <v>0</v>
      </c>
      <c r="C3" s="125" t="s">
        <v>478</v>
      </c>
      <c r="D3" s="125" t="s">
        <v>465</v>
      </c>
      <c r="E3" s="125" t="s">
        <v>479</v>
      </c>
      <c r="F3" s="125" t="s">
        <v>480</v>
      </c>
      <c r="G3" s="125" t="s">
        <v>481</v>
      </c>
      <c r="H3" s="125" t="s">
        <v>429</v>
      </c>
      <c r="I3" s="125" t="s">
        <v>662</v>
      </c>
      <c r="J3" s="125" t="s">
        <v>661</v>
      </c>
      <c r="K3"/>
      <c r="L3"/>
      <c r="M3"/>
      <c r="N3"/>
    </row>
    <row r="4" spans="1:14" ht="15" x14ac:dyDescent="0.25">
      <c r="A4" t="s">
        <v>410</v>
      </c>
      <c r="B4" t="s">
        <v>179</v>
      </c>
      <c r="C4">
        <v>1</v>
      </c>
      <c r="D4" t="s">
        <v>238</v>
      </c>
      <c r="E4">
        <v>99</v>
      </c>
      <c r="F4" t="s">
        <v>482</v>
      </c>
      <c r="G4">
        <v>1</v>
      </c>
      <c r="H4" t="s">
        <v>423</v>
      </c>
      <c r="I4">
        <v>0</v>
      </c>
      <c r="J4" t="s">
        <v>663</v>
      </c>
      <c r="K4"/>
      <c r="L4"/>
      <c r="M4"/>
      <c r="N4"/>
    </row>
    <row r="5" spans="1:14" ht="15" x14ac:dyDescent="0.25">
      <c r="A5" t="s">
        <v>774</v>
      </c>
      <c r="B5" t="s">
        <v>775</v>
      </c>
      <c r="C5">
        <v>1</v>
      </c>
      <c r="D5" t="s">
        <v>238</v>
      </c>
      <c r="E5">
        <v>1</v>
      </c>
      <c r="F5" t="s">
        <v>238</v>
      </c>
      <c r="G5">
        <v>1</v>
      </c>
      <c r="H5" t="s">
        <v>423</v>
      </c>
      <c r="I5" s="248">
        <v>0</v>
      </c>
      <c r="J5" s="248" t="s">
        <v>663</v>
      </c>
      <c r="K5"/>
      <c r="L5"/>
      <c r="M5"/>
      <c r="N5"/>
    </row>
    <row r="6" spans="1:14" ht="15" x14ac:dyDescent="0.25">
      <c r="A6" t="s">
        <v>409</v>
      </c>
      <c r="B6" t="s">
        <v>23</v>
      </c>
      <c r="C6">
        <v>6</v>
      </c>
      <c r="D6" t="s">
        <v>249</v>
      </c>
      <c r="E6">
        <v>6</v>
      </c>
      <c r="F6" t="s">
        <v>249</v>
      </c>
      <c r="G6">
        <v>1</v>
      </c>
      <c r="H6" t="s">
        <v>423</v>
      </c>
      <c r="I6" s="248">
        <v>0</v>
      </c>
      <c r="J6" s="248" t="s">
        <v>663</v>
      </c>
      <c r="K6"/>
      <c r="L6"/>
      <c r="M6"/>
      <c r="N6"/>
    </row>
    <row r="7" spans="1:14" ht="15" x14ac:dyDescent="0.25">
      <c r="A7" t="s">
        <v>406</v>
      </c>
      <c r="B7" t="s">
        <v>189</v>
      </c>
      <c r="C7">
        <v>1</v>
      </c>
      <c r="D7" t="s">
        <v>238</v>
      </c>
      <c r="E7">
        <v>99</v>
      </c>
      <c r="F7" t="s">
        <v>482</v>
      </c>
      <c r="G7">
        <v>1</v>
      </c>
      <c r="H7" t="s">
        <v>423</v>
      </c>
      <c r="I7" s="248">
        <v>0</v>
      </c>
      <c r="J7" s="248" t="s">
        <v>663</v>
      </c>
      <c r="K7"/>
      <c r="L7"/>
      <c r="M7"/>
      <c r="N7"/>
    </row>
    <row r="8" spans="1:14" ht="15" x14ac:dyDescent="0.25">
      <c r="A8" t="s">
        <v>408</v>
      </c>
      <c r="B8" t="s">
        <v>24</v>
      </c>
      <c r="C8">
        <v>6</v>
      </c>
      <c r="D8" t="s">
        <v>249</v>
      </c>
      <c r="E8">
        <v>6</v>
      </c>
      <c r="F8" t="s">
        <v>249</v>
      </c>
      <c r="G8">
        <v>1</v>
      </c>
      <c r="H8" t="s">
        <v>423</v>
      </c>
      <c r="I8" s="248">
        <v>0</v>
      </c>
      <c r="J8" s="248" t="s">
        <v>663</v>
      </c>
      <c r="K8"/>
      <c r="L8"/>
      <c r="M8"/>
      <c r="N8"/>
    </row>
    <row r="9" spans="1:14" ht="15" x14ac:dyDescent="0.25">
      <c r="A9" t="s">
        <v>407</v>
      </c>
      <c r="B9" t="s">
        <v>27</v>
      </c>
      <c r="C9">
        <v>1</v>
      </c>
      <c r="D9" t="s">
        <v>238</v>
      </c>
      <c r="E9">
        <v>1</v>
      </c>
      <c r="F9" t="s">
        <v>238</v>
      </c>
      <c r="G9">
        <v>1</v>
      </c>
      <c r="H9" t="s">
        <v>423</v>
      </c>
      <c r="I9" s="248">
        <v>0</v>
      </c>
      <c r="J9" s="248" t="s">
        <v>663</v>
      </c>
      <c r="K9"/>
      <c r="L9"/>
      <c r="M9"/>
      <c r="N9"/>
    </row>
    <row r="10" spans="1:14" ht="15" x14ac:dyDescent="0.25">
      <c r="A10" t="s">
        <v>405</v>
      </c>
      <c r="B10" t="s">
        <v>207</v>
      </c>
      <c r="C10">
        <v>1</v>
      </c>
      <c r="D10" t="s">
        <v>238</v>
      </c>
      <c r="E10">
        <v>1</v>
      </c>
      <c r="F10" t="s">
        <v>238</v>
      </c>
      <c r="G10">
        <v>1</v>
      </c>
      <c r="H10" t="s">
        <v>423</v>
      </c>
      <c r="I10" s="248">
        <v>0</v>
      </c>
      <c r="J10" s="248" t="s">
        <v>663</v>
      </c>
      <c r="K10"/>
      <c r="L10"/>
      <c r="M10"/>
      <c r="N10"/>
    </row>
    <row r="11" spans="1:14" ht="15" x14ac:dyDescent="0.25">
      <c r="A11" t="s">
        <v>404</v>
      </c>
      <c r="B11" t="s">
        <v>29</v>
      </c>
      <c r="C11">
        <v>1</v>
      </c>
      <c r="D11" t="s">
        <v>238</v>
      </c>
      <c r="E11">
        <v>1</v>
      </c>
      <c r="F11" t="s">
        <v>238</v>
      </c>
      <c r="G11">
        <v>1</v>
      </c>
      <c r="H11" t="s">
        <v>423</v>
      </c>
      <c r="I11" s="248">
        <v>1</v>
      </c>
      <c r="J11" s="248" t="s">
        <v>664</v>
      </c>
      <c r="K11"/>
      <c r="L11"/>
      <c r="M11"/>
      <c r="N11"/>
    </row>
    <row r="12" spans="1:14" ht="15" x14ac:dyDescent="0.25">
      <c r="A12" t="s">
        <v>239</v>
      </c>
      <c r="B12" t="s">
        <v>208</v>
      </c>
      <c r="C12">
        <v>1</v>
      </c>
      <c r="D12" t="s">
        <v>238</v>
      </c>
      <c r="E12">
        <v>1</v>
      </c>
      <c r="F12" t="s">
        <v>238</v>
      </c>
      <c r="G12">
        <v>1</v>
      </c>
      <c r="H12" t="s">
        <v>423</v>
      </c>
      <c r="I12" s="248">
        <v>4</v>
      </c>
      <c r="J12" s="248" t="s">
        <v>665</v>
      </c>
      <c r="K12"/>
      <c r="L12"/>
      <c r="M12"/>
      <c r="N12"/>
    </row>
    <row r="13" spans="1:14" ht="15" x14ac:dyDescent="0.25">
      <c r="A13" t="s">
        <v>402</v>
      </c>
      <c r="B13" t="s">
        <v>30</v>
      </c>
      <c r="C13">
        <v>1</v>
      </c>
      <c r="D13" t="s">
        <v>238</v>
      </c>
      <c r="E13">
        <v>1</v>
      </c>
      <c r="F13" t="s">
        <v>238</v>
      </c>
      <c r="G13">
        <v>1</v>
      </c>
      <c r="H13" t="s">
        <v>423</v>
      </c>
      <c r="I13" s="248">
        <v>0</v>
      </c>
      <c r="J13" s="248" t="s">
        <v>663</v>
      </c>
      <c r="K13"/>
      <c r="L13"/>
      <c r="M13"/>
      <c r="N13"/>
    </row>
    <row r="14" spans="1:14" ht="15" x14ac:dyDescent="0.25">
      <c r="A14" t="s">
        <v>401</v>
      </c>
      <c r="B14" t="s">
        <v>31</v>
      </c>
      <c r="C14">
        <v>1</v>
      </c>
      <c r="D14" t="s">
        <v>238</v>
      </c>
      <c r="E14">
        <v>1</v>
      </c>
      <c r="F14" t="s">
        <v>238</v>
      </c>
      <c r="G14">
        <v>4</v>
      </c>
      <c r="H14" t="s">
        <v>422</v>
      </c>
      <c r="I14" s="248">
        <v>0</v>
      </c>
      <c r="J14" s="248" t="s">
        <v>663</v>
      </c>
      <c r="K14"/>
      <c r="L14"/>
      <c r="M14"/>
      <c r="N14"/>
    </row>
    <row r="15" spans="1:14" ht="15" x14ac:dyDescent="0.25">
      <c r="A15" t="s">
        <v>400</v>
      </c>
      <c r="B15" t="s">
        <v>32</v>
      </c>
      <c r="C15">
        <v>9</v>
      </c>
      <c r="D15" t="s">
        <v>399</v>
      </c>
      <c r="E15">
        <v>9</v>
      </c>
      <c r="F15" t="s">
        <v>399</v>
      </c>
      <c r="G15">
        <v>4</v>
      </c>
      <c r="H15" t="s">
        <v>422</v>
      </c>
      <c r="I15" s="248">
        <v>0</v>
      </c>
      <c r="J15" s="248" t="s">
        <v>663</v>
      </c>
      <c r="K15"/>
      <c r="L15"/>
      <c r="M15"/>
      <c r="N15"/>
    </row>
    <row r="16" spans="1:14" ht="15" x14ac:dyDescent="0.25">
      <c r="A16" t="s">
        <v>398</v>
      </c>
      <c r="B16" t="s">
        <v>33</v>
      </c>
      <c r="C16">
        <v>10</v>
      </c>
      <c r="D16" t="s">
        <v>272</v>
      </c>
      <c r="E16">
        <v>10</v>
      </c>
      <c r="F16" t="s">
        <v>272</v>
      </c>
      <c r="G16">
        <v>1</v>
      </c>
      <c r="H16" t="s">
        <v>423</v>
      </c>
      <c r="I16" s="248">
        <v>0</v>
      </c>
      <c r="J16" s="248" t="s">
        <v>663</v>
      </c>
      <c r="K16"/>
      <c r="L16"/>
      <c r="M16"/>
      <c r="N16"/>
    </row>
    <row r="17" spans="1:14" ht="15" x14ac:dyDescent="0.25">
      <c r="A17" t="s">
        <v>397</v>
      </c>
      <c r="B17" t="s">
        <v>34</v>
      </c>
      <c r="C17">
        <v>4</v>
      </c>
      <c r="D17" t="s">
        <v>287</v>
      </c>
      <c r="E17">
        <v>4</v>
      </c>
      <c r="F17" t="s">
        <v>287</v>
      </c>
      <c r="G17">
        <v>1</v>
      </c>
      <c r="H17" t="s">
        <v>423</v>
      </c>
      <c r="I17" s="248">
        <v>0</v>
      </c>
      <c r="J17" s="248" t="s">
        <v>663</v>
      </c>
      <c r="K17"/>
      <c r="L17"/>
      <c r="M17"/>
      <c r="N17"/>
    </row>
    <row r="18" spans="1:14" ht="15" x14ac:dyDescent="0.25">
      <c r="A18" t="s">
        <v>396</v>
      </c>
      <c r="B18" t="s">
        <v>181</v>
      </c>
      <c r="C18">
        <v>1</v>
      </c>
      <c r="D18" t="s">
        <v>238</v>
      </c>
      <c r="E18">
        <v>99</v>
      </c>
      <c r="F18" t="s">
        <v>482</v>
      </c>
      <c r="G18">
        <v>1</v>
      </c>
      <c r="H18" t="s">
        <v>423</v>
      </c>
      <c r="I18" s="248">
        <v>0</v>
      </c>
      <c r="J18" s="248" t="s">
        <v>663</v>
      </c>
      <c r="K18"/>
      <c r="L18"/>
      <c r="M18"/>
      <c r="N18"/>
    </row>
    <row r="19" spans="1:14" ht="15" x14ac:dyDescent="0.25">
      <c r="A19" t="s">
        <v>395</v>
      </c>
      <c r="B19" t="s">
        <v>35</v>
      </c>
      <c r="C19">
        <v>1</v>
      </c>
      <c r="D19" t="s">
        <v>238</v>
      </c>
      <c r="E19">
        <v>1</v>
      </c>
      <c r="F19" t="s">
        <v>238</v>
      </c>
      <c r="G19">
        <v>1</v>
      </c>
      <c r="H19" t="s">
        <v>423</v>
      </c>
      <c r="I19" s="248">
        <v>1</v>
      </c>
      <c r="J19" s="248" t="s">
        <v>664</v>
      </c>
      <c r="K19"/>
      <c r="L19"/>
      <c r="M19"/>
      <c r="N19"/>
    </row>
    <row r="20" spans="1:14" ht="15" x14ac:dyDescent="0.25">
      <c r="A20" t="s">
        <v>394</v>
      </c>
      <c r="B20" s="11" t="s">
        <v>792</v>
      </c>
      <c r="C20">
        <v>15</v>
      </c>
      <c r="D20" t="s">
        <v>244</v>
      </c>
      <c r="E20">
        <v>15</v>
      </c>
      <c r="F20" t="s">
        <v>244</v>
      </c>
      <c r="G20">
        <v>1</v>
      </c>
      <c r="H20" t="s">
        <v>423</v>
      </c>
      <c r="I20" s="248">
        <v>1</v>
      </c>
      <c r="J20" s="248" t="s">
        <v>664</v>
      </c>
      <c r="K20"/>
      <c r="L20"/>
      <c r="M20"/>
      <c r="N20"/>
    </row>
    <row r="21" spans="1:14" ht="15" x14ac:dyDescent="0.25">
      <c r="A21" t="s">
        <v>393</v>
      </c>
      <c r="B21" t="s">
        <v>153</v>
      </c>
      <c r="C21">
        <v>6</v>
      </c>
      <c r="D21" t="s">
        <v>249</v>
      </c>
      <c r="E21">
        <v>6</v>
      </c>
      <c r="F21" t="s">
        <v>249</v>
      </c>
      <c r="G21">
        <v>1</v>
      </c>
      <c r="H21" t="s">
        <v>423</v>
      </c>
      <c r="I21" s="248">
        <v>0</v>
      </c>
      <c r="J21" s="248" t="s">
        <v>663</v>
      </c>
      <c r="K21"/>
      <c r="L21"/>
      <c r="M21"/>
      <c r="N21"/>
    </row>
    <row r="22" spans="1:14" ht="15" x14ac:dyDescent="0.25">
      <c r="A22" t="s">
        <v>392</v>
      </c>
      <c r="B22" t="s">
        <v>36</v>
      </c>
      <c r="C22">
        <v>17</v>
      </c>
      <c r="D22" t="s">
        <v>246</v>
      </c>
      <c r="E22">
        <v>17</v>
      </c>
      <c r="F22" t="s">
        <v>246</v>
      </c>
      <c r="G22">
        <v>1</v>
      </c>
      <c r="H22" t="s">
        <v>423</v>
      </c>
      <c r="I22" s="248">
        <v>0</v>
      </c>
      <c r="J22" s="248" t="s">
        <v>663</v>
      </c>
      <c r="K22"/>
      <c r="L22"/>
      <c r="M22"/>
      <c r="N22"/>
    </row>
    <row r="23" spans="1:14" ht="15" x14ac:dyDescent="0.25">
      <c r="A23" t="s">
        <v>391</v>
      </c>
      <c r="B23" t="s">
        <v>37</v>
      </c>
      <c r="C23">
        <v>8</v>
      </c>
      <c r="D23" t="s">
        <v>256</v>
      </c>
      <c r="E23">
        <v>8</v>
      </c>
      <c r="F23" t="s">
        <v>256</v>
      </c>
      <c r="G23">
        <v>1</v>
      </c>
      <c r="H23" t="s">
        <v>423</v>
      </c>
      <c r="I23" s="248">
        <v>0</v>
      </c>
      <c r="J23" s="248" t="s">
        <v>663</v>
      </c>
      <c r="K23"/>
      <c r="L23"/>
      <c r="M23"/>
      <c r="N23"/>
    </row>
    <row r="24" spans="1:14" ht="15" x14ac:dyDescent="0.25">
      <c r="A24" t="s">
        <v>390</v>
      </c>
      <c r="B24" t="s">
        <v>209</v>
      </c>
      <c r="C24">
        <v>1</v>
      </c>
      <c r="D24" t="s">
        <v>238</v>
      </c>
      <c r="E24">
        <v>1</v>
      </c>
      <c r="F24" t="s">
        <v>238</v>
      </c>
      <c r="G24">
        <v>1</v>
      </c>
      <c r="H24" t="s">
        <v>423</v>
      </c>
      <c r="I24" s="248">
        <v>0</v>
      </c>
      <c r="J24" s="248" t="s">
        <v>663</v>
      </c>
      <c r="K24"/>
      <c r="L24"/>
      <c r="M24"/>
      <c r="N24"/>
    </row>
    <row r="25" spans="1:14" ht="15" x14ac:dyDescent="0.25">
      <c r="A25" t="s">
        <v>389</v>
      </c>
      <c r="B25" t="s">
        <v>38</v>
      </c>
      <c r="C25">
        <v>1</v>
      </c>
      <c r="D25" t="s">
        <v>238</v>
      </c>
      <c r="E25">
        <v>1</v>
      </c>
      <c r="F25" t="s">
        <v>238</v>
      </c>
      <c r="G25">
        <v>3</v>
      </c>
      <c r="H25" t="s">
        <v>424</v>
      </c>
      <c r="I25" s="248">
        <v>4</v>
      </c>
      <c r="J25" s="248" t="s">
        <v>665</v>
      </c>
      <c r="K25"/>
      <c r="L25"/>
      <c r="M25"/>
      <c r="N25"/>
    </row>
    <row r="26" spans="1:14" ht="15" x14ac:dyDescent="0.25">
      <c r="A26" t="s">
        <v>385</v>
      </c>
      <c r="B26" t="s">
        <v>39</v>
      </c>
      <c r="C26">
        <v>1</v>
      </c>
      <c r="D26" t="s">
        <v>238</v>
      </c>
      <c r="E26">
        <v>1</v>
      </c>
      <c r="F26" t="s">
        <v>238</v>
      </c>
      <c r="G26">
        <v>1</v>
      </c>
      <c r="H26" t="s">
        <v>423</v>
      </c>
      <c r="I26" s="248">
        <v>0</v>
      </c>
      <c r="J26" s="248" t="s">
        <v>663</v>
      </c>
      <c r="K26"/>
      <c r="L26"/>
      <c r="M26"/>
      <c r="N26"/>
    </row>
    <row r="27" spans="1:14" ht="15" x14ac:dyDescent="0.25">
      <c r="A27" t="s">
        <v>388</v>
      </c>
      <c r="B27" t="s">
        <v>40</v>
      </c>
      <c r="C27">
        <v>1</v>
      </c>
      <c r="D27" t="s">
        <v>238</v>
      </c>
      <c r="E27">
        <v>1</v>
      </c>
      <c r="F27" t="s">
        <v>238</v>
      </c>
      <c r="G27">
        <v>1</v>
      </c>
      <c r="H27" t="s">
        <v>423</v>
      </c>
      <c r="I27" s="248">
        <v>0</v>
      </c>
      <c r="J27" s="248" t="s">
        <v>663</v>
      </c>
      <c r="K27"/>
      <c r="L27"/>
      <c r="M27"/>
      <c r="N27"/>
    </row>
    <row r="28" spans="1:14" ht="15" x14ac:dyDescent="0.25">
      <c r="A28" t="s">
        <v>387</v>
      </c>
      <c r="B28" t="s">
        <v>41</v>
      </c>
      <c r="C28">
        <v>1</v>
      </c>
      <c r="D28" t="s">
        <v>238</v>
      </c>
      <c r="E28">
        <v>17</v>
      </c>
      <c r="F28" t="s">
        <v>246</v>
      </c>
      <c r="G28">
        <v>1</v>
      </c>
      <c r="H28" t="s">
        <v>423</v>
      </c>
      <c r="I28" s="248">
        <v>0</v>
      </c>
      <c r="J28" s="248" t="s">
        <v>663</v>
      </c>
      <c r="K28"/>
      <c r="L28"/>
      <c r="M28"/>
      <c r="N28"/>
    </row>
    <row r="29" spans="1:14" ht="15" x14ac:dyDescent="0.25">
      <c r="A29" t="s">
        <v>386</v>
      </c>
      <c r="B29" t="s">
        <v>42</v>
      </c>
      <c r="C29">
        <v>5</v>
      </c>
      <c r="D29" t="s">
        <v>334</v>
      </c>
      <c r="E29">
        <v>5</v>
      </c>
      <c r="F29" t="s">
        <v>334</v>
      </c>
      <c r="G29">
        <v>1</v>
      </c>
      <c r="H29" t="s">
        <v>423</v>
      </c>
      <c r="I29" s="248">
        <v>0</v>
      </c>
      <c r="J29" s="248" t="s">
        <v>663</v>
      </c>
      <c r="K29"/>
      <c r="L29"/>
      <c r="M29"/>
      <c r="N29"/>
    </row>
    <row r="30" spans="1:14" ht="15" x14ac:dyDescent="0.25">
      <c r="A30" t="s">
        <v>383</v>
      </c>
      <c r="B30" t="s">
        <v>43</v>
      </c>
      <c r="C30">
        <v>1</v>
      </c>
      <c r="D30" t="s">
        <v>238</v>
      </c>
      <c r="E30">
        <v>1</v>
      </c>
      <c r="F30" t="s">
        <v>238</v>
      </c>
      <c r="G30">
        <v>1</v>
      </c>
      <c r="H30" t="s">
        <v>423</v>
      </c>
      <c r="I30" s="248">
        <v>0</v>
      </c>
      <c r="J30" s="248" t="s">
        <v>663</v>
      </c>
      <c r="K30"/>
      <c r="L30"/>
      <c r="M30"/>
      <c r="N30"/>
    </row>
    <row r="31" spans="1:14" ht="15" x14ac:dyDescent="0.25">
      <c r="A31" t="s">
        <v>382</v>
      </c>
      <c r="B31" t="s">
        <v>44</v>
      </c>
      <c r="C31">
        <v>5</v>
      </c>
      <c r="D31" t="s">
        <v>334</v>
      </c>
      <c r="E31">
        <v>5</v>
      </c>
      <c r="F31" t="s">
        <v>334</v>
      </c>
      <c r="G31">
        <v>1</v>
      </c>
      <c r="H31" t="s">
        <v>423</v>
      </c>
      <c r="I31" s="248">
        <v>0</v>
      </c>
      <c r="J31" s="248" t="s">
        <v>663</v>
      </c>
      <c r="K31"/>
      <c r="L31"/>
      <c r="M31"/>
      <c r="N31"/>
    </row>
    <row r="32" spans="1:14" ht="15" x14ac:dyDescent="0.25">
      <c r="A32" t="s">
        <v>381</v>
      </c>
      <c r="B32" t="s">
        <v>45</v>
      </c>
      <c r="C32">
        <v>1</v>
      </c>
      <c r="D32" t="s">
        <v>238</v>
      </c>
      <c r="E32">
        <v>1</v>
      </c>
      <c r="F32" t="s">
        <v>238</v>
      </c>
      <c r="G32">
        <v>1</v>
      </c>
      <c r="H32" t="s">
        <v>423</v>
      </c>
      <c r="I32" s="248">
        <v>0</v>
      </c>
      <c r="J32" s="248" t="s">
        <v>663</v>
      </c>
      <c r="K32"/>
      <c r="L32"/>
      <c r="M32"/>
      <c r="N32"/>
    </row>
    <row r="33" spans="1:14" ht="15" x14ac:dyDescent="0.25">
      <c r="A33" t="s">
        <v>380</v>
      </c>
      <c r="B33" t="s">
        <v>46</v>
      </c>
      <c r="C33">
        <v>10</v>
      </c>
      <c r="D33" t="s">
        <v>272</v>
      </c>
      <c r="E33">
        <v>10</v>
      </c>
      <c r="F33" t="s">
        <v>272</v>
      </c>
      <c r="G33">
        <v>1</v>
      </c>
      <c r="H33" t="s">
        <v>423</v>
      </c>
      <c r="I33" s="248">
        <v>0</v>
      </c>
      <c r="J33" s="248" t="s">
        <v>663</v>
      </c>
      <c r="K33"/>
      <c r="L33"/>
      <c r="M33"/>
      <c r="N33"/>
    </row>
    <row r="34" spans="1:14" ht="15" x14ac:dyDescent="0.25">
      <c r="A34" t="s">
        <v>379</v>
      </c>
      <c r="B34" t="s">
        <v>47</v>
      </c>
      <c r="C34">
        <v>10</v>
      </c>
      <c r="D34" t="s">
        <v>272</v>
      </c>
      <c r="E34">
        <v>10</v>
      </c>
      <c r="F34" t="s">
        <v>272</v>
      </c>
      <c r="G34">
        <v>4</v>
      </c>
      <c r="H34" t="s">
        <v>422</v>
      </c>
      <c r="I34" s="248">
        <v>0</v>
      </c>
      <c r="J34" s="248" t="s">
        <v>663</v>
      </c>
      <c r="K34"/>
      <c r="L34"/>
      <c r="M34"/>
      <c r="N34"/>
    </row>
    <row r="35" spans="1:14" ht="15" x14ac:dyDescent="0.25">
      <c r="A35" t="s">
        <v>378</v>
      </c>
      <c r="B35" t="s">
        <v>48</v>
      </c>
      <c r="C35">
        <v>12</v>
      </c>
      <c r="D35" t="s">
        <v>317</v>
      </c>
      <c r="E35">
        <v>12</v>
      </c>
      <c r="F35" t="s">
        <v>317</v>
      </c>
      <c r="G35">
        <v>1</v>
      </c>
      <c r="H35" t="s">
        <v>423</v>
      </c>
      <c r="I35" s="248">
        <v>0</v>
      </c>
      <c r="J35" s="248" t="s">
        <v>663</v>
      </c>
      <c r="K35"/>
      <c r="L35"/>
      <c r="M35"/>
      <c r="N35"/>
    </row>
    <row r="36" spans="1:14" ht="15" x14ac:dyDescent="0.25">
      <c r="A36" t="s">
        <v>375</v>
      </c>
      <c r="B36" t="s">
        <v>49</v>
      </c>
      <c r="C36">
        <v>12</v>
      </c>
      <c r="D36" t="s">
        <v>317</v>
      </c>
      <c r="E36">
        <v>12</v>
      </c>
      <c r="F36" t="s">
        <v>317</v>
      </c>
      <c r="G36">
        <v>3</v>
      </c>
      <c r="H36" t="s">
        <v>424</v>
      </c>
      <c r="I36" s="248">
        <v>0</v>
      </c>
      <c r="J36" s="248" t="s">
        <v>663</v>
      </c>
      <c r="K36"/>
      <c r="L36"/>
      <c r="M36"/>
      <c r="N36"/>
    </row>
    <row r="37" spans="1:14" ht="15" x14ac:dyDescent="0.25">
      <c r="A37" t="s">
        <v>374</v>
      </c>
      <c r="B37" t="s">
        <v>50</v>
      </c>
      <c r="C37">
        <v>17</v>
      </c>
      <c r="D37" t="s">
        <v>246</v>
      </c>
      <c r="E37">
        <v>17</v>
      </c>
      <c r="F37" t="s">
        <v>246</v>
      </c>
      <c r="G37">
        <v>4</v>
      </c>
      <c r="H37" t="s">
        <v>422</v>
      </c>
      <c r="I37" s="248">
        <v>0</v>
      </c>
      <c r="J37" s="248" t="s">
        <v>663</v>
      </c>
      <c r="K37"/>
      <c r="L37"/>
      <c r="M37"/>
      <c r="N37"/>
    </row>
    <row r="38" spans="1:14" ht="15" x14ac:dyDescent="0.25">
      <c r="A38" t="s">
        <v>373</v>
      </c>
      <c r="B38" t="s">
        <v>51</v>
      </c>
      <c r="C38">
        <v>1</v>
      </c>
      <c r="D38" t="s">
        <v>238</v>
      </c>
      <c r="E38">
        <v>1</v>
      </c>
      <c r="F38" t="s">
        <v>238</v>
      </c>
      <c r="G38">
        <v>1</v>
      </c>
      <c r="H38" t="s">
        <v>423</v>
      </c>
      <c r="I38" s="248">
        <v>0</v>
      </c>
      <c r="J38" s="248" t="s">
        <v>663</v>
      </c>
      <c r="K38"/>
      <c r="L38"/>
      <c r="M38"/>
      <c r="N38"/>
    </row>
    <row r="39" spans="1:14" ht="15" x14ac:dyDescent="0.25">
      <c r="A39" t="s">
        <v>372</v>
      </c>
      <c r="B39" t="s">
        <v>52</v>
      </c>
      <c r="C39">
        <v>13</v>
      </c>
      <c r="D39" t="s">
        <v>240</v>
      </c>
      <c r="E39">
        <v>13</v>
      </c>
      <c r="F39" t="s">
        <v>240</v>
      </c>
      <c r="G39">
        <v>4</v>
      </c>
      <c r="H39" t="s">
        <v>422</v>
      </c>
      <c r="I39" s="248">
        <v>0</v>
      </c>
      <c r="J39" s="248" t="s">
        <v>663</v>
      </c>
      <c r="K39"/>
      <c r="L39"/>
      <c r="M39"/>
      <c r="N39"/>
    </row>
    <row r="40" spans="1:14" ht="15" x14ac:dyDescent="0.25">
      <c r="A40" t="s">
        <v>377</v>
      </c>
      <c r="B40" t="s">
        <v>53</v>
      </c>
      <c r="C40">
        <v>13</v>
      </c>
      <c r="D40" t="s">
        <v>240</v>
      </c>
      <c r="E40">
        <v>13</v>
      </c>
      <c r="F40" t="s">
        <v>240</v>
      </c>
      <c r="G40">
        <v>1</v>
      </c>
      <c r="H40" t="s">
        <v>423</v>
      </c>
      <c r="I40" s="248">
        <v>0</v>
      </c>
      <c r="J40" s="248" t="s">
        <v>663</v>
      </c>
      <c r="K40"/>
      <c r="L40"/>
      <c r="M40"/>
      <c r="N40"/>
    </row>
    <row r="41" spans="1:14" ht="15" x14ac:dyDescent="0.25">
      <c r="A41" t="s">
        <v>376</v>
      </c>
      <c r="B41" t="s">
        <v>54</v>
      </c>
      <c r="C41">
        <v>13</v>
      </c>
      <c r="D41" t="s">
        <v>240</v>
      </c>
      <c r="E41">
        <v>13</v>
      </c>
      <c r="F41" t="s">
        <v>240</v>
      </c>
      <c r="G41">
        <v>1</v>
      </c>
      <c r="H41" t="s">
        <v>423</v>
      </c>
      <c r="I41" s="248">
        <v>0</v>
      </c>
      <c r="J41" s="248" t="s">
        <v>663</v>
      </c>
      <c r="K41"/>
      <c r="L41"/>
      <c r="M41"/>
      <c r="N41"/>
    </row>
    <row r="42" spans="1:14" ht="15" x14ac:dyDescent="0.25">
      <c r="A42" t="s">
        <v>371</v>
      </c>
      <c r="B42" t="s">
        <v>55</v>
      </c>
      <c r="C42">
        <v>14</v>
      </c>
      <c r="D42" t="s">
        <v>271</v>
      </c>
      <c r="E42">
        <v>14</v>
      </c>
      <c r="F42" t="s">
        <v>271</v>
      </c>
      <c r="G42">
        <v>4</v>
      </c>
      <c r="H42" t="s">
        <v>422</v>
      </c>
      <c r="I42" s="248">
        <v>0</v>
      </c>
      <c r="J42" s="248" t="s">
        <v>663</v>
      </c>
      <c r="K42"/>
      <c r="L42"/>
      <c r="M42"/>
      <c r="N42"/>
    </row>
    <row r="43" spans="1:14" ht="15" x14ac:dyDescent="0.25">
      <c r="A43" t="s">
        <v>370</v>
      </c>
      <c r="B43" t="s">
        <v>56</v>
      </c>
      <c r="C43">
        <v>18</v>
      </c>
      <c r="D43" t="s">
        <v>248</v>
      </c>
      <c r="E43">
        <v>18</v>
      </c>
      <c r="F43" t="s">
        <v>248</v>
      </c>
      <c r="G43">
        <v>3</v>
      </c>
      <c r="H43" t="s">
        <v>424</v>
      </c>
      <c r="I43" s="248">
        <v>0</v>
      </c>
      <c r="J43" s="248" t="s">
        <v>663</v>
      </c>
      <c r="K43"/>
      <c r="L43"/>
      <c r="M43"/>
      <c r="N43"/>
    </row>
    <row r="44" spans="1:14" ht="15" x14ac:dyDescent="0.25">
      <c r="A44" t="s">
        <v>369</v>
      </c>
      <c r="B44" t="s">
        <v>210</v>
      </c>
      <c r="C44">
        <v>17</v>
      </c>
      <c r="D44" t="s">
        <v>246</v>
      </c>
      <c r="E44">
        <v>17</v>
      </c>
      <c r="F44" t="s">
        <v>246</v>
      </c>
      <c r="G44">
        <v>1</v>
      </c>
      <c r="H44" t="s">
        <v>423</v>
      </c>
      <c r="I44" s="248">
        <v>0</v>
      </c>
      <c r="J44" s="248" t="s">
        <v>663</v>
      </c>
      <c r="K44"/>
      <c r="L44"/>
      <c r="M44"/>
      <c r="N44"/>
    </row>
    <row r="45" spans="1:14" ht="15" x14ac:dyDescent="0.25">
      <c r="A45" t="s">
        <v>368</v>
      </c>
      <c r="B45" t="s">
        <v>58</v>
      </c>
      <c r="C45">
        <v>1</v>
      </c>
      <c r="D45" t="s">
        <v>238</v>
      </c>
      <c r="E45">
        <v>1</v>
      </c>
      <c r="F45" t="s">
        <v>238</v>
      </c>
      <c r="G45">
        <v>1</v>
      </c>
      <c r="H45" t="s">
        <v>423</v>
      </c>
      <c r="I45" s="248">
        <v>0</v>
      </c>
      <c r="J45" s="248" t="s">
        <v>663</v>
      </c>
      <c r="K45"/>
      <c r="L45"/>
      <c r="M45"/>
      <c r="N45"/>
    </row>
    <row r="46" spans="1:14" ht="15" x14ac:dyDescent="0.25">
      <c r="A46" t="s">
        <v>367</v>
      </c>
      <c r="B46" t="s">
        <v>59</v>
      </c>
      <c r="C46">
        <v>1</v>
      </c>
      <c r="D46" t="s">
        <v>238</v>
      </c>
      <c r="E46">
        <v>99</v>
      </c>
      <c r="F46" t="s">
        <v>482</v>
      </c>
      <c r="G46">
        <v>1</v>
      </c>
      <c r="H46" t="s">
        <v>423</v>
      </c>
      <c r="I46" s="248">
        <v>0</v>
      </c>
      <c r="J46" s="248" t="s">
        <v>663</v>
      </c>
      <c r="K46"/>
      <c r="L46"/>
      <c r="M46"/>
      <c r="N46"/>
    </row>
    <row r="47" spans="1:14" ht="15" x14ac:dyDescent="0.25">
      <c r="A47" t="s">
        <v>366</v>
      </c>
      <c r="B47" t="s">
        <v>60</v>
      </c>
      <c r="C47">
        <v>13</v>
      </c>
      <c r="D47" t="s">
        <v>240</v>
      </c>
      <c r="E47">
        <v>13</v>
      </c>
      <c r="F47" t="s">
        <v>240</v>
      </c>
      <c r="G47">
        <v>1</v>
      </c>
      <c r="H47" t="s">
        <v>423</v>
      </c>
      <c r="I47" s="248">
        <v>0</v>
      </c>
      <c r="J47" s="248" t="s">
        <v>663</v>
      </c>
      <c r="K47"/>
      <c r="L47"/>
      <c r="M47"/>
      <c r="N47"/>
    </row>
    <row r="48" spans="1:14" ht="15" x14ac:dyDescent="0.25">
      <c r="A48" t="s">
        <v>365</v>
      </c>
      <c r="B48" t="s">
        <v>61</v>
      </c>
      <c r="C48">
        <v>1</v>
      </c>
      <c r="D48" t="s">
        <v>238</v>
      </c>
      <c r="E48">
        <v>1</v>
      </c>
      <c r="F48" t="s">
        <v>238</v>
      </c>
      <c r="G48">
        <v>1</v>
      </c>
      <c r="H48" t="s">
        <v>423</v>
      </c>
      <c r="I48" s="248">
        <v>0</v>
      </c>
      <c r="J48" s="248" t="s">
        <v>663</v>
      </c>
      <c r="K48"/>
      <c r="L48"/>
      <c r="M48"/>
      <c r="N48"/>
    </row>
    <row r="49" spans="1:14" ht="15" x14ac:dyDescent="0.25">
      <c r="A49" t="s">
        <v>364</v>
      </c>
      <c r="B49" t="s">
        <v>62</v>
      </c>
      <c r="C49">
        <v>16</v>
      </c>
      <c r="D49" t="s">
        <v>346</v>
      </c>
      <c r="E49">
        <v>16</v>
      </c>
      <c r="F49" t="s">
        <v>346</v>
      </c>
      <c r="G49">
        <v>1</v>
      </c>
      <c r="H49" t="s">
        <v>423</v>
      </c>
      <c r="I49" s="248">
        <v>0</v>
      </c>
      <c r="J49" s="248" t="s">
        <v>663</v>
      </c>
      <c r="K49"/>
      <c r="L49"/>
      <c r="M49"/>
      <c r="N49"/>
    </row>
    <row r="50" spans="1:14" ht="15" x14ac:dyDescent="0.25">
      <c r="A50" t="s">
        <v>363</v>
      </c>
      <c r="B50" t="s">
        <v>63</v>
      </c>
      <c r="C50">
        <v>1</v>
      </c>
      <c r="D50" t="s">
        <v>238</v>
      </c>
      <c r="E50">
        <v>1</v>
      </c>
      <c r="F50" t="s">
        <v>238</v>
      </c>
      <c r="G50">
        <v>1</v>
      </c>
      <c r="H50" t="s">
        <v>423</v>
      </c>
      <c r="I50" s="248">
        <v>0</v>
      </c>
      <c r="J50" s="248" t="s">
        <v>663</v>
      </c>
      <c r="K50"/>
      <c r="L50"/>
      <c r="M50"/>
      <c r="N50"/>
    </row>
    <row r="51" spans="1:14" ht="15" x14ac:dyDescent="0.25">
      <c r="A51" t="s">
        <v>362</v>
      </c>
      <c r="B51" t="s">
        <v>64</v>
      </c>
      <c r="C51">
        <v>19</v>
      </c>
      <c r="D51" t="s">
        <v>296</v>
      </c>
      <c r="E51">
        <v>19</v>
      </c>
      <c r="F51" t="s">
        <v>296</v>
      </c>
      <c r="G51">
        <v>4</v>
      </c>
      <c r="H51" t="s">
        <v>422</v>
      </c>
      <c r="I51" s="248">
        <v>0</v>
      </c>
      <c r="J51" s="248" t="s">
        <v>663</v>
      </c>
      <c r="K51"/>
      <c r="L51"/>
      <c r="M51"/>
      <c r="N51"/>
    </row>
    <row r="52" spans="1:14" ht="15" x14ac:dyDescent="0.25">
      <c r="A52" t="s">
        <v>348</v>
      </c>
      <c r="B52" t="s">
        <v>880</v>
      </c>
      <c r="C52">
        <v>16</v>
      </c>
      <c r="D52" t="s">
        <v>346</v>
      </c>
      <c r="E52">
        <v>16</v>
      </c>
      <c r="F52" t="s">
        <v>346</v>
      </c>
      <c r="G52">
        <v>1</v>
      </c>
      <c r="H52" t="s">
        <v>423</v>
      </c>
      <c r="I52" s="248">
        <v>0</v>
      </c>
      <c r="J52" s="248" t="s">
        <v>663</v>
      </c>
      <c r="K52"/>
      <c r="L52"/>
      <c r="M52"/>
      <c r="N52"/>
    </row>
    <row r="53" spans="1:14" ht="15" x14ac:dyDescent="0.25">
      <c r="A53" t="s">
        <v>347</v>
      </c>
      <c r="B53" t="s">
        <v>66</v>
      </c>
      <c r="C53">
        <v>16</v>
      </c>
      <c r="D53" t="s">
        <v>346</v>
      </c>
      <c r="E53">
        <v>16</v>
      </c>
      <c r="F53" t="s">
        <v>346</v>
      </c>
      <c r="G53">
        <v>4</v>
      </c>
      <c r="H53" t="s">
        <v>422</v>
      </c>
      <c r="I53" s="248">
        <v>0</v>
      </c>
      <c r="J53" s="248" t="s">
        <v>663</v>
      </c>
      <c r="K53"/>
      <c r="L53"/>
      <c r="M53"/>
      <c r="N53"/>
    </row>
    <row r="54" spans="1:14" ht="15" x14ac:dyDescent="0.25">
      <c r="A54" t="s">
        <v>341</v>
      </c>
      <c r="B54" t="s">
        <v>67</v>
      </c>
      <c r="C54">
        <v>1</v>
      </c>
      <c r="D54" t="s">
        <v>238</v>
      </c>
      <c r="E54">
        <v>1</v>
      </c>
      <c r="F54" t="s">
        <v>238</v>
      </c>
      <c r="G54">
        <v>4</v>
      </c>
      <c r="H54" t="s">
        <v>422</v>
      </c>
      <c r="I54" s="248">
        <v>0</v>
      </c>
      <c r="J54" s="248" t="s">
        <v>663</v>
      </c>
      <c r="K54"/>
      <c r="L54"/>
      <c r="M54"/>
      <c r="N54"/>
    </row>
    <row r="55" spans="1:14" ht="15" x14ac:dyDescent="0.25">
      <c r="A55" t="s">
        <v>361</v>
      </c>
      <c r="B55" t="s">
        <v>68</v>
      </c>
      <c r="C55">
        <v>1</v>
      </c>
      <c r="D55" t="s">
        <v>238</v>
      </c>
      <c r="E55">
        <v>1</v>
      </c>
      <c r="F55" t="s">
        <v>238</v>
      </c>
      <c r="G55">
        <v>1</v>
      </c>
      <c r="H55" t="s">
        <v>423</v>
      </c>
      <c r="I55" s="248">
        <v>0</v>
      </c>
      <c r="J55" s="248" t="s">
        <v>663</v>
      </c>
      <c r="K55"/>
      <c r="L55"/>
      <c r="M55"/>
      <c r="N55"/>
    </row>
    <row r="56" spans="1:14" ht="15" x14ac:dyDescent="0.25">
      <c r="A56" t="s">
        <v>360</v>
      </c>
      <c r="B56" t="s">
        <v>69</v>
      </c>
      <c r="C56">
        <v>5</v>
      </c>
      <c r="D56" t="s">
        <v>334</v>
      </c>
      <c r="E56">
        <v>5</v>
      </c>
      <c r="F56" t="s">
        <v>334</v>
      </c>
      <c r="G56">
        <v>1</v>
      </c>
      <c r="H56" t="s">
        <v>423</v>
      </c>
      <c r="I56" s="248">
        <v>0</v>
      </c>
      <c r="J56" s="248" t="s">
        <v>663</v>
      </c>
      <c r="K56"/>
      <c r="L56"/>
      <c r="M56"/>
      <c r="N56"/>
    </row>
    <row r="57" spans="1:14" ht="15" x14ac:dyDescent="0.25">
      <c r="A57" t="s">
        <v>359</v>
      </c>
      <c r="B57" t="s">
        <v>70</v>
      </c>
      <c r="C57">
        <v>1</v>
      </c>
      <c r="D57" t="s">
        <v>238</v>
      </c>
      <c r="E57">
        <v>1</v>
      </c>
      <c r="F57" t="s">
        <v>238</v>
      </c>
      <c r="G57">
        <v>1</v>
      </c>
      <c r="H57" t="s">
        <v>423</v>
      </c>
      <c r="I57" s="248">
        <v>0</v>
      </c>
      <c r="J57" s="248" t="s">
        <v>663</v>
      </c>
      <c r="K57"/>
      <c r="L57"/>
      <c r="M57"/>
      <c r="N57"/>
    </row>
    <row r="58" spans="1:14" ht="15" x14ac:dyDescent="0.25">
      <c r="A58" t="s">
        <v>358</v>
      </c>
      <c r="B58" t="s">
        <v>71</v>
      </c>
      <c r="C58">
        <v>1</v>
      </c>
      <c r="D58" t="s">
        <v>238</v>
      </c>
      <c r="E58">
        <v>1</v>
      </c>
      <c r="F58" t="s">
        <v>238</v>
      </c>
      <c r="G58">
        <v>1</v>
      </c>
      <c r="H58" t="s">
        <v>423</v>
      </c>
      <c r="I58" s="248">
        <v>0</v>
      </c>
      <c r="J58" s="248" t="s">
        <v>663</v>
      </c>
      <c r="K58"/>
      <c r="L58"/>
      <c r="M58"/>
      <c r="N58"/>
    </row>
    <row r="59" spans="1:14" ht="15" x14ac:dyDescent="0.25">
      <c r="A59" t="s">
        <v>357</v>
      </c>
      <c r="B59" t="s">
        <v>72</v>
      </c>
      <c r="C59">
        <v>12</v>
      </c>
      <c r="D59" t="s">
        <v>317</v>
      </c>
      <c r="E59">
        <v>12</v>
      </c>
      <c r="F59" t="s">
        <v>317</v>
      </c>
      <c r="G59">
        <v>1</v>
      </c>
      <c r="H59" t="s">
        <v>423</v>
      </c>
      <c r="I59" s="248">
        <v>0</v>
      </c>
      <c r="J59" s="248" t="s">
        <v>663</v>
      </c>
      <c r="K59"/>
      <c r="L59"/>
      <c r="M59"/>
      <c r="N59"/>
    </row>
    <row r="60" spans="1:14" ht="15" x14ac:dyDescent="0.25">
      <c r="A60" t="s">
        <v>356</v>
      </c>
      <c r="B60" t="s">
        <v>154</v>
      </c>
      <c r="C60">
        <v>1</v>
      </c>
      <c r="D60" t="s">
        <v>238</v>
      </c>
      <c r="E60">
        <v>1</v>
      </c>
      <c r="F60" t="s">
        <v>238</v>
      </c>
      <c r="G60">
        <v>1</v>
      </c>
      <c r="H60" t="s">
        <v>423</v>
      </c>
      <c r="I60" s="248">
        <v>0</v>
      </c>
      <c r="J60" s="248" t="s">
        <v>663</v>
      </c>
      <c r="K60"/>
      <c r="L60"/>
      <c r="M60"/>
      <c r="N60"/>
    </row>
    <row r="61" spans="1:14" ht="15" x14ac:dyDescent="0.25">
      <c r="A61" t="s">
        <v>355</v>
      </c>
      <c r="B61" t="s">
        <v>171</v>
      </c>
      <c r="C61">
        <v>1</v>
      </c>
      <c r="D61" t="s">
        <v>238</v>
      </c>
      <c r="E61">
        <v>99</v>
      </c>
      <c r="F61" t="s">
        <v>482</v>
      </c>
      <c r="G61">
        <v>1</v>
      </c>
      <c r="H61" t="s">
        <v>423</v>
      </c>
      <c r="I61" s="248">
        <v>0</v>
      </c>
      <c r="J61" s="248" t="s">
        <v>663</v>
      </c>
      <c r="K61"/>
      <c r="L61"/>
      <c r="M61"/>
      <c r="N61"/>
    </row>
    <row r="62" spans="1:14" ht="15" x14ac:dyDescent="0.25">
      <c r="A62" t="s">
        <v>354</v>
      </c>
      <c r="B62" t="s">
        <v>73</v>
      </c>
      <c r="C62">
        <v>14</v>
      </c>
      <c r="D62" t="s">
        <v>271</v>
      </c>
      <c r="E62">
        <v>14</v>
      </c>
      <c r="F62" t="s">
        <v>271</v>
      </c>
      <c r="G62">
        <v>1</v>
      </c>
      <c r="H62" t="s">
        <v>423</v>
      </c>
      <c r="I62" s="248">
        <v>0</v>
      </c>
      <c r="J62" s="248" t="s">
        <v>663</v>
      </c>
      <c r="K62"/>
      <c r="L62"/>
      <c r="M62"/>
      <c r="N62"/>
    </row>
    <row r="63" spans="1:14" ht="15" x14ac:dyDescent="0.25">
      <c r="A63" t="s">
        <v>353</v>
      </c>
      <c r="B63" t="s">
        <v>74</v>
      </c>
      <c r="C63">
        <v>8</v>
      </c>
      <c r="D63" t="s">
        <v>256</v>
      </c>
      <c r="E63">
        <v>8</v>
      </c>
      <c r="F63" t="s">
        <v>256</v>
      </c>
      <c r="G63">
        <v>4</v>
      </c>
      <c r="H63" t="s">
        <v>422</v>
      </c>
      <c r="I63" s="248">
        <v>0</v>
      </c>
      <c r="J63" s="248" t="s">
        <v>663</v>
      </c>
      <c r="K63"/>
      <c r="L63"/>
      <c r="M63"/>
      <c r="N63"/>
    </row>
    <row r="64" spans="1:14" ht="15" x14ac:dyDescent="0.25">
      <c r="A64" t="s">
        <v>352</v>
      </c>
      <c r="B64" t="s">
        <v>75</v>
      </c>
      <c r="C64">
        <v>7</v>
      </c>
      <c r="D64" t="s">
        <v>252</v>
      </c>
      <c r="E64">
        <v>7</v>
      </c>
      <c r="F64" t="s">
        <v>252</v>
      </c>
      <c r="G64">
        <v>4</v>
      </c>
      <c r="H64" t="s">
        <v>422</v>
      </c>
      <c r="I64" s="248">
        <v>0</v>
      </c>
      <c r="J64" s="248" t="s">
        <v>663</v>
      </c>
      <c r="K64"/>
      <c r="L64"/>
      <c r="M64"/>
      <c r="N64"/>
    </row>
    <row r="65" spans="1:14" ht="15" x14ac:dyDescent="0.25">
      <c r="A65" t="s">
        <v>351</v>
      </c>
      <c r="B65" t="s">
        <v>76</v>
      </c>
      <c r="C65">
        <v>5</v>
      </c>
      <c r="D65" t="s">
        <v>334</v>
      </c>
      <c r="E65">
        <v>5</v>
      </c>
      <c r="F65" t="s">
        <v>334</v>
      </c>
      <c r="G65">
        <v>4</v>
      </c>
      <c r="H65" t="s">
        <v>422</v>
      </c>
      <c r="I65" s="248">
        <v>0</v>
      </c>
      <c r="J65" s="248" t="s">
        <v>663</v>
      </c>
      <c r="K65"/>
      <c r="L65"/>
      <c r="M65"/>
      <c r="N65"/>
    </row>
    <row r="66" spans="1:14" ht="15" x14ac:dyDescent="0.25">
      <c r="A66" t="s">
        <v>350</v>
      </c>
      <c r="B66" t="s">
        <v>77</v>
      </c>
      <c r="C66">
        <v>8</v>
      </c>
      <c r="D66" t="s">
        <v>256</v>
      </c>
      <c r="E66">
        <v>8</v>
      </c>
      <c r="F66" t="s">
        <v>256</v>
      </c>
      <c r="G66">
        <v>1</v>
      </c>
      <c r="H66" t="s">
        <v>423</v>
      </c>
      <c r="I66" s="248">
        <v>0</v>
      </c>
      <c r="J66" s="248" t="s">
        <v>663</v>
      </c>
      <c r="K66"/>
      <c r="L66"/>
      <c r="M66"/>
      <c r="N66"/>
    </row>
    <row r="67" spans="1:14" ht="15" x14ac:dyDescent="0.25">
      <c r="A67" t="s">
        <v>349</v>
      </c>
      <c r="B67" t="s">
        <v>78</v>
      </c>
      <c r="C67">
        <v>8</v>
      </c>
      <c r="D67" t="s">
        <v>256</v>
      </c>
      <c r="E67">
        <v>8</v>
      </c>
      <c r="F67" t="s">
        <v>256</v>
      </c>
      <c r="G67">
        <v>3</v>
      </c>
      <c r="H67" t="s">
        <v>424</v>
      </c>
      <c r="I67" s="248">
        <v>0</v>
      </c>
      <c r="J67" s="248" t="s">
        <v>663</v>
      </c>
      <c r="K67"/>
      <c r="L67"/>
      <c r="M67"/>
      <c r="N67"/>
    </row>
    <row r="68" spans="1:14" ht="15" x14ac:dyDescent="0.25">
      <c r="A68" t="s">
        <v>345</v>
      </c>
      <c r="B68" t="s">
        <v>79</v>
      </c>
      <c r="C68">
        <v>17</v>
      </c>
      <c r="D68" t="s">
        <v>246</v>
      </c>
      <c r="E68">
        <v>17</v>
      </c>
      <c r="F68" t="s">
        <v>246</v>
      </c>
      <c r="G68">
        <v>1</v>
      </c>
      <c r="H68" t="s">
        <v>423</v>
      </c>
      <c r="I68" s="248">
        <v>0</v>
      </c>
      <c r="J68" s="248" t="s">
        <v>663</v>
      </c>
      <c r="K68"/>
      <c r="L68"/>
      <c r="M68"/>
      <c r="N68"/>
    </row>
    <row r="69" spans="1:14" ht="15" x14ac:dyDescent="0.25">
      <c r="A69" t="s">
        <v>344</v>
      </c>
      <c r="B69" t="s">
        <v>80</v>
      </c>
      <c r="C69">
        <v>11</v>
      </c>
      <c r="D69" t="s">
        <v>242</v>
      </c>
      <c r="E69">
        <v>11</v>
      </c>
      <c r="F69" t="s">
        <v>242</v>
      </c>
      <c r="G69">
        <v>1</v>
      </c>
      <c r="H69" t="s">
        <v>423</v>
      </c>
      <c r="I69" s="248">
        <v>0</v>
      </c>
      <c r="J69" s="248" t="s">
        <v>663</v>
      </c>
      <c r="K69"/>
      <c r="L69"/>
      <c r="M69"/>
      <c r="N69"/>
    </row>
    <row r="70" spans="1:14" ht="15" x14ac:dyDescent="0.25">
      <c r="A70" t="s">
        <v>343</v>
      </c>
      <c r="B70" s="11" t="s">
        <v>81</v>
      </c>
      <c r="C70">
        <v>11</v>
      </c>
      <c r="D70" t="s">
        <v>242</v>
      </c>
      <c r="E70">
        <v>11</v>
      </c>
      <c r="F70" t="s">
        <v>242</v>
      </c>
      <c r="G70">
        <v>1</v>
      </c>
      <c r="H70" t="s">
        <v>423</v>
      </c>
      <c r="I70" s="248">
        <v>0</v>
      </c>
      <c r="J70" s="248" t="s">
        <v>663</v>
      </c>
      <c r="K70"/>
      <c r="L70"/>
      <c r="M70"/>
      <c r="N70"/>
    </row>
    <row r="71" spans="1:14" ht="15" x14ac:dyDescent="0.25">
      <c r="A71" t="s">
        <v>342</v>
      </c>
      <c r="B71" t="s">
        <v>82</v>
      </c>
      <c r="C71">
        <v>14</v>
      </c>
      <c r="D71" t="s">
        <v>271</v>
      </c>
      <c r="E71">
        <v>14</v>
      </c>
      <c r="F71" t="s">
        <v>271</v>
      </c>
      <c r="G71">
        <v>1</v>
      </c>
      <c r="H71" t="s">
        <v>423</v>
      </c>
      <c r="I71" s="248">
        <v>0</v>
      </c>
      <c r="J71" s="248" t="s">
        <v>663</v>
      </c>
      <c r="K71"/>
      <c r="L71"/>
      <c r="M71"/>
      <c r="N71"/>
    </row>
    <row r="72" spans="1:14" ht="15" x14ac:dyDescent="0.25">
      <c r="A72" t="s">
        <v>340</v>
      </c>
      <c r="B72" t="s">
        <v>172</v>
      </c>
      <c r="C72">
        <v>15</v>
      </c>
      <c r="D72" t="s">
        <v>244</v>
      </c>
      <c r="E72">
        <v>15</v>
      </c>
      <c r="F72" t="s">
        <v>244</v>
      </c>
      <c r="G72">
        <v>4</v>
      </c>
      <c r="H72" t="s">
        <v>422</v>
      </c>
      <c r="I72" s="248">
        <v>1</v>
      </c>
      <c r="J72" s="248" t="s">
        <v>664</v>
      </c>
      <c r="K72"/>
      <c r="L72"/>
      <c r="M72"/>
      <c r="N72"/>
    </row>
    <row r="73" spans="1:14" ht="15" x14ac:dyDescent="0.25">
      <c r="A73" t="s">
        <v>384</v>
      </c>
      <c r="B73" t="s">
        <v>83</v>
      </c>
      <c r="C73">
        <v>1</v>
      </c>
      <c r="D73" t="s">
        <v>238</v>
      </c>
      <c r="E73">
        <v>1</v>
      </c>
      <c r="F73" t="s">
        <v>238</v>
      </c>
      <c r="G73">
        <v>1</v>
      </c>
      <c r="H73" t="s">
        <v>423</v>
      </c>
      <c r="I73" s="248">
        <v>0</v>
      </c>
      <c r="J73" s="248" t="s">
        <v>663</v>
      </c>
      <c r="K73"/>
      <c r="L73"/>
      <c r="M73"/>
      <c r="N73"/>
    </row>
    <row r="74" spans="1:14" ht="15" x14ac:dyDescent="0.25">
      <c r="A74" t="s">
        <v>338</v>
      </c>
      <c r="B74" t="s">
        <v>84</v>
      </c>
      <c r="C74">
        <v>7</v>
      </c>
      <c r="D74" t="s">
        <v>252</v>
      </c>
      <c r="E74">
        <v>7</v>
      </c>
      <c r="F74" t="s">
        <v>252</v>
      </c>
      <c r="G74">
        <v>1</v>
      </c>
      <c r="H74" t="s">
        <v>423</v>
      </c>
      <c r="I74" s="248">
        <v>0</v>
      </c>
      <c r="J74" s="248" t="s">
        <v>663</v>
      </c>
      <c r="K74"/>
      <c r="L74"/>
      <c r="M74"/>
      <c r="N74"/>
    </row>
    <row r="75" spans="1:14" ht="15" x14ac:dyDescent="0.25">
      <c r="A75" t="s">
        <v>337</v>
      </c>
      <c r="B75" t="s">
        <v>85</v>
      </c>
      <c r="C75">
        <v>7</v>
      </c>
      <c r="D75" t="s">
        <v>252</v>
      </c>
      <c r="E75">
        <v>7</v>
      </c>
      <c r="F75" t="s">
        <v>252</v>
      </c>
      <c r="G75">
        <v>1</v>
      </c>
      <c r="H75" t="s">
        <v>423</v>
      </c>
      <c r="I75" s="248">
        <v>0</v>
      </c>
      <c r="J75" s="248" t="s">
        <v>663</v>
      </c>
      <c r="K75"/>
      <c r="L75"/>
      <c r="M75"/>
      <c r="N75"/>
    </row>
    <row r="76" spans="1:14" ht="15" x14ac:dyDescent="0.25">
      <c r="A76" t="s">
        <v>335</v>
      </c>
      <c r="B76" t="s">
        <v>86</v>
      </c>
      <c r="C76">
        <v>5</v>
      </c>
      <c r="D76" t="s">
        <v>334</v>
      </c>
      <c r="E76">
        <v>5</v>
      </c>
      <c r="F76" t="s">
        <v>334</v>
      </c>
      <c r="G76">
        <v>4</v>
      </c>
      <c r="H76" t="s">
        <v>422</v>
      </c>
      <c r="I76" s="248">
        <v>0</v>
      </c>
      <c r="J76" s="248" t="s">
        <v>663</v>
      </c>
      <c r="K76"/>
      <c r="L76"/>
      <c r="M76"/>
      <c r="N76"/>
    </row>
    <row r="77" spans="1:14" ht="15" x14ac:dyDescent="0.25">
      <c r="A77" t="s">
        <v>333</v>
      </c>
      <c r="B77" t="s">
        <v>87</v>
      </c>
      <c r="C77">
        <v>2</v>
      </c>
      <c r="D77" t="s">
        <v>254</v>
      </c>
      <c r="E77">
        <v>2</v>
      </c>
      <c r="F77" t="s">
        <v>254</v>
      </c>
      <c r="G77">
        <v>4</v>
      </c>
      <c r="H77" t="s">
        <v>422</v>
      </c>
      <c r="I77" s="248">
        <v>0</v>
      </c>
      <c r="J77" s="248" t="s">
        <v>663</v>
      </c>
      <c r="K77"/>
      <c r="L77"/>
      <c r="M77"/>
      <c r="N77"/>
    </row>
    <row r="78" spans="1:14" ht="15" x14ac:dyDescent="0.25">
      <c r="A78" t="s">
        <v>332</v>
      </c>
      <c r="B78" t="s">
        <v>88</v>
      </c>
      <c r="C78">
        <v>1</v>
      </c>
      <c r="D78" t="s">
        <v>238</v>
      </c>
      <c r="E78">
        <v>1</v>
      </c>
      <c r="F78" t="s">
        <v>238</v>
      </c>
      <c r="G78">
        <v>4</v>
      </c>
      <c r="H78" t="s">
        <v>422</v>
      </c>
      <c r="I78" s="248">
        <v>0</v>
      </c>
      <c r="J78" s="248" t="s">
        <v>663</v>
      </c>
      <c r="K78"/>
      <c r="L78"/>
      <c r="M78"/>
      <c r="N78"/>
    </row>
    <row r="79" spans="1:14" ht="15" x14ac:dyDescent="0.25">
      <c r="A79" t="s">
        <v>331</v>
      </c>
      <c r="B79" t="s">
        <v>89</v>
      </c>
      <c r="C79">
        <v>4</v>
      </c>
      <c r="D79" t="s">
        <v>287</v>
      </c>
      <c r="E79">
        <v>4</v>
      </c>
      <c r="F79" t="s">
        <v>287</v>
      </c>
      <c r="G79">
        <v>1</v>
      </c>
      <c r="H79" t="s">
        <v>423</v>
      </c>
      <c r="I79" s="248">
        <v>0</v>
      </c>
      <c r="J79" s="248" t="s">
        <v>663</v>
      </c>
      <c r="K79"/>
      <c r="L79"/>
      <c r="M79"/>
      <c r="N79"/>
    </row>
    <row r="80" spans="1:14" ht="15" x14ac:dyDescent="0.25">
      <c r="A80" t="s">
        <v>329</v>
      </c>
      <c r="B80" t="s">
        <v>90</v>
      </c>
      <c r="C80">
        <v>1</v>
      </c>
      <c r="D80" t="s">
        <v>238</v>
      </c>
      <c r="E80">
        <v>1</v>
      </c>
      <c r="F80" t="s">
        <v>238</v>
      </c>
      <c r="G80">
        <v>1</v>
      </c>
      <c r="H80" t="s">
        <v>423</v>
      </c>
      <c r="I80" s="248">
        <v>0</v>
      </c>
      <c r="J80" s="248" t="s">
        <v>663</v>
      </c>
      <c r="K80"/>
      <c r="L80"/>
      <c r="M80"/>
      <c r="N80"/>
    </row>
    <row r="81" spans="1:14" ht="15" x14ac:dyDescent="0.25">
      <c r="A81" t="s">
        <v>325</v>
      </c>
      <c r="B81" t="s">
        <v>91</v>
      </c>
      <c r="C81">
        <v>1</v>
      </c>
      <c r="D81" t="s">
        <v>238</v>
      </c>
      <c r="E81">
        <v>1</v>
      </c>
      <c r="F81" t="s">
        <v>238</v>
      </c>
      <c r="G81">
        <v>1</v>
      </c>
      <c r="H81" t="s">
        <v>423</v>
      </c>
      <c r="I81" s="248">
        <v>0</v>
      </c>
      <c r="J81" s="248" t="s">
        <v>663</v>
      </c>
      <c r="K81"/>
      <c r="L81"/>
      <c r="M81"/>
      <c r="N81"/>
    </row>
    <row r="82" spans="1:14" ht="15" x14ac:dyDescent="0.25">
      <c r="A82" t="s">
        <v>328</v>
      </c>
      <c r="B82" t="s">
        <v>92</v>
      </c>
      <c r="C82">
        <v>1</v>
      </c>
      <c r="D82" t="s">
        <v>238</v>
      </c>
      <c r="E82">
        <v>1</v>
      </c>
      <c r="F82" t="s">
        <v>238</v>
      </c>
      <c r="G82">
        <v>1</v>
      </c>
      <c r="H82" t="s">
        <v>423</v>
      </c>
      <c r="I82" s="248">
        <v>0</v>
      </c>
      <c r="J82" s="248" t="s">
        <v>663</v>
      </c>
      <c r="K82"/>
      <c r="L82"/>
      <c r="M82"/>
      <c r="N82"/>
    </row>
    <row r="83" spans="1:14" ht="15" x14ac:dyDescent="0.25">
      <c r="A83" t="s">
        <v>327</v>
      </c>
      <c r="B83" t="s">
        <v>93</v>
      </c>
      <c r="C83">
        <v>17</v>
      </c>
      <c r="D83" t="s">
        <v>246</v>
      </c>
      <c r="E83">
        <v>17</v>
      </c>
      <c r="F83" t="s">
        <v>246</v>
      </c>
      <c r="G83">
        <v>1</v>
      </c>
      <c r="H83" t="s">
        <v>423</v>
      </c>
      <c r="I83" s="248">
        <v>0</v>
      </c>
      <c r="J83" s="248" t="s">
        <v>663</v>
      </c>
      <c r="K83"/>
      <c r="L83"/>
      <c r="M83"/>
      <c r="N83"/>
    </row>
    <row r="84" spans="1:14" ht="15" x14ac:dyDescent="0.25">
      <c r="A84" t="s">
        <v>326</v>
      </c>
      <c r="B84" t="s">
        <v>173</v>
      </c>
      <c r="C84">
        <v>2</v>
      </c>
      <c r="D84" t="s">
        <v>254</v>
      </c>
      <c r="E84">
        <v>2</v>
      </c>
      <c r="F84" t="s">
        <v>254</v>
      </c>
      <c r="G84">
        <v>1</v>
      </c>
      <c r="H84" t="s">
        <v>423</v>
      </c>
      <c r="I84" s="248">
        <v>0</v>
      </c>
      <c r="J84" s="248" t="s">
        <v>663</v>
      </c>
      <c r="K84"/>
      <c r="L84"/>
      <c r="M84"/>
      <c r="N84"/>
    </row>
    <row r="85" spans="1:14" ht="15" x14ac:dyDescent="0.25">
      <c r="A85" t="s">
        <v>324</v>
      </c>
      <c r="B85" t="s">
        <v>182</v>
      </c>
      <c r="C85">
        <v>6</v>
      </c>
      <c r="D85" t="s">
        <v>249</v>
      </c>
      <c r="E85">
        <v>99</v>
      </c>
      <c r="F85" t="s">
        <v>482</v>
      </c>
      <c r="G85">
        <v>1</v>
      </c>
      <c r="H85" t="s">
        <v>423</v>
      </c>
      <c r="I85" s="248">
        <v>0</v>
      </c>
      <c r="J85" s="248" t="s">
        <v>663</v>
      </c>
      <c r="K85"/>
      <c r="L85"/>
      <c r="M85"/>
      <c r="N85"/>
    </row>
    <row r="86" spans="1:14" ht="15" x14ac:dyDescent="0.25">
      <c r="A86" t="s">
        <v>323</v>
      </c>
      <c r="B86" t="s">
        <v>192</v>
      </c>
      <c r="C86">
        <v>1</v>
      </c>
      <c r="D86" t="s">
        <v>238</v>
      </c>
      <c r="E86">
        <v>99</v>
      </c>
      <c r="F86" t="s">
        <v>482</v>
      </c>
      <c r="G86">
        <v>1</v>
      </c>
      <c r="H86" t="s">
        <v>423</v>
      </c>
      <c r="I86" s="248">
        <v>0</v>
      </c>
      <c r="J86" s="248" t="s">
        <v>663</v>
      </c>
      <c r="K86"/>
      <c r="L86"/>
      <c r="M86"/>
      <c r="N86"/>
    </row>
    <row r="87" spans="1:14" ht="15" x14ac:dyDescent="0.25">
      <c r="A87" t="s">
        <v>322</v>
      </c>
      <c r="B87" s="11" t="s">
        <v>488</v>
      </c>
      <c r="C87">
        <v>1</v>
      </c>
      <c r="D87" t="s">
        <v>238</v>
      </c>
      <c r="E87">
        <v>99</v>
      </c>
      <c r="F87" t="s">
        <v>482</v>
      </c>
      <c r="G87">
        <v>1</v>
      </c>
      <c r="H87" t="s">
        <v>423</v>
      </c>
      <c r="I87" s="248">
        <v>0</v>
      </c>
      <c r="J87" s="248" t="s">
        <v>663</v>
      </c>
      <c r="K87"/>
      <c r="L87"/>
      <c r="M87"/>
      <c r="N87"/>
    </row>
    <row r="88" spans="1:14" ht="15" x14ac:dyDescent="0.25">
      <c r="A88" t="s">
        <v>321</v>
      </c>
      <c r="B88" t="s">
        <v>94</v>
      </c>
      <c r="C88">
        <v>15</v>
      </c>
      <c r="D88" t="s">
        <v>244</v>
      </c>
      <c r="E88">
        <v>15</v>
      </c>
      <c r="F88" t="s">
        <v>244</v>
      </c>
      <c r="G88">
        <v>4</v>
      </c>
      <c r="H88" t="s">
        <v>422</v>
      </c>
      <c r="I88" s="248">
        <v>1</v>
      </c>
      <c r="J88" s="248" t="s">
        <v>664</v>
      </c>
      <c r="K88"/>
      <c r="L88"/>
      <c r="M88"/>
      <c r="N88"/>
    </row>
    <row r="89" spans="1:14" ht="15" x14ac:dyDescent="0.25">
      <c r="A89" t="s">
        <v>320</v>
      </c>
      <c r="B89" t="s">
        <v>95</v>
      </c>
      <c r="C89">
        <v>17</v>
      </c>
      <c r="D89" t="s">
        <v>246</v>
      </c>
      <c r="E89">
        <v>17</v>
      </c>
      <c r="F89" t="s">
        <v>246</v>
      </c>
      <c r="G89">
        <v>3</v>
      </c>
      <c r="H89" t="s">
        <v>424</v>
      </c>
      <c r="I89" s="248">
        <v>0</v>
      </c>
      <c r="J89" s="248" t="s">
        <v>663</v>
      </c>
      <c r="K89"/>
      <c r="L89"/>
      <c r="M89"/>
      <c r="N89"/>
    </row>
    <row r="90" spans="1:14" ht="15" x14ac:dyDescent="0.25">
      <c r="A90" t="s">
        <v>319</v>
      </c>
      <c r="B90" t="s">
        <v>96</v>
      </c>
      <c r="C90">
        <v>17</v>
      </c>
      <c r="D90" t="s">
        <v>246</v>
      </c>
      <c r="E90">
        <v>17</v>
      </c>
      <c r="F90" t="s">
        <v>246</v>
      </c>
      <c r="G90">
        <v>4</v>
      </c>
      <c r="H90" t="s">
        <v>422</v>
      </c>
      <c r="I90" s="248">
        <v>0</v>
      </c>
      <c r="J90" s="248" t="s">
        <v>663</v>
      </c>
      <c r="K90"/>
      <c r="L90"/>
      <c r="M90"/>
      <c r="N90"/>
    </row>
    <row r="91" spans="1:14" ht="15" x14ac:dyDescent="0.25">
      <c r="A91" t="s">
        <v>316</v>
      </c>
      <c r="B91" t="s">
        <v>97</v>
      </c>
      <c r="C91">
        <v>1</v>
      </c>
      <c r="D91" t="s">
        <v>238</v>
      </c>
      <c r="E91">
        <v>1</v>
      </c>
      <c r="F91" t="s">
        <v>238</v>
      </c>
      <c r="G91">
        <v>1</v>
      </c>
      <c r="H91" t="s">
        <v>423</v>
      </c>
      <c r="I91" s="248">
        <v>0</v>
      </c>
      <c r="J91" s="248" t="s">
        <v>663</v>
      </c>
      <c r="K91"/>
      <c r="L91"/>
      <c r="M91"/>
      <c r="N91"/>
    </row>
    <row r="92" spans="1:14" ht="15" x14ac:dyDescent="0.25">
      <c r="A92" t="s">
        <v>315</v>
      </c>
      <c r="B92" t="s">
        <v>98</v>
      </c>
      <c r="C92">
        <v>1</v>
      </c>
      <c r="D92" t="s">
        <v>238</v>
      </c>
      <c r="E92">
        <v>1</v>
      </c>
      <c r="F92" t="s">
        <v>238</v>
      </c>
      <c r="G92">
        <v>1</v>
      </c>
      <c r="H92" t="s">
        <v>423</v>
      </c>
      <c r="I92" s="248">
        <v>0</v>
      </c>
      <c r="J92" s="248" t="s">
        <v>663</v>
      </c>
      <c r="K92"/>
      <c r="L92"/>
      <c r="M92"/>
      <c r="N92"/>
    </row>
    <row r="93" spans="1:14" ht="15" x14ac:dyDescent="0.25">
      <c r="A93" t="s">
        <v>314</v>
      </c>
      <c r="B93" t="s">
        <v>99</v>
      </c>
      <c r="C93">
        <v>5</v>
      </c>
      <c r="D93" t="s">
        <v>334</v>
      </c>
      <c r="E93">
        <v>1</v>
      </c>
      <c r="F93" t="s">
        <v>238</v>
      </c>
      <c r="G93">
        <v>1</v>
      </c>
      <c r="H93" t="s">
        <v>423</v>
      </c>
      <c r="I93" s="248">
        <v>0</v>
      </c>
      <c r="J93" s="248" t="s">
        <v>663</v>
      </c>
      <c r="K93"/>
      <c r="L93"/>
      <c r="M93"/>
      <c r="N93"/>
    </row>
    <row r="94" spans="1:14" ht="15" x14ac:dyDescent="0.25">
      <c r="A94" t="s">
        <v>313</v>
      </c>
      <c r="B94" t="s">
        <v>100</v>
      </c>
      <c r="C94">
        <v>2</v>
      </c>
      <c r="D94" t="s">
        <v>254</v>
      </c>
      <c r="E94">
        <v>2</v>
      </c>
      <c r="F94" t="s">
        <v>254</v>
      </c>
      <c r="G94">
        <v>4</v>
      </c>
      <c r="H94" t="s">
        <v>422</v>
      </c>
      <c r="I94" s="248">
        <v>0</v>
      </c>
      <c r="J94" s="248" t="s">
        <v>663</v>
      </c>
      <c r="K94"/>
      <c r="L94"/>
      <c r="M94"/>
      <c r="N94"/>
    </row>
    <row r="95" spans="1:14" ht="15" x14ac:dyDescent="0.25">
      <c r="A95" t="s">
        <v>312</v>
      </c>
      <c r="B95" t="s">
        <v>101</v>
      </c>
      <c r="C95">
        <v>1</v>
      </c>
      <c r="D95" t="s">
        <v>238</v>
      </c>
      <c r="E95">
        <v>1</v>
      </c>
      <c r="F95" t="s">
        <v>238</v>
      </c>
      <c r="G95">
        <v>1</v>
      </c>
      <c r="H95" t="s">
        <v>423</v>
      </c>
      <c r="I95" s="248">
        <v>0</v>
      </c>
      <c r="J95" s="248" t="s">
        <v>663</v>
      </c>
      <c r="K95"/>
      <c r="L95"/>
      <c r="M95"/>
      <c r="N95"/>
    </row>
    <row r="96" spans="1:14" ht="15" x14ac:dyDescent="0.25">
      <c r="A96" t="s">
        <v>311</v>
      </c>
      <c r="B96" t="s">
        <v>102</v>
      </c>
      <c r="C96">
        <v>19</v>
      </c>
      <c r="D96" t="s">
        <v>296</v>
      </c>
      <c r="E96">
        <v>19</v>
      </c>
      <c r="F96" t="s">
        <v>296</v>
      </c>
      <c r="G96">
        <v>1</v>
      </c>
      <c r="H96" t="s">
        <v>423</v>
      </c>
      <c r="I96" s="248">
        <v>0</v>
      </c>
      <c r="J96" s="248" t="s">
        <v>663</v>
      </c>
      <c r="K96"/>
      <c r="L96"/>
      <c r="M96"/>
      <c r="N96"/>
    </row>
    <row r="97" spans="1:14" ht="15" x14ac:dyDescent="0.25">
      <c r="A97" t="s">
        <v>318</v>
      </c>
      <c r="B97" t="s">
        <v>103</v>
      </c>
      <c r="C97">
        <v>12</v>
      </c>
      <c r="D97" t="s">
        <v>317</v>
      </c>
      <c r="E97">
        <v>12</v>
      </c>
      <c r="F97" t="s">
        <v>317</v>
      </c>
      <c r="G97">
        <v>4</v>
      </c>
      <c r="H97" t="s">
        <v>422</v>
      </c>
      <c r="I97" s="248">
        <v>0</v>
      </c>
      <c r="J97" s="248" t="s">
        <v>663</v>
      </c>
      <c r="K97"/>
      <c r="L97"/>
      <c r="M97"/>
      <c r="N97"/>
    </row>
    <row r="98" spans="1:14" ht="15" x14ac:dyDescent="0.25">
      <c r="A98" t="s">
        <v>308</v>
      </c>
      <c r="B98" t="s">
        <v>104</v>
      </c>
      <c r="C98">
        <v>4</v>
      </c>
      <c r="D98" t="s">
        <v>287</v>
      </c>
      <c r="E98">
        <v>4</v>
      </c>
      <c r="F98" t="s">
        <v>287</v>
      </c>
      <c r="G98">
        <v>1</v>
      </c>
      <c r="H98" t="s">
        <v>423</v>
      </c>
      <c r="I98" s="248">
        <v>0</v>
      </c>
      <c r="J98" s="248" t="s">
        <v>663</v>
      </c>
      <c r="K98"/>
      <c r="L98"/>
      <c r="M98"/>
      <c r="N98"/>
    </row>
    <row r="99" spans="1:14" ht="15" x14ac:dyDescent="0.25">
      <c r="A99" t="s">
        <v>307</v>
      </c>
      <c r="B99" t="s">
        <v>105</v>
      </c>
      <c r="C99">
        <v>11</v>
      </c>
      <c r="D99" t="s">
        <v>242</v>
      </c>
      <c r="E99">
        <v>11</v>
      </c>
      <c r="F99" t="s">
        <v>242</v>
      </c>
      <c r="G99">
        <v>1</v>
      </c>
      <c r="H99" t="s">
        <v>423</v>
      </c>
      <c r="I99" s="248">
        <v>0</v>
      </c>
      <c r="J99" s="248" t="s">
        <v>663</v>
      </c>
      <c r="K99"/>
      <c r="L99"/>
      <c r="M99"/>
      <c r="N99"/>
    </row>
    <row r="100" spans="1:14" ht="15" x14ac:dyDescent="0.25">
      <c r="A100" t="s">
        <v>306</v>
      </c>
      <c r="B100" t="s">
        <v>106</v>
      </c>
      <c r="C100">
        <v>17</v>
      </c>
      <c r="D100" t="s">
        <v>246</v>
      </c>
      <c r="E100">
        <v>17</v>
      </c>
      <c r="F100" t="s">
        <v>246</v>
      </c>
      <c r="G100">
        <v>1</v>
      </c>
      <c r="H100" t="s">
        <v>423</v>
      </c>
      <c r="I100" s="248">
        <v>0</v>
      </c>
      <c r="J100" s="248" t="s">
        <v>663</v>
      </c>
      <c r="K100"/>
      <c r="L100"/>
      <c r="M100"/>
      <c r="N100"/>
    </row>
    <row r="101" spans="1:14" ht="15" x14ac:dyDescent="0.25">
      <c r="A101" t="s">
        <v>310</v>
      </c>
      <c r="B101" t="s">
        <v>107</v>
      </c>
      <c r="C101">
        <v>1</v>
      </c>
      <c r="D101" t="s">
        <v>238</v>
      </c>
      <c r="E101">
        <v>1</v>
      </c>
      <c r="F101" t="s">
        <v>238</v>
      </c>
      <c r="G101">
        <v>1</v>
      </c>
      <c r="H101" t="s">
        <v>423</v>
      </c>
      <c r="I101" s="248">
        <v>0</v>
      </c>
      <c r="J101" s="248" t="s">
        <v>663</v>
      </c>
      <c r="K101"/>
      <c r="L101"/>
      <c r="M101"/>
      <c r="N101"/>
    </row>
    <row r="102" spans="1:14" ht="15" x14ac:dyDescent="0.25">
      <c r="A102" t="s">
        <v>309</v>
      </c>
      <c r="B102" t="s">
        <v>108</v>
      </c>
      <c r="C102">
        <v>11</v>
      </c>
      <c r="D102" t="s">
        <v>242</v>
      </c>
      <c r="E102">
        <v>11</v>
      </c>
      <c r="F102" t="s">
        <v>242</v>
      </c>
      <c r="G102">
        <v>1</v>
      </c>
      <c r="H102" t="s">
        <v>423</v>
      </c>
      <c r="I102" s="248">
        <v>0</v>
      </c>
      <c r="J102" s="248" t="s">
        <v>663</v>
      </c>
      <c r="K102"/>
      <c r="L102"/>
      <c r="M102"/>
      <c r="N102"/>
    </row>
    <row r="103" spans="1:14" ht="15" x14ac:dyDescent="0.25">
      <c r="A103" t="s">
        <v>305</v>
      </c>
      <c r="B103" t="s">
        <v>109</v>
      </c>
      <c r="C103">
        <v>17</v>
      </c>
      <c r="D103" t="s">
        <v>246</v>
      </c>
      <c r="E103">
        <v>17</v>
      </c>
      <c r="F103" t="s">
        <v>246</v>
      </c>
      <c r="G103">
        <v>4</v>
      </c>
      <c r="H103" t="s">
        <v>422</v>
      </c>
      <c r="I103" s="248">
        <v>0</v>
      </c>
      <c r="J103" s="248" t="s">
        <v>663</v>
      </c>
      <c r="K103"/>
      <c r="L103"/>
      <c r="M103"/>
      <c r="N103"/>
    </row>
    <row r="104" spans="1:14" ht="15" x14ac:dyDescent="0.25">
      <c r="A104" t="s">
        <v>304</v>
      </c>
      <c r="B104" t="s">
        <v>110</v>
      </c>
      <c r="C104">
        <v>17</v>
      </c>
      <c r="D104" t="s">
        <v>246</v>
      </c>
      <c r="E104">
        <v>17</v>
      </c>
      <c r="F104" t="s">
        <v>246</v>
      </c>
      <c r="G104">
        <v>1</v>
      </c>
      <c r="H104" t="s">
        <v>423</v>
      </c>
      <c r="I104" s="248">
        <v>0</v>
      </c>
      <c r="J104" s="248" t="s">
        <v>663</v>
      </c>
      <c r="K104"/>
      <c r="L104"/>
      <c r="M104"/>
      <c r="N104"/>
    </row>
    <row r="105" spans="1:14" ht="15" x14ac:dyDescent="0.25">
      <c r="A105" t="s">
        <v>303</v>
      </c>
      <c r="B105" t="s">
        <v>111</v>
      </c>
      <c r="C105">
        <v>2</v>
      </c>
      <c r="D105" t="s">
        <v>254</v>
      </c>
      <c r="E105">
        <v>2</v>
      </c>
      <c r="F105" t="s">
        <v>254</v>
      </c>
      <c r="G105">
        <v>4</v>
      </c>
      <c r="H105" t="s">
        <v>422</v>
      </c>
      <c r="I105" s="248">
        <v>0</v>
      </c>
      <c r="J105" s="248" t="s">
        <v>663</v>
      </c>
      <c r="K105"/>
      <c r="L105"/>
      <c r="M105"/>
      <c r="N105"/>
    </row>
    <row r="106" spans="1:14" ht="15" x14ac:dyDescent="0.25">
      <c r="A106" t="s">
        <v>302</v>
      </c>
      <c r="B106" t="s">
        <v>112</v>
      </c>
      <c r="C106">
        <v>1</v>
      </c>
      <c r="D106" t="s">
        <v>238</v>
      </c>
      <c r="E106">
        <v>1</v>
      </c>
      <c r="F106" t="s">
        <v>238</v>
      </c>
      <c r="G106">
        <v>1</v>
      </c>
      <c r="H106" t="s">
        <v>423</v>
      </c>
      <c r="I106" s="248">
        <v>0</v>
      </c>
      <c r="J106" s="248" t="s">
        <v>663</v>
      </c>
      <c r="K106"/>
      <c r="L106"/>
      <c r="M106"/>
      <c r="N106"/>
    </row>
    <row r="107" spans="1:14" ht="15" x14ac:dyDescent="0.25">
      <c r="A107" t="s">
        <v>301</v>
      </c>
      <c r="B107" t="s">
        <v>114</v>
      </c>
      <c r="C107">
        <v>17</v>
      </c>
      <c r="D107" t="s">
        <v>246</v>
      </c>
      <c r="E107">
        <v>17</v>
      </c>
      <c r="F107" t="s">
        <v>246</v>
      </c>
      <c r="G107">
        <v>1</v>
      </c>
      <c r="H107" t="s">
        <v>423</v>
      </c>
      <c r="I107" s="248">
        <v>0</v>
      </c>
      <c r="J107" s="248" t="s">
        <v>663</v>
      </c>
      <c r="K107"/>
      <c r="L107"/>
      <c r="M107"/>
      <c r="N107"/>
    </row>
    <row r="108" spans="1:14" ht="15" x14ac:dyDescent="0.25">
      <c r="A108" t="s">
        <v>298</v>
      </c>
      <c r="B108" t="s">
        <v>115</v>
      </c>
      <c r="C108">
        <v>19</v>
      </c>
      <c r="D108" t="s">
        <v>296</v>
      </c>
      <c r="E108">
        <v>19</v>
      </c>
      <c r="F108" t="s">
        <v>296</v>
      </c>
      <c r="G108">
        <v>1</v>
      </c>
      <c r="H108" t="s">
        <v>423</v>
      </c>
      <c r="I108" s="248">
        <v>0</v>
      </c>
      <c r="J108" s="248" t="s">
        <v>663</v>
      </c>
      <c r="K108"/>
      <c r="L108"/>
      <c r="M108"/>
      <c r="N108"/>
    </row>
    <row r="109" spans="1:14" ht="15" x14ac:dyDescent="0.25">
      <c r="A109" t="s">
        <v>297</v>
      </c>
      <c r="B109" t="s">
        <v>116</v>
      </c>
      <c r="C109">
        <v>19</v>
      </c>
      <c r="D109" t="s">
        <v>296</v>
      </c>
      <c r="E109">
        <v>19</v>
      </c>
      <c r="F109" t="s">
        <v>296</v>
      </c>
      <c r="G109">
        <v>4</v>
      </c>
      <c r="H109" t="s">
        <v>422</v>
      </c>
      <c r="I109" s="248">
        <v>0</v>
      </c>
      <c r="J109" s="248" t="s">
        <v>663</v>
      </c>
      <c r="K109"/>
      <c r="L109"/>
      <c r="M109"/>
      <c r="N109"/>
    </row>
    <row r="110" spans="1:14" ht="15" x14ac:dyDescent="0.25">
      <c r="A110" t="s">
        <v>295</v>
      </c>
      <c r="B110" t="s">
        <v>117</v>
      </c>
      <c r="C110">
        <v>2</v>
      </c>
      <c r="D110" t="s">
        <v>254</v>
      </c>
      <c r="E110">
        <v>2</v>
      </c>
      <c r="F110" t="s">
        <v>254</v>
      </c>
      <c r="G110">
        <v>4</v>
      </c>
      <c r="H110" t="s">
        <v>422</v>
      </c>
      <c r="I110" s="248">
        <v>0</v>
      </c>
      <c r="J110" s="248" t="s">
        <v>663</v>
      </c>
      <c r="K110"/>
      <c r="L110"/>
      <c r="M110"/>
      <c r="N110"/>
    </row>
    <row r="111" spans="1:14" ht="15" x14ac:dyDescent="0.25">
      <c r="A111" t="s">
        <v>294</v>
      </c>
      <c r="B111" t="s">
        <v>212</v>
      </c>
      <c r="C111">
        <v>1</v>
      </c>
      <c r="D111" t="s">
        <v>238</v>
      </c>
      <c r="E111">
        <v>99</v>
      </c>
      <c r="F111" t="s">
        <v>482</v>
      </c>
      <c r="G111">
        <v>1</v>
      </c>
      <c r="H111" t="s">
        <v>423</v>
      </c>
      <c r="I111" s="248">
        <v>0</v>
      </c>
      <c r="J111" s="248" t="s">
        <v>663</v>
      </c>
      <c r="K111"/>
      <c r="L111"/>
      <c r="M111"/>
      <c r="N111"/>
    </row>
    <row r="112" spans="1:14" ht="15" x14ac:dyDescent="0.25">
      <c r="A112" t="s">
        <v>293</v>
      </c>
      <c r="B112" t="s">
        <v>118</v>
      </c>
      <c r="C112">
        <v>6</v>
      </c>
      <c r="D112" t="s">
        <v>249</v>
      </c>
      <c r="E112">
        <v>6</v>
      </c>
      <c r="F112" t="s">
        <v>249</v>
      </c>
      <c r="G112">
        <v>4</v>
      </c>
      <c r="H112" t="s">
        <v>422</v>
      </c>
      <c r="I112" s="248">
        <v>0</v>
      </c>
      <c r="J112" s="248" t="s">
        <v>663</v>
      </c>
      <c r="K112"/>
      <c r="L112"/>
      <c r="M112"/>
      <c r="N112"/>
    </row>
    <row r="113" spans="1:14" ht="15" x14ac:dyDescent="0.25">
      <c r="A113" t="s">
        <v>292</v>
      </c>
      <c r="B113" t="s">
        <v>119</v>
      </c>
      <c r="C113">
        <v>4</v>
      </c>
      <c r="D113" t="s">
        <v>287</v>
      </c>
      <c r="E113">
        <v>4</v>
      </c>
      <c r="F113" t="s">
        <v>287</v>
      </c>
      <c r="G113">
        <v>4</v>
      </c>
      <c r="H113" t="s">
        <v>422</v>
      </c>
      <c r="I113" s="248">
        <v>0</v>
      </c>
      <c r="J113" s="248" t="s">
        <v>663</v>
      </c>
      <c r="K113"/>
      <c r="L113"/>
      <c r="M113"/>
      <c r="N113"/>
    </row>
    <row r="114" spans="1:14" ht="15" x14ac:dyDescent="0.25">
      <c r="A114" t="s">
        <v>291</v>
      </c>
      <c r="B114" t="s">
        <v>120</v>
      </c>
      <c r="C114">
        <v>11</v>
      </c>
      <c r="D114" t="s">
        <v>242</v>
      </c>
      <c r="E114">
        <v>11</v>
      </c>
      <c r="F114" t="s">
        <v>242</v>
      </c>
      <c r="G114">
        <v>4</v>
      </c>
      <c r="H114" t="s">
        <v>422</v>
      </c>
      <c r="I114" s="248">
        <v>0</v>
      </c>
      <c r="J114" s="248" t="s">
        <v>663</v>
      </c>
      <c r="K114"/>
      <c r="L114"/>
      <c r="M114"/>
      <c r="N114"/>
    </row>
    <row r="115" spans="1:14" ht="15" x14ac:dyDescent="0.25">
      <c r="A115" t="s">
        <v>290</v>
      </c>
      <c r="B115" t="s">
        <v>121</v>
      </c>
      <c r="C115">
        <v>14</v>
      </c>
      <c r="D115" t="s">
        <v>271</v>
      </c>
      <c r="E115">
        <v>14</v>
      </c>
      <c r="F115" t="s">
        <v>271</v>
      </c>
      <c r="G115">
        <v>4</v>
      </c>
      <c r="H115" t="s">
        <v>422</v>
      </c>
      <c r="I115" s="248">
        <v>0</v>
      </c>
      <c r="J115" s="248" t="s">
        <v>663</v>
      </c>
      <c r="K115"/>
      <c r="L115"/>
      <c r="M115"/>
      <c r="N115"/>
    </row>
    <row r="116" spans="1:14" ht="15" x14ac:dyDescent="0.25">
      <c r="A116" t="s">
        <v>289</v>
      </c>
      <c r="B116" t="s">
        <v>122</v>
      </c>
      <c r="C116">
        <v>1</v>
      </c>
      <c r="D116" t="s">
        <v>238</v>
      </c>
      <c r="E116">
        <v>1</v>
      </c>
      <c r="F116" t="s">
        <v>238</v>
      </c>
      <c r="G116">
        <v>1</v>
      </c>
      <c r="H116" t="s">
        <v>423</v>
      </c>
      <c r="I116" s="248">
        <v>0</v>
      </c>
      <c r="J116" s="248" t="s">
        <v>663</v>
      </c>
      <c r="K116"/>
      <c r="L116"/>
      <c r="M116"/>
      <c r="N116"/>
    </row>
    <row r="117" spans="1:14" ht="15" x14ac:dyDescent="0.25">
      <c r="A117" t="s">
        <v>288</v>
      </c>
      <c r="B117" t="s">
        <v>184</v>
      </c>
      <c r="C117">
        <v>4</v>
      </c>
      <c r="D117" t="s">
        <v>287</v>
      </c>
      <c r="E117">
        <v>99</v>
      </c>
      <c r="F117" t="s">
        <v>482</v>
      </c>
      <c r="G117">
        <v>1</v>
      </c>
      <c r="H117" t="s">
        <v>423</v>
      </c>
      <c r="I117" s="248">
        <v>0</v>
      </c>
      <c r="J117" s="248" t="s">
        <v>663</v>
      </c>
      <c r="K117"/>
      <c r="L117"/>
      <c r="M117"/>
      <c r="N117"/>
    </row>
    <row r="118" spans="1:14" ht="15" x14ac:dyDescent="0.25">
      <c r="A118" t="s">
        <v>286</v>
      </c>
      <c r="B118" t="s">
        <v>123</v>
      </c>
      <c r="C118">
        <v>1</v>
      </c>
      <c r="D118" t="s">
        <v>238</v>
      </c>
      <c r="E118">
        <v>1</v>
      </c>
      <c r="F118" t="s">
        <v>238</v>
      </c>
      <c r="G118">
        <v>1</v>
      </c>
      <c r="H118" t="s">
        <v>423</v>
      </c>
      <c r="I118" s="248">
        <v>0</v>
      </c>
      <c r="J118" s="248" t="s">
        <v>663</v>
      </c>
      <c r="K118"/>
      <c r="L118"/>
      <c r="M118"/>
      <c r="N118"/>
    </row>
    <row r="119" spans="1:14" ht="15" x14ac:dyDescent="0.25">
      <c r="A119" t="s">
        <v>285</v>
      </c>
      <c r="B119" t="s">
        <v>155</v>
      </c>
      <c r="C119">
        <v>1</v>
      </c>
      <c r="D119" t="s">
        <v>238</v>
      </c>
      <c r="E119">
        <v>1</v>
      </c>
      <c r="F119" t="s">
        <v>238</v>
      </c>
      <c r="G119">
        <v>1</v>
      </c>
      <c r="H119" t="s">
        <v>423</v>
      </c>
      <c r="I119" s="248">
        <v>0</v>
      </c>
      <c r="J119" s="248" t="s">
        <v>663</v>
      </c>
      <c r="K119"/>
      <c r="L119"/>
      <c r="M119"/>
      <c r="N119"/>
    </row>
    <row r="120" spans="1:14" ht="15" x14ac:dyDescent="0.25">
      <c r="A120" t="s">
        <v>284</v>
      </c>
      <c r="B120" t="s">
        <v>124</v>
      </c>
      <c r="C120">
        <v>10</v>
      </c>
      <c r="D120" t="s">
        <v>272</v>
      </c>
      <c r="E120">
        <v>10</v>
      </c>
      <c r="F120" t="s">
        <v>272</v>
      </c>
      <c r="G120">
        <v>1</v>
      </c>
      <c r="H120" t="s">
        <v>423</v>
      </c>
      <c r="I120" s="248">
        <v>0</v>
      </c>
      <c r="J120" s="248" t="s">
        <v>663</v>
      </c>
      <c r="K120"/>
      <c r="L120"/>
      <c r="M120"/>
      <c r="N120"/>
    </row>
    <row r="121" spans="1:14" ht="15" x14ac:dyDescent="0.25">
      <c r="A121" t="s">
        <v>283</v>
      </c>
      <c r="B121" t="s">
        <v>125</v>
      </c>
      <c r="C121">
        <v>7</v>
      </c>
      <c r="D121" t="s">
        <v>252</v>
      </c>
      <c r="E121">
        <v>1</v>
      </c>
      <c r="F121" t="s">
        <v>238</v>
      </c>
      <c r="G121">
        <v>1</v>
      </c>
      <c r="H121" t="s">
        <v>423</v>
      </c>
      <c r="I121" s="248">
        <v>0</v>
      </c>
      <c r="J121" s="248" t="s">
        <v>663</v>
      </c>
      <c r="K121"/>
      <c r="L121"/>
      <c r="M121"/>
      <c r="N121"/>
    </row>
    <row r="122" spans="1:14" ht="15" x14ac:dyDescent="0.25">
      <c r="A122" t="s">
        <v>282</v>
      </c>
      <c r="B122" t="s">
        <v>126</v>
      </c>
      <c r="C122">
        <v>1</v>
      </c>
      <c r="D122" t="s">
        <v>238</v>
      </c>
      <c r="E122">
        <v>1</v>
      </c>
      <c r="F122" t="s">
        <v>238</v>
      </c>
      <c r="G122">
        <v>1</v>
      </c>
      <c r="H122" t="s">
        <v>423</v>
      </c>
      <c r="I122" s="248">
        <v>0</v>
      </c>
      <c r="J122" s="248" t="s">
        <v>663</v>
      </c>
      <c r="K122"/>
      <c r="L122"/>
      <c r="M122"/>
      <c r="N122"/>
    </row>
    <row r="123" spans="1:14" ht="15" x14ac:dyDescent="0.25">
      <c r="A123" t="s">
        <v>281</v>
      </c>
      <c r="B123" s="11" t="s">
        <v>879</v>
      </c>
      <c r="C123">
        <v>14</v>
      </c>
      <c r="D123" t="s">
        <v>271</v>
      </c>
      <c r="E123">
        <v>14</v>
      </c>
      <c r="F123" t="s">
        <v>271</v>
      </c>
      <c r="G123">
        <v>1</v>
      </c>
      <c r="H123" t="s">
        <v>423</v>
      </c>
      <c r="I123" s="248">
        <v>0</v>
      </c>
      <c r="J123" s="248" t="s">
        <v>663</v>
      </c>
      <c r="K123"/>
      <c r="L123"/>
      <c r="M123"/>
      <c r="N123"/>
    </row>
    <row r="124" spans="1:14" ht="15" x14ac:dyDescent="0.25">
      <c r="A124" t="s">
        <v>280</v>
      </c>
      <c r="B124" t="s">
        <v>128</v>
      </c>
      <c r="C124">
        <v>14</v>
      </c>
      <c r="D124" t="s">
        <v>271</v>
      </c>
      <c r="E124">
        <v>14</v>
      </c>
      <c r="F124" t="s">
        <v>271</v>
      </c>
      <c r="G124">
        <v>4</v>
      </c>
      <c r="H124" t="s">
        <v>422</v>
      </c>
      <c r="I124" s="248">
        <v>0</v>
      </c>
      <c r="J124" s="248" t="s">
        <v>663</v>
      </c>
      <c r="K124"/>
      <c r="L124"/>
      <c r="M124"/>
      <c r="N124"/>
    </row>
    <row r="125" spans="1:14" ht="15" x14ac:dyDescent="0.25">
      <c r="A125" t="s">
        <v>279</v>
      </c>
      <c r="B125" t="s">
        <v>129</v>
      </c>
      <c r="C125">
        <v>1</v>
      </c>
      <c r="D125" t="s">
        <v>238</v>
      </c>
      <c r="E125">
        <v>1</v>
      </c>
      <c r="F125" t="s">
        <v>238</v>
      </c>
      <c r="G125">
        <v>1</v>
      </c>
      <c r="H125" t="s">
        <v>423</v>
      </c>
      <c r="I125" s="248">
        <v>1</v>
      </c>
      <c r="J125" s="248" t="s">
        <v>664</v>
      </c>
      <c r="K125"/>
      <c r="L125"/>
      <c r="M125"/>
      <c r="N125"/>
    </row>
    <row r="126" spans="1:14" ht="15" x14ac:dyDescent="0.25">
      <c r="A126" t="s">
        <v>278</v>
      </c>
      <c r="B126" t="s">
        <v>130</v>
      </c>
      <c r="C126">
        <v>15</v>
      </c>
      <c r="D126" t="s">
        <v>244</v>
      </c>
      <c r="E126">
        <v>15</v>
      </c>
      <c r="F126" t="s">
        <v>244</v>
      </c>
      <c r="G126">
        <v>4</v>
      </c>
      <c r="H126" t="s">
        <v>422</v>
      </c>
      <c r="I126" s="248">
        <v>1</v>
      </c>
      <c r="J126" s="248" t="s">
        <v>664</v>
      </c>
      <c r="K126"/>
      <c r="L126"/>
      <c r="M126"/>
      <c r="N126"/>
    </row>
    <row r="127" spans="1:14" ht="15" x14ac:dyDescent="0.25">
      <c r="A127" t="s">
        <v>277</v>
      </c>
      <c r="B127" t="s">
        <v>131</v>
      </c>
      <c r="C127">
        <v>6</v>
      </c>
      <c r="D127" t="s">
        <v>249</v>
      </c>
      <c r="E127">
        <v>6</v>
      </c>
      <c r="F127" t="s">
        <v>249</v>
      </c>
      <c r="G127">
        <v>1</v>
      </c>
      <c r="H127" t="s">
        <v>423</v>
      </c>
      <c r="I127" s="248">
        <v>0</v>
      </c>
      <c r="J127" s="248" t="s">
        <v>663</v>
      </c>
      <c r="K127"/>
      <c r="L127"/>
      <c r="M127"/>
      <c r="N127"/>
    </row>
    <row r="128" spans="1:14" ht="15" x14ac:dyDescent="0.25">
      <c r="A128" t="s">
        <v>276</v>
      </c>
      <c r="B128" t="s">
        <v>132</v>
      </c>
      <c r="C128">
        <v>6</v>
      </c>
      <c r="D128" t="s">
        <v>249</v>
      </c>
      <c r="E128">
        <v>6</v>
      </c>
      <c r="F128" t="s">
        <v>249</v>
      </c>
      <c r="G128">
        <v>3</v>
      </c>
      <c r="H128" t="s">
        <v>424</v>
      </c>
      <c r="I128" s="248">
        <v>0</v>
      </c>
      <c r="J128" s="248" t="s">
        <v>663</v>
      </c>
      <c r="K128"/>
      <c r="L128"/>
      <c r="M128"/>
      <c r="N128"/>
    </row>
    <row r="129" spans="1:14" ht="15" x14ac:dyDescent="0.25">
      <c r="A129" t="s">
        <v>275</v>
      </c>
      <c r="B129" t="s">
        <v>133</v>
      </c>
      <c r="C129">
        <v>6</v>
      </c>
      <c r="D129" t="s">
        <v>249</v>
      </c>
      <c r="E129">
        <v>6</v>
      </c>
      <c r="F129" t="s">
        <v>249</v>
      </c>
      <c r="G129">
        <v>1</v>
      </c>
      <c r="H129" t="s">
        <v>423</v>
      </c>
      <c r="I129" s="248">
        <v>0</v>
      </c>
      <c r="J129" s="248" t="s">
        <v>663</v>
      </c>
      <c r="K129"/>
      <c r="L129"/>
      <c r="M129"/>
      <c r="N129"/>
    </row>
    <row r="130" spans="1:14" ht="15" x14ac:dyDescent="0.25">
      <c r="A130" t="s">
        <v>273</v>
      </c>
      <c r="B130" t="s">
        <v>134</v>
      </c>
      <c r="C130">
        <v>10</v>
      </c>
      <c r="D130" t="s">
        <v>272</v>
      </c>
      <c r="E130">
        <v>10</v>
      </c>
      <c r="F130" t="s">
        <v>272</v>
      </c>
      <c r="G130">
        <v>1</v>
      </c>
      <c r="H130" t="s">
        <v>423</v>
      </c>
      <c r="I130" s="248">
        <v>0</v>
      </c>
      <c r="J130" s="248" t="s">
        <v>663</v>
      </c>
      <c r="K130"/>
      <c r="L130"/>
      <c r="M130"/>
      <c r="N130"/>
    </row>
    <row r="131" spans="1:14" ht="15" x14ac:dyDescent="0.25">
      <c r="A131" t="s">
        <v>268</v>
      </c>
      <c r="B131" t="s">
        <v>135</v>
      </c>
      <c r="C131">
        <v>11</v>
      </c>
      <c r="D131" t="s">
        <v>242</v>
      </c>
      <c r="E131">
        <v>11</v>
      </c>
      <c r="F131" t="s">
        <v>242</v>
      </c>
      <c r="G131">
        <v>1</v>
      </c>
      <c r="H131" t="s">
        <v>423</v>
      </c>
      <c r="I131" s="248">
        <v>0</v>
      </c>
      <c r="J131" s="248" t="s">
        <v>663</v>
      </c>
      <c r="K131"/>
      <c r="L131"/>
      <c r="M131"/>
      <c r="N131"/>
    </row>
    <row r="132" spans="1:14" ht="15" x14ac:dyDescent="0.25">
      <c r="A132" t="s">
        <v>270</v>
      </c>
      <c r="B132" t="s">
        <v>177</v>
      </c>
      <c r="C132">
        <v>1</v>
      </c>
      <c r="D132" t="s">
        <v>238</v>
      </c>
      <c r="E132">
        <v>1</v>
      </c>
      <c r="F132" t="s">
        <v>238</v>
      </c>
      <c r="G132">
        <v>1</v>
      </c>
      <c r="H132" t="s">
        <v>423</v>
      </c>
      <c r="I132" s="248">
        <v>0</v>
      </c>
      <c r="J132" s="248" t="s">
        <v>663</v>
      </c>
      <c r="K132"/>
      <c r="L132"/>
      <c r="M132"/>
      <c r="N132"/>
    </row>
    <row r="133" spans="1:14" ht="15" x14ac:dyDescent="0.25">
      <c r="A133" t="s">
        <v>269</v>
      </c>
      <c r="B133" t="s">
        <v>136</v>
      </c>
      <c r="C133">
        <v>11</v>
      </c>
      <c r="D133" t="s">
        <v>242</v>
      </c>
      <c r="E133">
        <v>11</v>
      </c>
      <c r="F133" t="s">
        <v>242</v>
      </c>
      <c r="G133">
        <v>1</v>
      </c>
      <c r="H133" t="s">
        <v>423</v>
      </c>
      <c r="I133" s="248">
        <v>0</v>
      </c>
      <c r="J133" s="248" t="s">
        <v>663</v>
      </c>
      <c r="K133"/>
      <c r="L133"/>
      <c r="M133"/>
      <c r="N133"/>
    </row>
    <row r="134" spans="1:14" ht="15" x14ac:dyDescent="0.25">
      <c r="A134" t="s">
        <v>267</v>
      </c>
      <c r="B134" t="s">
        <v>178</v>
      </c>
      <c r="C134">
        <v>1</v>
      </c>
      <c r="D134" t="s">
        <v>238</v>
      </c>
      <c r="E134">
        <v>1</v>
      </c>
      <c r="F134" t="s">
        <v>238</v>
      </c>
      <c r="G134">
        <v>1</v>
      </c>
      <c r="H134" t="s">
        <v>423</v>
      </c>
      <c r="I134" s="248">
        <v>0</v>
      </c>
      <c r="J134" s="248" t="s">
        <v>663</v>
      </c>
      <c r="K134"/>
      <c r="L134"/>
      <c r="M134"/>
      <c r="N134"/>
    </row>
    <row r="135" spans="1:14" ht="15" x14ac:dyDescent="0.25">
      <c r="A135" t="s">
        <v>266</v>
      </c>
      <c r="B135" t="s">
        <v>137</v>
      </c>
      <c r="C135">
        <v>2</v>
      </c>
      <c r="D135" t="s">
        <v>254</v>
      </c>
      <c r="E135">
        <v>2</v>
      </c>
      <c r="F135" t="s">
        <v>254</v>
      </c>
      <c r="G135">
        <v>1</v>
      </c>
      <c r="H135" t="s">
        <v>423</v>
      </c>
      <c r="I135" s="248">
        <v>0</v>
      </c>
      <c r="J135" s="248" t="s">
        <v>663</v>
      </c>
      <c r="K135"/>
      <c r="L135"/>
      <c r="M135"/>
      <c r="N135"/>
    </row>
    <row r="136" spans="1:14" ht="15" x14ac:dyDescent="0.25">
      <c r="A136" t="s">
        <v>265</v>
      </c>
      <c r="B136" t="s">
        <v>138</v>
      </c>
      <c r="C136">
        <v>2</v>
      </c>
      <c r="D136" t="s">
        <v>254</v>
      </c>
      <c r="E136">
        <v>2</v>
      </c>
      <c r="F136" t="s">
        <v>254</v>
      </c>
      <c r="G136">
        <v>1</v>
      </c>
      <c r="H136" t="s">
        <v>423</v>
      </c>
      <c r="I136" s="248">
        <v>0</v>
      </c>
      <c r="J136" s="248" t="s">
        <v>663</v>
      </c>
      <c r="K136"/>
      <c r="L136"/>
      <c r="M136"/>
      <c r="N136"/>
    </row>
    <row r="137" spans="1:14" ht="15" x14ac:dyDescent="0.25">
      <c r="A137" t="s">
        <v>264</v>
      </c>
      <c r="B137" t="s">
        <v>139</v>
      </c>
      <c r="C137">
        <v>2</v>
      </c>
      <c r="D137" t="s">
        <v>254</v>
      </c>
      <c r="E137">
        <v>2</v>
      </c>
      <c r="F137" t="s">
        <v>254</v>
      </c>
      <c r="G137">
        <v>3</v>
      </c>
      <c r="H137" t="s">
        <v>424</v>
      </c>
      <c r="I137" s="248">
        <v>4</v>
      </c>
      <c r="J137" s="248" t="s">
        <v>665</v>
      </c>
      <c r="K137"/>
      <c r="L137"/>
      <c r="M137"/>
      <c r="N137"/>
    </row>
    <row r="138" spans="1:14" ht="15" x14ac:dyDescent="0.25">
      <c r="A138" t="s">
        <v>263</v>
      </c>
      <c r="B138" t="s">
        <v>141</v>
      </c>
      <c r="C138">
        <v>2</v>
      </c>
      <c r="D138" t="s">
        <v>254</v>
      </c>
      <c r="E138">
        <v>2</v>
      </c>
      <c r="F138" t="s">
        <v>254</v>
      </c>
      <c r="G138">
        <v>1</v>
      </c>
      <c r="H138" t="s">
        <v>423</v>
      </c>
      <c r="I138" s="248">
        <v>0</v>
      </c>
      <c r="J138" s="248" t="s">
        <v>663</v>
      </c>
      <c r="K138"/>
      <c r="L138"/>
      <c r="M138"/>
      <c r="N138"/>
    </row>
    <row r="139" spans="1:14" ht="15" x14ac:dyDescent="0.25">
      <c r="A139" t="s">
        <v>776</v>
      </c>
      <c r="B139" t="s">
        <v>777</v>
      </c>
      <c r="C139">
        <v>2</v>
      </c>
      <c r="D139" t="s">
        <v>254</v>
      </c>
      <c r="E139">
        <v>2</v>
      </c>
      <c r="F139" t="s">
        <v>254</v>
      </c>
      <c r="G139">
        <v>1</v>
      </c>
      <c r="H139" t="s">
        <v>423</v>
      </c>
      <c r="I139" s="248">
        <v>0</v>
      </c>
      <c r="J139" s="248" t="s">
        <v>663</v>
      </c>
      <c r="K139"/>
      <c r="L139"/>
      <c r="M139"/>
      <c r="N139"/>
    </row>
    <row r="140" spans="1:14" ht="15" x14ac:dyDescent="0.25">
      <c r="A140" t="s">
        <v>330</v>
      </c>
      <c r="B140" t="s">
        <v>156</v>
      </c>
      <c r="C140">
        <v>2</v>
      </c>
      <c r="D140" t="s">
        <v>254</v>
      </c>
      <c r="E140">
        <v>2</v>
      </c>
      <c r="F140" t="s">
        <v>254</v>
      </c>
      <c r="G140">
        <v>1</v>
      </c>
      <c r="H140" t="s">
        <v>423</v>
      </c>
      <c r="I140" s="248">
        <v>0</v>
      </c>
      <c r="J140" s="248" t="s">
        <v>663</v>
      </c>
      <c r="K140"/>
      <c r="L140"/>
      <c r="M140"/>
      <c r="N140"/>
    </row>
    <row r="141" spans="1:14" ht="15" x14ac:dyDescent="0.25">
      <c r="A141" t="s">
        <v>262</v>
      </c>
      <c r="B141" t="s">
        <v>142</v>
      </c>
      <c r="C141">
        <v>1</v>
      </c>
      <c r="D141" t="s">
        <v>238</v>
      </c>
      <c r="E141">
        <v>1</v>
      </c>
      <c r="F141" t="s">
        <v>238</v>
      </c>
      <c r="G141">
        <v>1</v>
      </c>
      <c r="H141" t="s">
        <v>423</v>
      </c>
      <c r="I141" s="248">
        <v>0</v>
      </c>
      <c r="J141" s="248" t="s">
        <v>663</v>
      </c>
      <c r="K141"/>
      <c r="L141"/>
      <c r="M141"/>
      <c r="N141"/>
    </row>
    <row r="142" spans="1:14" ht="15" x14ac:dyDescent="0.25">
      <c r="A142" t="s">
        <v>261</v>
      </c>
      <c r="B142" t="s">
        <v>193</v>
      </c>
      <c r="C142">
        <v>1</v>
      </c>
      <c r="D142" t="s">
        <v>238</v>
      </c>
      <c r="E142">
        <v>99</v>
      </c>
      <c r="F142" t="s">
        <v>482</v>
      </c>
      <c r="G142">
        <v>1</v>
      </c>
      <c r="H142" t="s">
        <v>423</v>
      </c>
      <c r="I142" s="248">
        <v>0</v>
      </c>
      <c r="J142" s="248" t="s">
        <v>663</v>
      </c>
      <c r="K142"/>
      <c r="L142"/>
      <c r="M142"/>
      <c r="N142"/>
    </row>
    <row r="143" spans="1:14" ht="15" x14ac:dyDescent="0.25">
      <c r="A143" t="s">
        <v>260</v>
      </c>
      <c r="B143" t="s">
        <v>185</v>
      </c>
      <c r="C143">
        <v>1</v>
      </c>
      <c r="D143" t="s">
        <v>238</v>
      </c>
      <c r="E143">
        <v>99</v>
      </c>
      <c r="F143" t="s">
        <v>482</v>
      </c>
      <c r="G143">
        <v>1</v>
      </c>
      <c r="H143" t="s">
        <v>423</v>
      </c>
      <c r="I143" s="248">
        <v>0</v>
      </c>
      <c r="J143" s="248" t="s">
        <v>663</v>
      </c>
      <c r="K143"/>
      <c r="L143"/>
      <c r="M143"/>
      <c r="N143"/>
    </row>
    <row r="144" spans="1:14" ht="15" x14ac:dyDescent="0.25">
      <c r="A144" t="s">
        <v>259</v>
      </c>
      <c r="B144" t="s">
        <v>143</v>
      </c>
      <c r="C144">
        <v>15</v>
      </c>
      <c r="D144" t="s">
        <v>244</v>
      </c>
      <c r="E144">
        <v>15</v>
      </c>
      <c r="F144" t="s">
        <v>244</v>
      </c>
      <c r="G144">
        <v>3</v>
      </c>
      <c r="H144" t="s">
        <v>424</v>
      </c>
      <c r="I144" s="248">
        <v>4</v>
      </c>
      <c r="J144" s="248" t="s">
        <v>665</v>
      </c>
      <c r="K144"/>
      <c r="L144"/>
      <c r="M144"/>
      <c r="N144"/>
    </row>
    <row r="145" spans="1:14" ht="15" x14ac:dyDescent="0.25">
      <c r="A145" t="s">
        <v>258</v>
      </c>
      <c r="B145" t="s">
        <v>144</v>
      </c>
      <c r="C145">
        <v>6</v>
      </c>
      <c r="D145" t="s">
        <v>249</v>
      </c>
      <c r="E145">
        <v>6</v>
      </c>
      <c r="F145" t="s">
        <v>249</v>
      </c>
      <c r="G145">
        <v>4</v>
      </c>
      <c r="H145" t="s">
        <v>422</v>
      </c>
      <c r="I145" s="248">
        <v>0</v>
      </c>
      <c r="J145" s="248" t="s">
        <v>663</v>
      </c>
      <c r="K145"/>
      <c r="L145"/>
      <c r="M145"/>
      <c r="N145"/>
    </row>
    <row r="146" spans="1:14" ht="15" x14ac:dyDescent="0.25">
      <c r="A146" t="s">
        <v>257</v>
      </c>
      <c r="B146" t="s">
        <v>145</v>
      </c>
      <c r="C146">
        <v>8</v>
      </c>
      <c r="D146" t="s">
        <v>256</v>
      </c>
      <c r="E146">
        <v>8</v>
      </c>
      <c r="F146" t="s">
        <v>256</v>
      </c>
      <c r="G146">
        <v>1</v>
      </c>
      <c r="H146" t="s">
        <v>423</v>
      </c>
      <c r="I146" s="248">
        <v>0</v>
      </c>
      <c r="J146" s="248" t="s">
        <v>663</v>
      </c>
      <c r="K146"/>
      <c r="L146"/>
      <c r="M146"/>
      <c r="N146"/>
    </row>
    <row r="147" spans="1:14" ht="15" x14ac:dyDescent="0.25">
      <c r="A147" t="s">
        <v>255</v>
      </c>
      <c r="B147" t="s">
        <v>186</v>
      </c>
      <c r="C147">
        <v>2</v>
      </c>
      <c r="D147" t="s">
        <v>254</v>
      </c>
      <c r="E147">
        <v>2</v>
      </c>
      <c r="F147" t="s">
        <v>254</v>
      </c>
      <c r="G147">
        <v>1</v>
      </c>
      <c r="H147" t="s">
        <v>423</v>
      </c>
      <c r="I147" s="248">
        <v>0</v>
      </c>
      <c r="J147" s="248" t="s">
        <v>663</v>
      </c>
      <c r="K147"/>
      <c r="L147"/>
      <c r="M147"/>
      <c r="N147"/>
    </row>
    <row r="148" spans="1:14" ht="15" x14ac:dyDescent="0.25">
      <c r="A148" t="s">
        <v>253</v>
      </c>
      <c r="B148" t="s">
        <v>146</v>
      </c>
      <c r="C148">
        <v>7</v>
      </c>
      <c r="D148" t="s">
        <v>252</v>
      </c>
      <c r="E148">
        <v>1</v>
      </c>
      <c r="F148" t="s">
        <v>238</v>
      </c>
      <c r="G148">
        <v>1</v>
      </c>
      <c r="H148" t="s">
        <v>423</v>
      </c>
      <c r="I148" s="248">
        <v>0</v>
      </c>
      <c r="J148" s="248" t="s">
        <v>663</v>
      </c>
      <c r="K148"/>
      <c r="L148"/>
      <c r="M148"/>
      <c r="N148"/>
    </row>
    <row r="149" spans="1:14" ht="15" x14ac:dyDescent="0.25">
      <c r="A149" t="s">
        <v>251</v>
      </c>
      <c r="B149" t="s">
        <v>147</v>
      </c>
      <c r="C149">
        <v>1</v>
      </c>
      <c r="D149" t="s">
        <v>238</v>
      </c>
      <c r="E149">
        <v>1</v>
      </c>
      <c r="F149" t="s">
        <v>238</v>
      </c>
      <c r="G149">
        <v>3</v>
      </c>
      <c r="H149" t="s">
        <v>424</v>
      </c>
      <c r="I149" s="248">
        <v>4</v>
      </c>
      <c r="J149" s="248" t="s">
        <v>665</v>
      </c>
      <c r="K149"/>
      <c r="L149"/>
      <c r="M149"/>
      <c r="N149"/>
    </row>
    <row r="150" spans="1:14" ht="15" x14ac:dyDescent="0.25">
      <c r="A150" t="s">
        <v>250</v>
      </c>
      <c r="B150" t="s">
        <v>148</v>
      </c>
      <c r="C150">
        <v>6</v>
      </c>
      <c r="D150" t="s">
        <v>249</v>
      </c>
      <c r="E150">
        <v>6</v>
      </c>
      <c r="F150" t="s">
        <v>249</v>
      </c>
      <c r="G150">
        <v>1</v>
      </c>
      <c r="H150" t="s">
        <v>423</v>
      </c>
      <c r="I150" s="248">
        <v>0</v>
      </c>
      <c r="J150" s="248" t="s">
        <v>663</v>
      </c>
      <c r="K150"/>
      <c r="L150"/>
      <c r="M150"/>
      <c r="N150"/>
    </row>
    <row r="151" spans="1:14" ht="15" x14ac:dyDescent="0.25">
      <c r="A151" t="s">
        <v>245</v>
      </c>
      <c r="B151" t="s">
        <v>188</v>
      </c>
      <c r="C151">
        <v>15</v>
      </c>
      <c r="D151" t="s">
        <v>244</v>
      </c>
      <c r="E151">
        <v>99</v>
      </c>
      <c r="F151" t="s">
        <v>482</v>
      </c>
      <c r="G151">
        <v>1</v>
      </c>
      <c r="H151" t="s">
        <v>423</v>
      </c>
      <c r="I151" s="248">
        <v>0</v>
      </c>
      <c r="J151" s="248" t="s">
        <v>663</v>
      </c>
      <c r="L151"/>
      <c r="M151"/>
      <c r="N151"/>
    </row>
    <row r="152" spans="1:14" ht="15" x14ac:dyDescent="0.25">
      <c r="A152" t="s">
        <v>243</v>
      </c>
      <c r="B152" t="s">
        <v>149</v>
      </c>
      <c r="C152">
        <v>11</v>
      </c>
      <c r="D152" t="s">
        <v>242</v>
      </c>
      <c r="E152">
        <v>11</v>
      </c>
      <c r="F152" t="s">
        <v>242</v>
      </c>
      <c r="G152">
        <v>4</v>
      </c>
      <c r="H152" t="s">
        <v>422</v>
      </c>
      <c r="I152" s="248">
        <v>0</v>
      </c>
      <c r="J152" s="248" t="s">
        <v>663</v>
      </c>
      <c r="L152"/>
      <c r="M152"/>
      <c r="N152"/>
    </row>
    <row r="153" spans="1:14" ht="15" x14ac:dyDescent="0.25">
      <c r="A153" t="s">
        <v>241</v>
      </c>
      <c r="B153" t="s">
        <v>150</v>
      </c>
      <c r="C153">
        <v>13</v>
      </c>
      <c r="D153" t="s">
        <v>240</v>
      </c>
      <c r="E153">
        <v>13</v>
      </c>
      <c r="F153" t="s">
        <v>240</v>
      </c>
      <c r="G153">
        <v>4</v>
      </c>
      <c r="H153" t="s">
        <v>422</v>
      </c>
      <c r="I153" s="248">
        <v>0</v>
      </c>
      <c r="J153" s="248" t="s">
        <v>663</v>
      </c>
      <c r="L153"/>
      <c r="M153"/>
      <c r="N153"/>
    </row>
    <row r="154" spans="1:14" ht="15" x14ac:dyDescent="0.25">
      <c r="A154"/>
      <c r="B154"/>
      <c r="C154"/>
      <c r="D154"/>
      <c r="E154"/>
      <c r="F154"/>
      <c r="G154"/>
      <c r="H154"/>
      <c r="I154" s="248"/>
      <c r="J154" s="248"/>
      <c r="L154"/>
      <c r="M154"/>
      <c r="N154"/>
    </row>
    <row r="155" spans="1:14" ht="15" x14ac:dyDescent="0.25">
      <c r="C155" s="336"/>
      <c r="E155" s="336"/>
      <c r="F155" s="336"/>
      <c r="H155" s="336"/>
      <c r="J155" s="336"/>
      <c r="L155"/>
      <c r="M155"/>
      <c r="N155"/>
    </row>
    <row r="156" spans="1:14" ht="15" x14ac:dyDescent="0.25">
      <c r="C156" s="336"/>
      <c r="E156" s="336"/>
      <c r="F156" s="336"/>
      <c r="H156" s="336"/>
      <c r="J156" s="336"/>
      <c r="L156"/>
      <c r="M156"/>
      <c r="N156"/>
    </row>
    <row r="157" spans="1:14" ht="15" x14ac:dyDescent="0.25">
      <c r="C157" s="336"/>
      <c r="E157" s="336"/>
      <c r="F157" s="336"/>
      <c r="H157" s="336"/>
      <c r="J157" s="336"/>
      <c r="L157"/>
      <c r="M157"/>
      <c r="N157"/>
    </row>
    <row r="158" spans="1:14" ht="15" x14ac:dyDescent="0.25">
      <c r="A158" s="342" t="s">
        <v>862</v>
      </c>
      <c r="B158" s="142"/>
      <c r="C158"/>
      <c r="D158"/>
      <c r="E158"/>
      <c r="F158"/>
      <c r="G158"/>
      <c r="H158"/>
      <c r="L158"/>
      <c r="M158"/>
      <c r="N158"/>
    </row>
    <row r="159" spans="1:14" ht="15" x14ac:dyDescent="0.25">
      <c r="A159" s="11" t="s">
        <v>868</v>
      </c>
      <c r="B159"/>
      <c r="C159"/>
      <c r="D159"/>
      <c r="E159"/>
      <c r="F159"/>
      <c r="G159"/>
      <c r="H159"/>
      <c r="L159"/>
      <c r="M159"/>
      <c r="N159"/>
    </row>
    <row r="160" spans="1:14" ht="15" x14ac:dyDescent="0.25">
      <c r="A160" s="11" t="s">
        <v>863</v>
      </c>
      <c r="B160"/>
      <c r="C160"/>
      <c r="D160"/>
      <c r="E160"/>
      <c r="F160"/>
      <c r="G160"/>
      <c r="H160"/>
      <c r="L160"/>
      <c r="M160"/>
      <c r="N160"/>
    </row>
    <row r="161" spans="1:14" ht="15" x14ac:dyDescent="0.25">
      <c r="A161" s="326" t="s">
        <v>779</v>
      </c>
      <c r="B161" s="327" t="s">
        <v>25</v>
      </c>
      <c r="C161" s="327">
        <v>1</v>
      </c>
      <c r="D161" s="327" t="s">
        <v>238</v>
      </c>
      <c r="E161" s="327">
        <v>1</v>
      </c>
      <c r="F161" s="327" t="s">
        <v>238</v>
      </c>
      <c r="G161" s="327">
        <v>1</v>
      </c>
      <c r="H161" s="327" t="s">
        <v>423</v>
      </c>
      <c r="I161" s="328">
        <v>0</v>
      </c>
      <c r="J161" s="329" t="s">
        <v>663</v>
      </c>
      <c r="K161" s="337">
        <v>43831</v>
      </c>
      <c r="L161"/>
      <c r="M161"/>
      <c r="N161"/>
    </row>
    <row r="162" spans="1:14" ht="15" x14ac:dyDescent="0.25">
      <c r="A162" s="322" t="s">
        <v>778</v>
      </c>
      <c r="B162" s="323" t="s">
        <v>26</v>
      </c>
      <c r="C162" s="323">
        <v>1</v>
      </c>
      <c r="D162" s="323" t="s">
        <v>238</v>
      </c>
      <c r="E162" s="323">
        <v>1</v>
      </c>
      <c r="F162" s="323" t="s">
        <v>238</v>
      </c>
      <c r="G162" s="323">
        <v>1</v>
      </c>
      <c r="H162" s="323" t="s">
        <v>423</v>
      </c>
      <c r="I162" s="324">
        <v>0</v>
      </c>
      <c r="J162" s="325" t="s">
        <v>663</v>
      </c>
      <c r="K162" s="337">
        <v>43831</v>
      </c>
      <c r="L162"/>
      <c r="M162"/>
      <c r="N162"/>
    </row>
    <row r="163" spans="1:14" ht="15" x14ac:dyDescent="0.25">
      <c r="A163" s="326" t="s">
        <v>403</v>
      </c>
      <c r="B163" s="327" t="s">
        <v>180</v>
      </c>
      <c r="C163" s="327">
        <v>1</v>
      </c>
      <c r="D163" s="327" t="s">
        <v>238</v>
      </c>
      <c r="E163" s="327">
        <v>99</v>
      </c>
      <c r="F163" s="327" t="s">
        <v>482</v>
      </c>
      <c r="G163" s="327">
        <v>1</v>
      </c>
      <c r="H163" s="327" t="s">
        <v>423</v>
      </c>
      <c r="I163" s="328">
        <v>0</v>
      </c>
      <c r="J163" s="329" t="s">
        <v>663</v>
      </c>
      <c r="K163" s="337">
        <v>43617</v>
      </c>
      <c r="L163"/>
      <c r="M163"/>
      <c r="N163"/>
    </row>
    <row r="164" spans="1:14" ht="15" x14ac:dyDescent="0.25">
      <c r="A164" s="322" t="s">
        <v>483</v>
      </c>
      <c r="B164" s="323" t="s">
        <v>484</v>
      </c>
      <c r="C164" s="323">
        <v>18</v>
      </c>
      <c r="D164" s="323" t="s">
        <v>248</v>
      </c>
      <c r="E164" s="323">
        <v>99</v>
      </c>
      <c r="F164" s="323" t="s">
        <v>482</v>
      </c>
      <c r="G164" s="323">
        <v>1</v>
      </c>
      <c r="H164" s="332" t="s">
        <v>423</v>
      </c>
      <c r="I164" s="324">
        <v>0</v>
      </c>
      <c r="J164" s="325" t="s">
        <v>663</v>
      </c>
      <c r="K164" s="337">
        <v>43831</v>
      </c>
      <c r="L164"/>
      <c r="M164"/>
      <c r="N164"/>
    </row>
    <row r="165" spans="1:14" ht="15" x14ac:dyDescent="0.25">
      <c r="A165" s="326" t="s">
        <v>339</v>
      </c>
      <c r="B165" s="327" t="s">
        <v>211</v>
      </c>
      <c r="C165" s="327">
        <v>8</v>
      </c>
      <c r="D165" s="327" t="s">
        <v>256</v>
      </c>
      <c r="E165" s="327">
        <v>99</v>
      </c>
      <c r="F165" s="327" t="s">
        <v>482</v>
      </c>
      <c r="G165" s="327">
        <v>1</v>
      </c>
      <c r="H165" s="327" t="s">
        <v>423</v>
      </c>
      <c r="I165" s="328">
        <v>0</v>
      </c>
      <c r="J165" s="329" t="s">
        <v>663</v>
      </c>
      <c r="K165" s="337">
        <v>43831</v>
      </c>
      <c r="L165"/>
      <c r="M165"/>
      <c r="N165"/>
    </row>
    <row r="166" spans="1:14" ht="15" x14ac:dyDescent="0.25">
      <c r="A166" s="322" t="s">
        <v>336</v>
      </c>
      <c r="B166" s="323" t="s">
        <v>190</v>
      </c>
      <c r="C166" s="323">
        <v>12</v>
      </c>
      <c r="D166" s="323" t="s">
        <v>317</v>
      </c>
      <c r="E166" s="323">
        <v>99</v>
      </c>
      <c r="F166" s="323" t="s">
        <v>482</v>
      </c>
      <c r="G166" s="323">
        <v>1</v>
      </c>
      <c r="H166" s="323" t="s">
        <v>423</v>
      </c>
      <c r="I166" s="324">
        <v>0</v>
      </c>
      <c r="J166" s="325" t="s">
        <v>663</v>
      </c>
      <c r="K166" s="337">
        <v>43557</v>
      </c>
      <c r="L166"/>
      <c r="M166"/>
      <c r="N166"/>
    </row>
    <row r="167" spans="1:14" ht="15" x14ac:dyDescent="0.25">
      <c r="A167" s="326" t="s">
        <v>780</v>
      </c>
      <c r="B167" s="327" t="s">
        <v>92</v>
      </c>
      <c r="C167" s="327">
        <v>1</v>
      </c>
      <c r="D167" s="327" t="s">
        <v>238</v>
      </c>
      <c r="E167" s="327">
        <v>1</v>
      </c>
      <c r="F167" s="327" t="s">
        <v>238</v>
      </c>
      <c r="G167" s="327">
        <v>1</v>
      </c>
      <c r="H167" s="327" t="s">
        <v>423</v>
      </c>
      <c r="I167" s="328">
        <v>0</v>
      </c>
      <c r="J167" s="329" t="s">
        <v>663</v>
      </c>
      <c r="K167" s="338">
        <v>43831</v>
      </c>
      <c r="L167"/>
      <c r="M167"/>
      <c r="N167"/>
    </row>
    <row r="168" spans="1:14" ht="15" x14ac:dyDescent="0.25">
      <c r="A168" s="322" t="s">
        <v>781</v>
      </c>
      <c r="B168" s="323" t="s">
        <v>113</v>
      </c>
      <c r="C168" s="323">
        <v>1</v>
      </c>
      <c r="D168" s="323" t="s">
        <v>238</v>
      </c>
      <c r="E168" s="323">
        <v>1</v>
      </c>
      <c r="F168" s="323" t="s">
        <v>238</v>
      </c>
      <c r="G168" s="323">
        <v>1</v>
      </c>
      <c r="H168" s="323" t="s">
        <v>423</v>
      </c>
      <c r="I168" s="324">
        <v>4</v>
      </c>
      <c r="J168" s="325" t="s">
        <v>665</v>
      </c>
      <c r="K168" s="337">
        <v>43831</v>
      </c>
      <c r="L168"/>
      <c r="M168"/>
      <c r="N168"/>
    </row>
    <row r="169" spans="1:14" ht="15" x14ac:dyDescent="0.25">
      <c r="A169" s="326" t="s">
        <v>300</v>
      </c>
      <c r="B169" s="327" t="s">
        <v>183</v>
      </c>
      <c r="C169" s="327">
        <v>1</v>
      </c>
      <c r="D169" s="327" t="s">
        <v>238</v>
      </c>
      <c r="E169" s="327">
        <v>1</v>
      </c>
      <c r="F169" s="327" t="s">
        <v>238</v>
      </c>
      <c r="G169" s="327">
        <v>1</v>
      </c>
      <c r="H169" s="327" t="s">
        <v>423</v>
      </c>
      <c r="I169" s="328">
        <v>0</v>
      </c>
      <c r="J169" s="329" t="s">
        <v>663</v>
      </c>
      <c r="K169" s="337">
        <v>43709</v>
      </c>
      <c r="L169"/>
      <c r="M169"/>
      <c r="N169"/>
    </row>
    <row r="170" spans="1:14" ht="15" x14ac:dyDescent="0.25">
      <c r="A170" s="322" t="s">
        <v>299</v>
      </c>
      <c r="B170" s="323" t="s">
        <v>174</v>
      </c>
      <c r="C170" s="323">
        <v>17</v>
      </c>
      <c r="D170" s="323" t="s">
        <v>246</v>
      </c>
      <c r="E170" s="323">
        <v>99</v>
      </c>
      <c r="F170" s="323" t="s">
        <v>482</v>
      </c>
      <c r="G170" s="323">
        <v>1</v>
      </c>
      <c r="H170" s="323" t="s">
        <v>423</v>
      </c>
      <c r="I170" s="324">
        <v>0</v>
      </c>
      <c r="J170" s="325" t="s">
        <v>663</v>
      </c>
      <c r="K170" s="337">
        <v>43831</v>
      </c>
      <c r="L170"/>
      <c r="M170"/>
      <c r="N170"/>
    </row>
    <row r="171" spans="1:14" ht="15" x14ac:dyDescent="0.25">
      <c r="A171" s="326" t="s">
        <v>782</v>
      </c>
      <c r="B171" s="327" t="s">
        <v>175</v>
      </c>
      <c r="C171" s="327">
        <v>1</v>
      </c>
      <c r="D171" s="327" t="s">
        <v>238</v>
      </c>
      <c r="E171" s="327">
        <v>1</v>
      </c>
      <c r="F171" s="327" t="s">
        <v>238</v>
      </c>
      <c r="G171" s="327">
        <v>4</v>
      </c>
      <c r="H171" s="327" t="s">
        <v>422</v>
      </c>
      <c r="I171" s="328">
        <v>1</v>
      </c>
      <c r="J171" s="329" t="s">
        <v>664</v>
      </c>
      <c r="K171" s="337">
        <v>43831</v>
      </c>
      <c r="L171"/>
      <c r="M171"/>
      <c r="N171"/>
    </row>
    <row r="172" spans="1:14" ht="15" x14ac:dyDescent="0.25">
      <c r="A172" s="322" t="s">
        <v>783</v>
      </c>
      <c r="B172" s="323" t="s">
        <v>129</v>
      </c>
      <c r="C172" s="323">
        <v>1</v>
      </c>
      <c r="D172" s="323" t="s">
        <v>238</v>
      </c>
      <c r="E172" s="323">
        <v>1</v>
      </c>
      <c r="F172" s="323" t="s">
        <v>238</v>
      </c>
      <c r="G172" s="323">
        <v>1</v>
      </c>
      <c r="H172" s="323" t="s">
        <v>423</v>
      </c>
      <c r="I172" s="324">
        <v>1</v>
      </c>
      <c r="J172" s="325" t="s">
        <v>664</v>
      </c>
      <c r="K172" s="338">
        <v>43831</v>
      </c>
      <c r="L172"/>
      <c r="M172"/>
      <c r="N172"/>
    </row>
    <row r="173" spans="1:14" ht="15" x14ac:dyDescent="0.25">
      <c r="A173" s="326" t="s">
        <v>247</v>
      </c>
      <c r="B173" s="327" t="s">
        <v>187</v>
      </c>
      <c r="C173" s="327">
        <v>17</v>
      </c>
      <c r="D173" s="327" t="s">
        <v>246</v>
      </c>
      <c r="E173" s="327">
        <v>99</v>
      </c>
      <c r="F173" s="327" t="s">
        <v>482</v>
      </c>
      <c r="G173" s="327">
        <v>1</v>
      </c>
      <c r="H173" s="327" t="s">
        <v>423</v>
      </c>
      <c r="I173" s="328">
        <v>0</v>
      </c>
      <c r="J173" s="329" t="s">
        <v>663</v>
      </c>
      <c r="K173" s="337">
        <v>43831</v>
      </c>
      <c r="L173"/>
      <c r="M173"/>
      <c r="N173"/>
    </row>
    <row r="174" spans="1:14" ht="15" x14ac:dyDescent="0.25">
      <c r="A174" s="322" t="s">
        <v>274</v>
      </c>
      <c r="B174" s="323" t="s">
        <v>176</v>
      </c>
      <c r="C174" s="323">
        <v>6</v>
      </c>
      <c r="D174" s="323" t="s">
        <v>249</v>
      </c>
      <c r="E174" s="323">
        <v>99</v>
      </c>
      <c r="F174" s="323" t="s">
        <v>482</v>
      </c>
      <c r="G174" s="323">
        <v>1</v>
      </c>
      <c r="H174" s="323" t="s">
        <v>423</v>
      </c>
      <c r="I174" s="324">
        <v>0</v>
      </c>
      <c r="J174" s="325" t="s">
        <v>663</v>
      </c>
      <c r="K174" s="338">
        <v>43831</v>
      </c>
    </row>
    <row r="175" spans="1:14" ht="15" x14ac:dyDescent="0.25">
      <c r="A175" s="326" t="s">
        <v>784</v>
      </c>
      <c r="B175" s="327" t="s">
        <v>140</v>
      </c>
      <c r="C175" s="327">
        <v>2</v>
      </c>
      <c r="D175" s="327" t="s">
        <v>254</v>
      </c>
      <c r="E175" s="327">
        <v>2</v>
      </c>
      <c r="F175" s="327" t="s">
        <v>254</v>
      </c>
      <c r="G175" s="327">
        <v>1</v>
      </c>
      <c r="H175" s="327" t="s">
        <v>423</v>
      </c>
      <c r="I175" s="328">
        <v>0</v>
      </c>
      <c r="J175" s="329" t="s">
        <v>663</v>
      </c>
      <c r="K175" s="338">
        <v>43831</v>
      </c>
    </row>
    <row r="176" spans="1:14" ht="15" x14ac:dyDescent="0.25">
      <c r="A176" s="322" t="s">
        <v>655</v>
      </c>
      <c r="B176" s="323" t="s">
        <v>650</v>
      </c>
      <c r="C176" s="332"/>
      <c r="D176" s="323"/>
      <c r="E176" s="332"/>
      <c r="F176" s="332"/>
      <c r="G176" s="323"/>
      <c r="H176" s="332"/>
      <c r="I176" s="323"/>
      <c r="J176" s="333"/>
      <c r="K176" s="339">
        <v>43466</v>
      </c>
      <c r="L176"/>
      <c r="M176"/>
      <c r="N176"/>
    </row>
    <row r="177" spans="1:14" ht="15" x14ac:dyDescent="0.25">
      <c r="A177" s="326" t="s">
        <v>652</v>
      </c>
      <c r="B177" s="327" t="s">
        <v>831</v>
      </c>
      <c r="C177" s="330"/>
      <c r="D177" s="327"/>
      <c r="E177" s="330"/>
      <c r="F177" s="330"/>
      <c r="G177" s="327"/>
      <c r="H177" s="330"/>
      <c r="I177" s="327"/>
      <c r="J177" s="335"/>
      <c r="K177" s="340"/>
    </row>
    <row r="178" spans="1:14" ht="15" x14ac:dyDescent="0.25">
      <c r="A178" s="322" t="s">
        <v>657</v>
      </c>
      <c r="B178" s="323" t="s">
        <v>829</v>
      </c>
      <c r="C178" s="332"/>
      <c r="D178" s="323"/>
      <c r="E178" s="332"/>
      <c r="F178" s="332"/>
      <c r="G178" s="323"/>
      <c r="H178" s="332"/>
      <c r="I178" s="323"/>
      <c r="J178" s="333"/>
      <c r="K178" s="339">
        <v>43466</v>
      </c>
      <c r="L178"/>
      <c r="M178"/>
      <c r="N178"/>
    </row>
    <row r="179" spans="1:14" ht="15" x14ac:dyDescent="0.25">
      <c r="A179" s="326" t="s">
        <v>659</v>
      </c>
      <c r="B179" s="327" t="s">
        <v>56</v>
      </c>
      <c r="C179" s="330"/>
      <c r="D179" s="327"/>
      <c r="E179" s="330"/>
      <c r="F179" s="330"/>
      <c r="G179" s="327"/>
      <c r="H179" s="330"/>
      <c r="I179" s="327"/>
      <c r="J179" s="331"/>
      <c r="K179" s="339">
        <v>43466</v>
      </c>
    </row>
    <row r="180" spans="1:14" ht="15" x14ac:dyDescent="0.25">
      <c r="A180" s="322" t="s">
        <v>656</v>
      </c>
      <c r="B180" s="323" t="s">
        <v>786</v>
      </c>
      <c r="C180" s="332"/>
      <c r="D180" s="323"/>
      <c r="E180" s="332"/>
      <c r="F180" s="332"/>
      <c r="G180" s="323"/>
      <c r="H180" s="332"/>
      <c r="I180" s="323"/>
      <c r="J180" s="334"/>
      <c r="K180" s="339">
        <v>43466</v>
      </c>
      <c r="L180"/>
      <c r="M180"/>
      <c r="N180"/>
    </row>
    <row r="181" spans="1:14" ht="15" x14ac:dyDescent="0.25">
      <c r="A181" s="326" t="s">
        <v>653</v>
      </c>
      <c r="B181" s="327" t="s">
        <v>649</v>
      </c>
      <c r="C181" s="330"/>
      <c r="D181" s="327"/>
      <c r="E181" s="330"/>
      <c r="F181" s="330"/>
      <c r="G181" s="327"/>
      <c r="H181" s="330"/>
      <c r="I181" s="327"/>
      <c r="J181" s="331"/>
      <c r="K181" s="339">
        <v>43466</v>
      </c>
    </row>
    <row r="182" spans="1:14" ht="15" x14ac:dyDescent="0.25">
      <c r="A182" s="322" t="s">
        <v>654</v>
      </c>
      <c r="B182" s="323" t="s">
        <v>787</v>
      </c>
      <c r="C182" s="332"/>
      <c r="D182" s="323"/>
      <c r="E182" s="332"/>
      <c r="F182" s="332"/>
      <c r="G182" s="323"/>
      <c r="H182" s="332"/>
      <c r="I182" s="323"/>
      <c r="J182" s="334"/>
      <c r="K182" s="339">
        <v>43466</v>
      </c>
    </row>
    <row r="183" spans="1:14" ht="15" x14ac:dyDescent="0.25">
      <c r="A183" s="326" t="s">
        <v>651</v>
      </c>
      <c r="B183" s="327" t="s">
        <v>648</v>
      </c>
      <c r="C183" s="330"/>
      <c r="D183" s="327"/>
      <c r="E183" s="330"/>
      <c r="F183" s="330"/>
      <c r="G183" s="327"/>
      <c r="H183" s="330"/>
      <c r="I183" s="327"/>
      <c r="J183" s="331"/>
      <c r="K183" s="339">
        <v>43466</v>
      </c>
    </row>
    <row r="184" spans="1:14" ht="15" x14ac:dyDescent="0.25">
      <c r="A184" s="322" t="s">
        <v>658</v>
      </c>
      <c r="B184" s="323" t="s">
        <v>828</v>
      </c>
      <c r="C184" s="332"/>
      <c r="D184" s="323"/>
      <c r="E184" s="332"/>
      <c r="F184" s="332"/>
      <c r="G184" s="323"/>
      <c r="H184" s="332"/>
      <c r="I184" s="323"/>
      <c r="J184" s="333"/>
      <c r="K184" s="339">
        <v>43466</v>
      </c>
    </row>
    <row r="185" spans="1:14" ht="15" x14ac:dyDescent="0.25">
      <c r="A185" s="326" t="s">
        <v>485</v>
      </c>
      <c r="B185" s="327" t="s">
        <v>830</v>
      </c>
      <c r="C185" s="330"/>
      <c r="D185" s="327"/>
      <c r="E185" s="330"/>
      <c r="F185" s="330"/>
      <c r="G185" s="327"/>
      <c r="H185" s="330"/>
      <c r="I185" s="327"/>
      <c r="J185" s="335"/>
      <c r="K185" s="341" t="s">
        <v>865</v>
      </c>
    </row>
    <row r="186" spans="1:14" ht="15" x14ac:dyDescent="0.25">
      <c r="A186" s="322"/>
      <c r="B186" s="323"/>
      <c r="C186" s="332"/>
      <c r="D186" s="323"/>
      <c r="E186" s="332"/>
      <c r="F186" s="332"/>
      <c r="G186" s="323"/>
      <c r="H186" s="332"/>
      <c r="I186" s="323"/>
      <c r="J186" s="334"/>
    </row>
    <row r="187" spans="1:14" ht="15" x14ac:dyDescent="0.25">
      <c r="A187" s="326"/>
      <c r="B187" s="327"/>
      <c r="C187" s="330"/>
      <c r="D187" s="327"/>
      <c r="E187" s="330"/>
      <c r="F187" s="330"/>
      <c r="G187" s="327"/>
      <c r="H187" s="330"/>
      <c r="I187" s="327"/>
      <c r="J187" s="335"/>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2:V44"/>
  <sheetViews>
    <sheetView zoomScale="90" zoomScaleNormal="90" workbookViewId="0"/>
  </sheetViews>
  <sheetFormatPr defaultRowHeight="15" x14ac:dyDescent="0.25"/>
  <cols>
    <col min="1" max="6" width="4.42578125" customWidth="1"/>
    <col min="7" max="7" width="77.42578125" customWidth="1"/>
    <col min="8" max="13" width="14.7109375" customWidth="1"/>
    <col min="14" max="17" width="12.85546875" customWidth="1"/>
    <col min="18" max="18" width="13.5703125" customWidth="1"/>
    <col min="19" max="22" width="11" bestFit="1" customWidth="1"/>
  </cols>
  <sheetData>
    <row r="2" spans="1:22" x14ac:dyDescent="0.25">
      <c r="A2" s="25"/>
      <c r="Q2" s="126"/>
      <c r="R2" s="126"/>
      <c r="S2" s="126"/>
      <c r="T2" s="126"/>
      <c r="U2" s="126"/>
      <c r="V2" s="126"/>
    </row>
    <row r="3" spans="1:22" x14ac:dyDescent="0.25">
      <c r="A3" s="55" t="s">
        <v>881</v>
      </c>
    </row>
    <row r="4" spans="1:22" ht="45" x14ac:dyDescent="0.25">
      <c r="A4" s="67"/>
      <c r="B4" s="68"/>
      <c r="C4" s="68"/>
      <c r="D4" s="68"/>
      <c r="E4" s="68"/>
      <c r="F4" s="68"/>
      <c r="G4" s="69"/>
      <c r="H4" s="86" t="s">
        <v>214</v>
      </c>
      <c r="I4" s="86" t="s">
        <v>214</v>
      </c>
      <c r="J4" s="86" t="s">
        <v>214</v>
      </c>
      <c r="K4" s="86" t="s">
        <v>214</v>
      </c>
      <c r="L4" s="86" t="s">
        <v>214</v>
      </c>
      <c r="M4" s="86" t="s">
        <v>214</v>
      </c>
      <c r="N4" s="70" t="s">
        <v>445</v>
      </c>
      <c r="O4" s="71" t="s">
        <v>444</v>
      </c>
      <c r="P4" s="71" t="s">
        <v>441</v>
      </c>
      <c r="Q4" s="71" t="s">
        <v>442</v>
      </c>
      <c r="R4" s="72" t="s">
        <v>443</v>
      </c>
    </row>
    <row r="5" spans="1:22" ht="15" customHeight="1" x14ac:dyDescent="0.25">
      <c r="A5" s="383" t="s">
        <v>215</v>
      </c>
      <c r="B5" s="384"/>
      <c r="C5" s="384"/>
      <c r="D5" s="384"/>
      <c r="E5" s="384"/>
      <c r="F5" s="384"/>
      <c r="G5" s="385"/>
      <c r="H5" s="90">
        <f>I6+H21</f>
        <v>1896901455</v>
      </c>
      <c r="I5" s="88"/>
      <c r="J5" s="88"/>
      <c r="K5" s="88"/>
      <c r="L5" s="88"/>
      <c r="M5" s="88"/>
      <c r="N5" s="108"/>
      <c r="O5" s="61"/>
      <c r="P5" s="109"/>
      <c r="Q5" s="109"/>
      <c r="R5" s="110"/>
    </row>
    <row r="6" spans="1:22" ht="15" customHeight="1" x14ac:dyDescent="0.25">
      <c r="A6" s="83"/>
      <c r="B6" s="381" t="s">
        <v>438</v>
      </c>
      <c r="C6" s="381"/>
      <c r="D6" s="381"/>
      <c r="E6" s="381"/>
      <c r="F6" s="381"/>
      <c r="G6" s="382"/>
      <c r="H6" s="89"/>
      <c r="I6" s="98">
        <v>1866385000</v>
      </c>
      <c r="J6" s="88"/>
      <c r="K6" s="88"/>
      <c r="L6" s="88"/>
      <c r="M6" s="88"/>
      <c r="N6" s="62">
        <f>I6/I$6</f>
        <v>1</v>
      </c>
      <c r="O6" s="63"/>
      <c r="P6" s="63"/>
      <c r="Q6" s="63"/>
      <c r="R6" s="73"/>
    </row>
    <row r="7" spans="1:22" ht="15" customHeight="1" x14ac:dyDescent="0.25">
      <c r="A7" s="83"/>
      <c r="B7" s="287"/>
      <c r="C7" s="381" t="s">
        <v>439</v>
      </c>
      <c r="D7" s="381"/>
      <c r="E7" s="381"/>
      <c r="F7" s="381"/>
      <c r="G7" s="382"/>
      <c r="H7" s="90"/>
      <c r="I7" s="87"/>
      <c r="J7" s="88">
        <f>I6-H22</f>
        <v>1851385000</v>
      </c>
      <c r="K7" s="88"/>
      <c r="L7" s="88"/>
      <c r="M7" s="88"/>
      <c r="N7" s="62">
        <f>J7/I$6</f>
        <v>0.99196307299940789</v>
      </c>
      <c r="O7" s="64">
        <f>J7/J$7</f>
        <v>1</v>
      </c>
      <c r="P7" s="64"/>
      <c r="Q7" s="63"/>
      <c r="R7" s="73"/>
    </row>
    <row r="8" spans="1:22" ht="15" customHeight="1" x14ac:dyDescent="0.25">
      <c r="A8" s="83"/>
      <c r="B8" s="287"/>
      <c r="C8" s="287"/>
      <c r="D8" s="381" t="s">
        <v>440</v>
      </c>
      <c r="E8" s="381"/>
      <c r="F8" s="381"/>
      <c r="G8" s="382"/>
      <c r="H8" s="90"/>
      <c r="I8" s="88"/>
      <c r="J8" s="88"/>
      <c r="K8" s="88">
        <f>ROUND(J7*O8,0)</f>
        <v>1295969500</v>
      </c>
      <c r="L8" s="88"/>
      <c r="M8" s="88"/>
      <c r="N8" s="62">
        <f>K8/I$6</f>
        <v>0.69437415109958556</v>
      </c>
      <c r="O8" s="93">
        <v>0.7</v>
      </c>
      <c r="P8" s="64">
        <f>K8/K$8</f>
        <v>1</v>
      </c>
      <c r="Q8" s="63"/>
      <c r="R8" s="73"/>
    </row>
    <row r="9" spans="1:22" ht="15" customHeight="1" x14ac:dyDescent="0.25">
      <c r="A9" s="83"/>
      <c r="B9" s="287"/>
      <c r="C9" s="287"/>
      <c r="D9" s="58"/>
      <c r="E9" s="381" t="s">
        <v>463</v>
      </c>
      <c r="F9" s="381"/>
      <c r="G9" s="382"/>
      <c r="H9" s="90"/>
      <c r="I9" s="88"/>
      <c r="J9" s="88"/>
      <c r="K9" s="88"/>
      <c r="L9" s="88">
        <f>K8-H23</f>
        <v>1282694500</v>
      </c>
      <c r="M9" s="88"/>
      <c r="N9" s="62">
        <f>L9/I$6</f>
        <v>0.68726147070406163</v>
      </c>
      <c r="O9" s="63">
        <f>L9/J$7</f>
        <v>0.69282969236544534</v>
      </c>
      <c r="P9" s="64">
        <f>L9/K$8</f>
        <v>0.98975670337920763</v>
      </c>
      <c r="Q9" s="64"/>
      <c r="R9" s="73"/>
    </row>
    <row r="10" spans="1:22" ht="15" customHeight="1" x14ac:dyDescent="0.25">
      <c r="A10" s="83"/>
      <c r="B10" s="287"/>
      <c r="C10" s="287"/>
      <c r="D10" s="58"/>
      <c r="E10" s="381" t="s">
        <v>447</v>
      </c>
      <c r="F10" s="381"/>
      <c r="G10" s="382"/>
      <c r="H10" s="90"/>
      <c r="I10" s="88"/>
      <c r="J10" s="88"/>
      <c r="K10" s="88"/>
      <c r="L10" s="88">
        <f>K8-H23-H24</f>
        <v>1189694500</v>
      </c>
      <c r="M10" s="82"/>
      <c r="N10" s="62">
        <f>L10/I$6</f>
        <v>0.63743252330039091</v>
      </c>
      <c r="O10" s="63">
        <f>L10/J$7</f>
        <v>0.64259702871093805</v>
      </c>
      <c r="P10" s="64">
        <f>L10/K$8</f>
        <v>0.91799575530134003</v>
      </c>
      <c r="Q10" s="63"/>
      <c r="R10" s="73"/>
    </row>
    <row r="11" spans="1:22" ht="15" customHeight="1" x14ac:dyDescent="0.25">
      <c r="A11" s="83"/>
      <c r="B11" s="287"/>
      <c r="C11" s="58"/>
      <c r="D11" s="381" t="s">
        <v>213</v>
      </c>
      <c r="E11" s="381"/>
      <c r="F11" s="381"/>
      <c r="G11" s="382"/>
      <c r="H11" s="90"/>
      <c r="I11" s="88"/>
      <c r="J11" s="88"/>
      <c r="K11" s="88">
        <f>ROUND(J7*O11,0)</f>
        <v>370277000</v>
      </c>
      <c r="L11" s="88"/>
      <c r="M11" s="88"/>
      <c r="N11" s="62">
        <f>K11/I$6</f>
        <v>0.19839261459988158</v>
      </c>
      <c r="O11" s="94">
        <v>0.2</v>
      </c>
      <c r="P11" s="96"/>
      <c r="Q11" s="63"/>
      <c r="R11" s="73"/>
    </row>
    <row r="12" spans="1:22" ht="15" customHeight="1" x14ac:dyDescent="0.25">
      <c r="A12" s="83"/>
      <c r="B12" s="287"/>
      <c r="C12" s="58"/>
      <c r="D12" s="381" t="s">
        <v>425</v>
      </c>
      <c r="E12" s="381"/>
      <c r="F12" s="381"/>
      <c r="G12" s="382"/>
      <c r="H12" s="90"/>
      <c r="I12" s="88"/>
      <c r="J12" s="88"/>
      <c r="K12" s="88">
        <f>ROUND(J7*O12,0)</f>
        <v>185138500</v>
      </c>
      <c r="L12" s="88"/>
      <c r="M12" s="88"/>
      <c r="N12" s="62">
        <f>K12/I$6</f>
        <v>9.9196307299940792E-2</v>
      </c>
      <c r="O12" s="94">
        <v>0.1</v>
      </c>
      <c r="P12" s="96"/>
      <c r="Q12" s="63">
        <f>K12/K$12</f>
        <v>1</v>
      </c>
      <c r="R12" s="73"/>
    </row>
    <row r="13" spans="1:22" ht="15" customHeight="1" x14ac:dyDescent="0.25">
      <c r="A13" s="83"/>
      <c r="B13" s="59"/>
      <c r="C13" s="58"/>
      <c r="D13" s="287"/>
      <c r="E13" s="381" t="s">
        <v>220</v>
      </c>
      <c r="F13" s="381"/>
      <c r="G13" s="382"/>
      <c r="H13" s="90"/>
      <c r="I13" s="88"/>
      <c r="J13" s="88"/>
      <c r="K13" s="88"/>
      <c r="L13" s="88">
        <f>K12*Q13</f>
        <v>138853875</v>
      </c>
      <c r="M13" s="88"/>
      <c r="N13" s="62">
        <f>L13/I$6</f>
        <v>7.4397230474955597E-2</v>
      </c>
      <c r="O13" s="64">
        <f>L13/J$7</f>
        <v>7.4999999999999997E-2</v>
      </c>
      <c r="P13" s="96"/>
      <c r="Q13" s="100">
        <f>3/4</f>
        <v>0.75</v>
      </c>
      <c r="R13" s="73"/>
    </row>
    <row r="14" spans="1:22" s="55" customFormat="1" ht="15" customHeight="1" x14ac:dyDescent="0.25">
      <c r="A14" s="74"/>
      <c r="B14" s="59"/>
      <c r="C14" s="58"/>
      <c r="D14" s="287"/>
      <c r="E14" s="381" t="s">
        <v>427</v>
      </c>
      <c r="F14" s="381"/>
      <c r="G14" s="382"/>
      <c r="H14" s="90"/>
      <c r="I14" s="88"/>
      <c r="J14" s="88"/>
      <c r="K14" s="88"/>
      <c r="L14" s="88">
        <f>K12*Q14</f>
        <v>46284625</v>
      </c>
      <c r="M14" s="88"/>
      <c r="N14" s="62">
        <f>L14/I$6</f>
        <v>2.4799076824985198E-2</v>
      </c>
      <c r="O14" s="64">
        <f>L14/J$7</f>
        <v>2.5000000000000001E-2</v>
      </c>
      <c r="P14" s="96"/>
      <c r="Q14" s="100">
        <f>1/4</f>
        <v>0.25</v>
      </c>
      <c r="R14" s="73">
        <f>L14/L$14</f>
        <v>1</v>
      </c>
    </row>
    <row r="15" spans="1:22" s="55" customFormat="1" ht="15" customHeight="1" x14ac:dyDescent="0.25">
      <c r="A15" s="74"/>
      <c r="B15" s="287"/>
      <c r="C15" s="58"/>
      <c r="D15" s="287"/>
      <c r="E15" s="287"/>
      <c r="F15" s="381" t="s">
        <v>22</v>
      </c>
      <c r="G15" s="382"/>
      <c r="H15" s="90"/>
      <c r="I15" s="88"/>
      <c r="J15" s="88"/>
      <c r="K15" s="88"/>
      <c r="L15" s="88"/>
      <c r="M15" s="88">
        <f>ROUND(L14*R15,0)</f>
        <v>11571156</v>
      </c>
      <c r="N15" s="62">
        <f>M15/I$6</f>
        <v>6.199769072297516E-3</v>
      </c>
      <c r="O15" s="64">
        <f>M15/J$7</f>
        <v>6.2499998649659582E-3</v>
      </c>
      <c r="P15" s="96"/>
      <c r="Q15" s="63">
        <f>M15/K$12</f>
        <v>6.2499998649659577E-2</v>
      </c>
      <c r="R15" s="95">
        <f>1/4</f>
        <v>0.25</v>
      </c>
    </row>
    <row r="16" spans="1:22" ht="15" customHeight="1" x14ac:dyDescent="0.25">
      <c r="A16" s="83"/>
      <c r="B16" s="287"/>
      <c r="C16" s="58"/>
      <c r="D16" s="287"/>
      <c r="E16" s="287"/>
      <c r="F16" s="381" t="s">
        <v>428</v>
      </c>
      <c r="G16" s="382"/>
      <c r="H16" s="90"/>
      <c r="I16" s="88"/>
      <c r="J16" s="88"/>
      <c r="K16" s="88"/>
      <c r="L16" s="88"/>
      <c r="M16" s="88">
        <f>ROUND(L14*R16,0)</f>
        <v>34713469</v>
      </c>
      <c r="N16" s="62">
        <f>M16/I$6</f>
        <v>1.8599307752687682E-2</v>
      </c>
      <c r="O16" s="64">
        <f>M16/J$7</f>
        <v>1.8750000135034042E-2</v>
      </c>
      <c r="P16" s="96"/>
      <c r="Q16" s="63">
        <f>M16/K$12</f>
        <v>0.18750000135034042</v>
      </c>
      <c r="R16" s="95">
        <f>3/4</f>
        <v>0.75</v>
      </c>
    </row>
    <row r="17" spans="1:18" ht="15" customHeight="1" x14ac:dyDescent="0.25">
      <c r="A17" s="83"/>
      <c r="B17" s="377"/>
      <c r="C17" s="58"/>
      <c r="D17" s="377"/>
      <c r="E17" s="381" t="s">
        <v>448</v>
      </c>
      <c r="F17" s="381"/>
      <c r="G17" s="382"/>
      <c r="H17" s="90"/>
      <c r="I17" s="88"/>
      <c r="J17" s="88"/>
      <c r="K17" s="88"/>
      <c r="L17" s="88">
        <f>K12*Q17</f>
        <v>0</v>
      </c>
      <c r="M17" s="88"/>
      <c r="N17" s="62">
        <f>M17/I$6</f>
        <v>0</v>
      </c>
      <c r="O17" s="64">
        <f>M17/J$7</f>
        <v>0</v>
      </c>
      <c r="P17" s="96"/>
      <c r="Q17" s="100">
        <f>0</f>
        <v>0</v>
      </c>
      <c r="R17" s="380"/>
    </row>
    <row r="18" spans="1:18" ht="15" customHeight="1" x14ac:dyDescent="0.25">
      <c r="A18" s="83"/>
      <c r="B18" s="287"/>
      <c r="C18" s="381" t="s">
        <v>219</v>
      </c>
      <c r="D18" s="381"/>
      <c r="E18" s="381"/>
      <c r="F18" s="381"/>
      <c r="G18" s="382"/>
      <c r="H18" s="90"/>
      <c r="I18" s="88"/>
      <c r="J18" s="88">
        <f>J7+H21</f>
        <v>1881901455</v>
      </c>
      <c r="K18" s="88"/>
      <c r="L18" s="88"/>
      <c r="M18" s="88"/>
      <c r="N18" s="62"/>
      <c r="O18" s="63"/>
      <c r="P18" s="97"/>
      <c r="Q18" s="63"/>
      <c r="R18" s="73"/>
    </row>
    <row r="19" spans="1:18" ht="15" customHeight="1" x14ac:dyDescent="0.25">
      <c r="A19" s="83"/>
      <c r="B19" s="288"/>
      <c r="C19" s="381" t="s">
        <v>852</v>
      </c>
      <c r="D19" s="381"/>
      <c r="E19" s="381"/>
      <c r="F19" s="381"/>
      <c r="G19" s="382"/>
      <c r="H19" s="90"/>
      <c r="I19" s="88"/>
      <c r="J19" s="88">
        <f>J7-H24</f>
        <v>1758385000</v>
      </c>
      <c r="K19" s="88">
        <f>K8+K11+K12-H24</f>
        <v>1758385000</v>
      </c>
      <c r="L19" s="88"/>
      <c r="M19" s="88"/>
      <c r="N19" s="62"/>
      <c r="O19" s="63"/>
      <c r="P19" s="97"/>
      <c r="Q19" s="63"/>
      <c r="R19" s="73"/>
    </row>
    <row r="20" spans="1:18" ht="15" customHeight="1" x14ac:dyDescent="0.25">
      <c r="A20" s="66"/>
      <c r="B20" s="56"/>
      <c r="C20" s="386" t="s">
        <v>853</v>
      </c>
      <c r="D20" s="386"/>
      <c r="E20" s="386"/>
      <c r="F20" s="386"/>
      <c r="G20" s="387"/>
      <c r="H20" s="88"/>
      <c r="I20" s="88"/>
      <c r="J20" s="88">
        <f>J7-H23-H24</f>
        <v>1745110000</v>
      </c>
      <c r="K20" s="88"/>
      <c r="L20" s="88">
        <f>L10+K11+K12</f>
        <v>1745110000</v>
      </c>
      <c r="M20" s="88"/>
      <c r="N20" s="62">
        <f>J20/I$6</f>
        <v>0.93502144520021324</v>
      </c>
      <c r="O20" s="145">
        <f>J20/J$7</f>
        <v>0.94259702871093798</v>
      </c>
      <c r="P20" s="92"/>
      <c r="Q20" s="92"/>
      <c r="R20" s="91"/>
    </row>
    <row r="21" spans="1:18" ht="15" customHeight="1" x14ac:dyDescent="0.25">
      <c r="A21" s="65"/>
      <c r="B21" s="60"/>
      <c r="C21" s="60"/>
      <c r="D21" s="60"/>
      <c r="E21" s="60"/>
      <c r="F21" s="384" t="s">
        <v>216</v>
      </c>
      <c r="G21" s="385"/>
      <c r="H21" s="99">
        <v>30516455</v>
      </c>
      <c r="I21" s="111"/>
      <c r="J21" s="111"/>
      <c r="K21" s="111"/>
      <c r="L21" s="111"/>
      <c r="M21" s="111"/>
      <c r="N21" s="75"/>
      <c r="O21" s="76"/>
      <c r="P21" s="76"/>
      <c r="Q21" s="76"/>
      <c r="R21" s="77"/>
    </row>
    <row r="22" spans="1:18" ht="15" customHeight="1" x14ac:dyDescent="0.25">
      <c r="A22" s="66"/>
      <c r="B22" s="56"/>
      <c r="C22" s="56"/>
      <c r="D22" s="56"/>
      <c r="E22" s="56"/>
      <c r="F22" s="381" t="s">
        <v>217</v>
      </c>
      <c r="G22" s="382"/>
      <c r="H22" s="98">
        <v>15000000</v>
      </c>
      <c r="I22" s="90"/>
      <c r="J22" s="90"/>
      <c r="K22" s="90"/>
      <c r="L22" s="90">
        <v>1000000</v>
      </c>
      <c r="M22" s="90"/>
      <c r="N22" s="79">
        <f>H22/I$6</f>
        <v>8.0369270005920534E-3</v>
      </c>
      <c r="O22" s="63"/>
      <c r="P22" s="63"/>
      <c r="Q22" s="63"/>
      <c r="R22" s="73"/>
    </row>
    <row r="23" spans="1:18" ht="15" customHeight="1" x14ac:dyDescent="0.25">
      <c r="A23" s="66"/>
      <c r="B23" s="56"/>
      <c r="C23" s="56"/>
      <c r="D23" s="56"/>
      <c r="E23" s="56"/>
      <c r="F23" s="381" t="s">
        <v>218</v>
      </c>
      <c r="G23" s="382"/>
      <c r="H23" s="98">
        <f>Ohj.lask.[[#Totals],[Päätös 7, €]]</f>
        <v>13275000</v>
      </c>
      <c r="I23" s="90"/>
      <c r="J23" s="90"/>
      <c r="K23" s="90"/>
      <c r="L23" s="90"/>
      <c r="M23" s="90"/>
      <c r="N23" s="79">
        <f>H23/I$6</f>
        <v>7.1126803955239674E-3</v>
      </c>
      <c r="O23" s="63">
        <f>H23/J$7</f>
        <v>7.1703076345546709E-3</v>
      </c>
      <c r="P23" s="63">
        <f>H23/K$8</f>
        <v>1.0243296620792387E-2</v>
      </c>
      <c r="Q23" s="63"/>
      <c r="R23" s="73"/>
    </row>
    <row r="24" spans="1:18" ht="15" customHeight="1" x14ac:dyDescent="0.25">
      <c r="A24" s="66"/>
      <c r="B24" s="56"/>
      <c r="C24" s="56"/>
      <c r="D24" s="56"/>
      <c r="E24" s="56"/>
      <c r="F24" s="381" t="s">
        <v>464</v>
      </c>
      <c r="G24" s="382"/>
      <c r="H24" s="292">
        <v>93000000</v>
      </c>
      <c r="I24" s="90"/>
      <c r="J24" s="90"/>
      <c r="K24" s="90"/>
      <c r="L24" s="90"/>
      <c r="M24" s="293"/>
      <c r="N24" s="79">
        <f>H24/I$6</f>
        <v>4.9828947403670734E-2</v>
      </c>
      <c r="O24" s="63">
        <f>H24/J$7</f>
        <v>5.0232663654507299E-2</v>
      </c>
      <c r="P24" s="63">
        <f>H24/K$8</f>
        <v>7.1760948077867578E-2</v>
      </c>
      <c r="Q24" s="63"/>
      <c r="R24" s="73"/>
    </row>
    <row r="25" spans="1:18" ht="15" customHeight="1" x14ac:dyDescent="0.25">
      <c r="A25" s="66"/>
      <c r="B25" s="56"/>
      <c r="C25" s="56"/>
      <c r="D25" s="56"/>
      <c r="E25" s="56"/>
      <c r="F25" s="287"/>
      <c r="G25" s="289" t="s">
        <v>832</v>
      </c>
      <c r="H25" s="90">
        <v>80000000</v>
      </c>
      <c r="I25" s="90"/>
      <c r="J25" s="90"/>
      <c r="K25" s="90"/>
      <c r="L25" s="90"/>
      <c r="M25" s="90"/>
      <c r="N25" s="79">
        <f>H25/I$6</f>
        <v>4.2863610669824283E-2</v>
      </c>
      <c r="O25" s="63">
        <f>H25/J$7</f>
        <v>4.3210893466242843E-2</v>
      </c>
      <c r="P25" s="63">
        <f>H25/K$8</f>
        <v>6.1729847808918339E-2</v>
      </c>
      <c r="Q25" s="63"/>
      <c r="R25" s="73"/>
    </row>
    <row r="26" spans="1:18" ht="15" customHeight="1" x14ac:dyDescent="0.25">
      <c r="A26" s="290"/>
      <c r="B26" s="57"/>
      <c r="C26" s="57"/>
      <c r="D26" s="57"/>
      <c r="E26" s="57"/>
      <c r="F26" s="57"/>
      <c r="G26" s="291" t="s">
        <v>833</v>
      </c>
      <c r="H26" s="301">
        <f>H24-H25</f>
        <v>13000000</v>
      </c>
      <c r="I26" s="57"/>
      <c r="J26" s="57"/>
      <c r="K26" s="57"/>
      <c r="L26" s="57"/>
      <c r="M26" s="57"/>
      <c r="N26" s="80">
        <f>H26/I$6</f>
        <v>6.9653367338464462E-3</v>
      </c>
      <c r="O26" s="78">
        <f>H26/J$7</f>
        <v>7.0217701882644614E-3</v>
      </c>
      <c r="P26" s="78">
        <f>H26/K$8</f>
        <v>1.003110026894923E-2</v>
      </c>
      <c r="Q26" s="57"/>
      <c r="R26" s="283"/>
    </row>
    <row r="27" spans="1:18" x14ac:dyDescent="0.25">
      <c r="A27" s="55" t="s">
        <v>647</v>
      </c>
    </row>
    <row r="28" spans="1:18" x14ac:dyDescent="0.25">
      <c r="C28" s="123"/>
      <c r="D28" s="123"/>
      <c r="E28" s="123"/>
      <c r="F28" s="123"/>
      <c r="G28" s="123"/>
      <c r="H28" s="123"/>
      <c r="I28" s="123"/>
      <c r="K28" s="123"/>
      <c r="L28" s="123"/>
      <c r="M28" s="123"/>
    </row>
    <row r="29" spans="1:18" x14ac:dyDescent="0.25">
      <c r="C29" s="123"/>
      <c r="D29" s="123"/>
      <c r="E29" s="123"/>
      <c r="F29" s="123"/>
    </row>
    <row r="30" spans="1:18" x14ac:dyDescent="0.25">
      <c r="A30" s="123"/>
      <c r="B30" s="123"/>
      <c r="C30" s="123"/>
      <c r="D30" s="123"/>
    </row>
    <row r="31" spans="1:18" x14ac:dyDescent="0.25">
      <c r="A31" s="123"/>
      <c r="B31" s="123"/>
      <c r="C31" s="122"/>
      <c r="D31" s="123"/>
    </row>
    <row r="32" spans="1:18" x14ac:dyDescent="0.25">
      <c r="A32" s="123"/>
      <c r="B32" s="123"/>
      <c r="C32" s="123"/>
      <c r="D32" s="123"/>
    </row>
    <row r="33" spans="1:15" x14ac:dyDescent="0.25">
      <c r="A33" s="123"/>
      <c r="B33" s="123"/>
      <c r="C33" s="123"/>
      <c r="D33" s="123"/>
    </row>
    <row r="34" spans="1:15" x14ac:dyDescent="0.25">
      <c r="A34" s="123"/>
      <c r="B34" s="123"/>
      <c r="C34" s="123"/>
      <c r="D34" s="123"/>
    </row>
    <row r="35" spans="1:15" x14ac:dyDescent="0.25">
      <c r="A35" s="123"/>
      <c r="B35" s="123"/>
      <c r="C35" s="122"/>
      <c r="D35" s="123"/>
    </row>
    <row r="36" spans="1:15" x14ac:dyDescent="0.25">
      <c r="A36" s="123"/>
      <c r="B36" s="123"/>
      <c r="C36" s="122"/>
      <c r="D36" s="123"/>
      <c r="H36" s="302"/>
      <c r="I36" s="303"/>
      <c r="J36" s="303"/>
      <c r="K36" s="303"/>
      <c r="L36" s="303"/>
      <c r="M36" s="303"/>
      <c r="N36" s="303"/>
      <c r="O36" s="11"/>
    </row>
    <row r="37" spans="1:15" x14ac:dyDescent="0.25">
      <c r="A37" s="123"/>
      <c r="B37" s="123"/>
      <c r="C37" s="123"/>
      <c r="D37" s="123"/>
    </row>
    <row r="38" spans="1:15" x14ac:dyDescent="0.25">
      <c r="A38" s="123"/>
      <c r="B38" s="122"/>
      <c r="C38" s="123"/>
      <c r="D38" s="123"/>
    </row>
    <row r="39" spans="1:15" x14ac:dyDescent="0.25">
      <c r="A39" s="123"/>
      <c r="B39" s="123"/>
      <c r="C39" s="123"/>
      <c r="D39" s="123"/>
    </row>
    <row r="40" spans="1:15" x14ac:dyDescent="0.25">
      <c r="A40" s="123"/>
      <c r="B40" s="123"/>
      <c r="C40" s="123"/>
      <c r="D40" s="123"/>
    </row>
    <row r="41" spans="1:15" x14ac:dyDescent="0.25">
      <c r="A41" s="123"/>
      <c r="B41" s="123"/>
      <c r="C41" s="123"/>
      <c r="D41" s="123"/>
    </row>
    <row r="42" spans="1:15" x14ac:dyDescent="0.25">
      <c r="A42" s="123"/>
      <c r="B42" s="123"/>
      <c r="C42" s="123"/>
      <c r="D42" s="123"/>
    </row>
    <row r="43" spans="1:15" x14ac:dyDescent="0.25">
      <c r="C43" s="123"/>
      <c r="D43" s="123"/>
      <c r="E43" s="123"/>
      <c r="F43" s="123"/>
      <c r="G43" s="123"/>
      <c r="H43" s="123"/>
      <c r="I43" s="123"/>
      <c r="J43" s="123"/>
      <c r="K43" s="123"/>
      <c r="L43" s="123"/>
      <c r="M43" s="123"/>
    </row>
    <row r="44" spans="1:15" x14ac:dyDescent="0.25">
      <c r="C44" s="123"/>
      <c r="D44" s="123"/>
      <c r="E44" s="123"/>
      <c r="F44" s="123"/>
      <c r="G44" s="123"/>
      <c r="H44" s="123"/>
      <c r="I44" s="123"/>
      <c r="J44" s="123"/>
      <c r="K44" s="123"/>
      <c r="L44" s="123"/>
      <c r="M44" s="123"/>
    </row>
  </sheetData>
  <mergeCells count="20">
    <mergeCell ref="F24:G24"/>
    <mergeCell ref="F23:G23"/>
    <mergeCell ref="F22:G22"/>
    <mergeCell ref="F21:G21"/>
    <mergeCell ref="C20:G20"/>
    <mergeCell ref="E10:G10"/>
    <mergeCell ref="A5:G5"/>
    <mergeCell ref="B6:G6"/>
    <mergeCell ref="C7:G7"/>
    <mergeCell ref="D8:G8"/>
    <mergeCell ref="E9:G9"/>
    <mergeCell ref="C19:G19"/>
    <mergeCell ref="C18:G18"/>
    <mergeCell ref="D11:G11"/>
    <mergeCell ref="D12:G12"/>
    <mergeCell ref="E13:G13"/>
    <mergeCell ref="E14:G14"/>
    <mergeCell ref="F15:G15"/>
    <mergeCell ref="F16:G16"/>
    <mergeCell ref="E17:G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T329"/>
  <sheetViews>
    <sheetView zoomScale="90" zoomScaleNormal="90" workbookViewId="0">
      <pane xSplit="2" ySplit="5" topLeftCell="F6" activePane="bottomRight" state="frozen"/>
      <selection pane="topRight" activeCell="C1" sqref="C1"/>
      <selection pane="bottomLeft" activeCell="A6" sqref="A6"/>
      <selection pane="bottomRight"/>
    </sheetView>
  </sheetViews>
  <sheetFormatPr defaultColWidth="13.140625" defaultRowHeight="15" x14ac:dyDescent="0.25"/>
  <cols>
    <col min="1" max="1" width="11.5703125" style="12" customWidth="1"/>
    <col min="2" max="2" width="42.140625" style="12" customWidth="1"/>
    <col min="3" max="3" width="18.5703125" style="12" hidden="1" customWidth="1"/>
    <col min="4" max="5" width="16.42578125" style="12" hidden="1" customWidth="1"/>
    <col min="6" max="6" width="16.7109375" style="12" customWidth="1"/>
    <col min="7" max="7" width="18.7109375" style="13" customWidth="1"/>
    <col min="8" max="8" width="10.28515625" style="13" customWidth="1"/>
    <col min="9" max="11" width="10.28515625" style="12" customWidth="1"/>
    <col min="12" max="12" width="12.28515625" style="12" customWidth="1"/>
    <col min="13" max="13" width="11.140625" style="12" customWidth="1"/>
    <col min="14" max="14" width="10.28515625" style="12" customWidth="1"/>
    <col min="15" max="15" width="12.28515625" style="12" customWidth="1"/>
    <col min="16" max="17" width="10.28515625" style="12" customWidth="1"/>
    <col min="18" max="18" width="12.28515625" style="12" customWidth="1"/>
    <col min="19" max="20" width="10.28515625" style="12" customWidth="1"/>
    <col min="21" max="21" width="12.28515625" style="12" customWidth="1"/>
    <col min="22" max="23" width="10.28515625" style="12" customWidth="1"/>
    <col min="24" max="24" width="12.28515625" style="12" customWidth="1"/>
    <col min="25" max="25" width="10.28515625" style="12" customWidth="1"/>
    <col min="26" max="26" width="15.42578125" style="12" customWidth="1"/>
    <col min="27" max="30" width="10.28515625" style="12" customWidth="1"/>
    <col min="31" max="32" width="10.5703125" style="12" customWidth="1"/>
    <col min="33" max="38" width="10.28515625" customWidth="1"/>
    <col min="39" max="39" width="10.28515625" style="12" customWidth="1"/>
    <col min="40" max="40" width="10.28515625" style="13" customWidth="1"/>
    <col min="41" max="41" width="25.5703125" style="12" customWidth="1"/>
    <col min="42" max="42" width="25.5703125" style="13" customWidth="1"/>
    <col min="43" max="46" width="25.5703125" style="12" customWidth="1"/>
    <col min="47" max="16384" width="13.140625" style="12"/>
  </cols>
  <sheetData>
    <row r="1" spans="1:46" x14ac:dyDescent="0.25">
      <c r="A1" s="106" t="s">
        <v>841</v>
      </c>
      <c r="B1" s="106"/>
      <c r="D1" s="13"/>
      <c r="E1" s="13"/>
      <c r="G1"/>
      <c r="V1" s="13"/>
      <c r="AA1"/>
      <c r="AB1"/>
      <c r="AC1"/>
      <c r="AD1"/>
      <c r="AE1"/>
      <c r="AF1"/>
      <c r="AM1"/>
      <c r="AN1"/>
      <c r="AS1" s="12" t="s">
        <v>878</v>
      </c>
    </row>
    <row r="2" spans="1:46" ht="53.25" customHeight="1" x14ac:dyDescent="0.2">
      <c r="A2" s="138" t="s">
        <v>413</v>
      </c>
      <c r="B2" s="24"/>
      <c r="C2" s="24"/>
      <c r="D2" s="24"/>
      <c r="E2" s="24"/>
      <c r="F2" s="394" t="s">
        <v>834</v>
      </c>
      <c r="G2" s="395"/>
      <c r="H2" s="395"/>
      <c r="I2" s="395"/>
      <c r="J2" s="395"/>
      <c r="K2" s="364"/>
      <c r="L2" s="365"/>
      <c r="M2" s="365"/>
      <c r="N2" s="365"/>
      <c r="O2" s="365"/>
      <c r="P2" s="366"/>
      <c r="Q2" s="366"/>
      <c r="R2" s="366"/>
      <c r="S2" s="366"/>
      <c r="T2" s="366"/>
      <c r="U2" s="366"/>
      <c r="V2" s="366"/>
      <c r="W2" s="366"/>
      <c r="X2" s="366"/>
      <c r="Y2" s="365"/>
      <c r="Z2" s="367"/>
      <c r="AA2" s="409" t="s">
        <v>893</v>
      </c>
      <c r="AB2" s="410"/>
      <c r="AC2" s="410"/>
      <c r="AD2" s="410"/>
      <c r="AE2" s="410"/>
      <c r="AF2" s="410"/>
      <c r="AG2" s="410"/>
      <c r="AH2" s="410"/>
      <c r="AI2" s="410"/>
      <c r="AJ2" s="410"/>
      <c r="AK2" s="410"/>
      <c r="AL2" s="410"/>
      <c r="AM2" s="410"/>
      <c r="AN2" s="411"/>
      <c r="AO2" s="406" t="s">
        <v>836</v>
      </c>
      <c r="AP2" s="407"/>
      <c r="AQ2" s="407"/>
      <c r="AR2" s="408"/>
      <c r="AS2" s="295" t="s">
        <v>839</v>
      </c>
      <c r="AT2" s="294" t="s">
        <v>838</v>
      </c>
    </row>
    <row r="3" spans="1:46" s="15" customFormat="1" ht="15" customHeight="1" x14ac:dyDescent="0.2">
      <c r="A3" s="33"/>
      <c r="B3" s="33"/>
      <c r="C3" s="33"/>
      <c r="D3" s="33"/>
      <c r="E3" s="33"/>
      <c r="F3" s="391" t="s">
        <v>835</v>
      </c>
      <c r="G3" s="392"/>
      <c r="H3" s="392"/>
      <c r="I3" s="392"/>
      <c r="J3" s="392"/>
      <c r="K3" s="392"/>
      <c r="L3" s="393"/>
      <c r="M3" s="391" t="s">
        <v>882</v>
      </c>
      <c r="N3" s="392"/>
      <c r="O3" s="393"/>
      <c r="P3" s="398" t="s">
        <v>883</v>
      </c>
      <c r="Q3" s="399"/>
      <c r="R3" s="399"/>
      <c r="S3" s="399"/>
      <c r="T3" s="399"/>
      <c r="U3" s="399"/>
      <c r="V3" s="399"/>
      <c r="W3" s="399"/>
      <c r="X3" s="400"/>
      <c r="Y3" s="391" t="s">
        <v>884</v>
      </c>
      <c r="Z3" s="393"/>
      <c r="AA3" s="397" t="s">
        <v>869</v>
      </c>
      <c r="AB3" s="397"/>
      <c r="AC3" s="396" t="s">
        <v>870</v>
      </c>
      <c r="AD3" s="404"/>
      <c r="AE3" s="396" t="s">
        <v>871</v>
      </c>
      <c r="AF3" s="397"/>
      <c r="AG3" s="396" t="s">
        <v>872</v>
      </c>
      <c r="AH3" s="397"/>
      <c r="AI3" s="396" t="s">
        <v>873</v>
      </c>
      <c r="AJ3" s="404"/>
      <c r="AK3" s="397" t="s">
        <v>874</v>
      </c>
      <c r="AL3" s="397"/>
      <c r="AM3" s="396" t="s">
        <v>875</v>
      </c>
      <c r="AN3" s="404"/>
      <c r="AO3" s="414" t="s">
        <v>466</v>
      </c>
      <c r="AP3" s="412" t="s">
        <v>467</v>
      </c>
      <c r="AQ3" s="413" t="s">
        <v>468</v>
      </c>
      <c r="AR3" s="415" t="s">
        <v>842</v>
      </c>
      <c r="AS3" s="405" t="s">
        <v>837</v>
      </c>
      <c r="AT3" s="405" t="s">
        <v>840</v>
      </c>
    </row>
    <row r="4" spans="1:46" s="16" customFormat="1" ht="32.25" customHeight="1" x14ac:dyDescent="0.25">
      <c r="A4" s="34"/>
      <c r="B4" s="34"/>
      <c r="C4" s="34"/>
      <c r="D4" s="34"/>
      <c r="E4" s="34"/>
      <c r="F4" s="388" t="s">
        <v>226</v>
      </c>
      <c r="G4" s="389"/>
      <c r="H4" s="389"/>
      <c r="I4" s="389"/>
      <c r="J4" s="389"/>
      <c r="K4" s="389"/>
      <c r="L4" s="390"/>
      <c r="M4" s="401" t="s">
        <v>227</v>
      </c>
      <c r="N4" s="402"/>
      <c r="O4" s="403"/>
      <c r="P4" s="401" t="s">
        <v>228</v>
      </c>
      <c r="Q4" s="402"/>
      <c r="R4" s="403"/>
      <c r="S4" s="401" t="s">
        <v>229</v>
      </c>
      <c r="T4" s="402"/>
      <c r="U4" s="403"/>
      <c r="V4" s="401" t="s">
        <v>426</v>
      </c>
      <c r="W4" s="402"/>
      <c r="X4" s="403"/>
      <c r="Y4" s="401" t="s">
        <v>885</v>
      </c>
      <c r="Z4" s="403"/>
      <c r="AA4" s="397"/>
      <c r="AB4" s="397"/>
      <c r="AC4" s="396"/>
      <c r="AD4" s="404"/>
      <c r="AE4" s="396"/>
      <c r="AF4" s="397"/>
      <c r="AG4" s="396"/>
      <c r="AH4" s="397"/>
      <c r="AI4" s="396"/>
      <c r="AJ4" s="404"/>
      <c r="AK4" s="397"/>
      <c r="AL4" s="397"/>
      <c r="AM4" s="396"/>
      <c r="AN4" s="404"/>
      <c r="AO4" s="414"/>
      <c r="AP4" s="412"/>
      <c r="AQ4" s="413"/>
      <c r="AR4" s="415"/>
      <c r="AS4" s="405"/>
      <c r="AT4" s="405"/>
    </row>
    <row r="5" spans="1:46" s="15" customFormat="1" ht="50.25" customHeight="1" x14ac:dyDescent="0.2">
      <c r="A5" s="33" t="s">
        <v>412</v>
      </c>
      <c r="B5" s="35" t="s">
        <v>411</v>
      </c>
      <c r="C5" s="35" t="s">
        <v>430</v>
      </c>
      <c r="D5" s="35" t="s">
        <v>429</v>
      </c>
      <c r="E5" s="35" t="s">
        <v>661</v>
      </c>
      <c r="F5" s="368" t="s">
        <v>644</v>
      </c>
      <c r="G5" s="369" t="s">
        <v>886</v>
      </c>
      <c r="H5" s="370" t="s">
        <v>234</v>
      </c>
      <c r="I5" s="369" t="s">
        <v>235</v>
      </c>
      <c r="J5" s="31" t="s">
        <v>233</v>
      </c>
      <c r="K5" s="31" t="s">
        <v>221</v>
      </c>
      <c r="L5" s="31" t="s">
        <v>887</v>
      </c>
      <c r="M5" s="30" t="s">
        <v>222</v>
      </c>
      <c r="N5" s="31" t="s">
        <v>223</v>
      </c>
      <c r="O5" s="32" t="s">
        <v>888</v>
      </c>
      <c r="P5" s="31" t="s">
        <v>224</v>
      </c>
      <c r="Q5" s="31" t="s">
        <v>225</v>
      </c>
      <c r="R5" s="31" t="s">
        <v>889</v>
      </c>
      <c r="S5" s="30" t="s">
        <v>230</v>
      </c>
      <c r="T5" s="31" t="s">
        <v>231</v>
      </c>
      <c r="U5" s="32" t="s">
        <v>890</v>
      </c>
      <c r="V5" s="31" t="s">
        <v>237</v>
      </c>
      <c r="W5" s="31" t="s">
        <v>236</v>
      </c>
      <c r="X5" s="31" t="s">
        <v>891</v>
      </c>
      <c r="Y5" s="30" t="s">
        <v>232</v>
      </c>
      <c r="Z5" s="32" t="s">
        <v>892</v>
      </c>
      <c r="AA5" s="28" t="s">
        <v>431</v>
      </c>
      <c r="AB5" s="28" t="s">
        <v>432</v>
      </c>
      <c r="AC5" s="27" t="s">
        <v>421</v>
      </c>
      <c r="AD5" s="29" t="s">
        <v>420</v>
      </c>
      <c r="AE5" s="27" t="s">
        <v>419</v>
      </c>
      <c r="AF5" s="28" t="s">
        <v>418</v>
      </c>
      <c r="AG5" s="27" t="s">
        <v>417</v>
      </c>
      <c r="AH5" s="28" t="s">
        <v>416</v>
      </c>
      <c r="AI5" s="27" t="s">
        <v>415</v>
      </c>
      <c r="AJ5" s="29" t="s">
        <v>414</v>
      </c>
      <c r="AK5" s="28" t="s">
        <v>471</v>
      </c>
      <c r="AL5" s="28" t="s">
        <v>472</v>
      </c>
      <c r="AM5" s="27" t="s">
        <v>473</v>
      </c>
      <c r="AN5" s="29" t="s">
        <v>474</v>
      </c>
      <c r="AO5" s="118" t="s">
        <v>894</v>
      </c>
      <c r="AP5" s="118" t="s">
        <v>469</v>
      </c>
      <c r="AQ5" s="118" t="s">
        <v>470</v>
      </c>
      <c r="AR5" s="114" t="s">
        <v>475</v>
      </c>
      <c r="AS5" s="140" t="s">
        <v>486</v>
      </c>
      <c r="AT5" s="139" t="s">
        <v>487</v>
      </c>
    </row>
    <row r="6" spans="1:46" ht="12.75" x14ac:dyDescent="0.2">
      <c r="A6" s="147" t="s">
        <v>410</v>
      </c>
      <c r="B6" s="17" t="s">
        <v>179</v>
      </c>
      <c r="C6" s="113" t="s">
        <v>238</v>
      </c>
      <c r="D6" s="113" t="s">
        <v>423</v>
      </c>
      <c r="E6" s="113" t="s">
        <v>663</v>
      </c>
      <c r="F6" s="127">
        <v>0</v>
      </c>
      <c r="G6" s="135">
        <v>8</v>
      </c>
      <c r="H6" s="44">
        <f t="shared" ref="H6:H37" si="0">IFERROR(F6+G6,0)</f>
        <v>8</v>
      </c>
      <c r="I6" s="18">
        <f>IFERROR(VLOOKUP($A6,'2.1 Toteut. op.vuodet'!$A:$Q,COLUMN('2.1 Toteut. op.vuodet'!Q:Q),FALSE),0)</f>
        <v>0.43</v>
      </c>
      <c r="J6" s="85">
        <f t="shared" ref="J6:J37" si="1">IFERROR(ROUND(H6*I6,1),0)</f>
        <v>3.4</v>
      </c>
      <c r="K6" s="19">
        <f>IFERROR(Ohj.lask.[[#This Row],[Painotetut opiskelija-vuodet]]/Ohj.lask.[[#Totals],[Painotetut opiskelija-vuodet]],0)</f>
        <v>1.6866744286762431E-5</v>
      </c>
      <c r="L6" s="20">
        <f>ROUND(IFERROR('1.1 Jakotaulu'!L$10*Ohj.lask.[[#This Row],[%-osuus 1]],0),0)</f>
        <v>20066</v>
      </c>
      <c r="M6" s="349">
        <f>IFERROR(ROUND(VLOOKUP($A6,'2.2 Tutk. ja osien pain. pist.'!$A:$Q,COLUMN('2.2 Tutk. ja osien pain. pist.'!P:P),FALSE),1),0)</f>
        <v>0</v>
      </c>
      <c r="N6" s="19">
        <f>IFERROR(Ohj.lask.[[#This Row],[Painotetut pisteet 2]]/Ohj.lask.[[#Totals],[Painotetut pisteet 2]],0)</f>
        <v>0</v>
      </c>
      <c r="O6" s="26">
        <f>ROUND(IFERROR('1.1 Jakotaulu'!K$11*Ohj.lask.[[#This Row],[%-osuus 2]],0),0)</f>
        <v>0</v>
      </c>
      <c r="P6" s="350">
        <f>IFERROR(ROUND(VLOOKUP($A6,'2.3 Työll. ja jatko-opisk.'!$A:$K,COLUMN('2.3 Työll. ja jatko-opisk.'!I:I),FALSE),1),0)</f>
        <v>0</v>
      </c>
      <c r="Q6" s="23">
        <f>IFERROR(Ohj.lask.[[#This Row],[Painotetut pisteet 3]]/Ohj.lask.[[#Totals],[Painotetut pisteet 3]],0)</f>
        <v>0</v>
      </c>
      <c r="R6" s="20">
        <f>ROUND(IFERROR('1.1 Jakotaulu'!L$13*Ohj.lask.[[#This Row],[%-osuus 3]],0),0)</f>
        <v>0</v>
      </c>
      <c r="S6" s="349">
        <f>IFERROR(ROUND(VLOOKUP($A6,'2.4 Aloittaneet palaute'!$A:$K,COLUMN('2.4 Aloittaneet palaute'!J:J),FALSE),1),0)</f>
        <v>0</v>
      </c>
      <c r="T6" s="23">
        <f>IFERROR(Ohj.lask.[[#This Row],[Painotetut pisteet 4]]/Ohj.lask.[[#Totals],[Painotetut pisteet 4]],0)</f>
        <v>0</v>
      </c>
      <c r="U6" s="26">
        <f>ROUND(IFERROR('1.1 Jakotaulu'!M$15*Ohj.lask.[[#This Row],[%-osuus 4]],0),0)</f>
        <v>0</v>
      </c>
      <c r="V6" s="85">
        <f>IFERROR(ROUND(VLOOKUP($A6,'2.5 Päättäneet palaute'!$A:$AC,COLUMN('2.5 Päättäneet palaute'!AB:AB),FALSE),1),0)</f>
        <v>0</v>
      </c>
      <c r="W6" s="23">
        <f>IFERROR(Ohj.lask.[[#This Row],[Painotetut pisteet 5]]/Ohj.lask.[[#Totals],[Painotetut pisteet 5]],0)</f>
        <v>0</v>
      </c>
      <c r="X6" s="20">
        <f>ROUND(IFERROR('1.1 Jakotaulu'!M$16*Ohj.lask.[[#This Row],[%-osuus 5]],0),0)</f>
        <v>0</v>
      </c>
      <c r="Y6" s="22">
        <f>IFERROR(Ohj.lask.[[#This Row],[Jaettava € 6]]/Ohj.lask.[[#Totals],[Jaettava € 6]],"")</f>
        <v>1.149841567149133E-5</v>
      </c>
      <c r="Z6" s="26">
        <f>IFERROR(Ohj.lask.[[#This Row],[Jaettava € 1]]+Ohj.lask.[[#This Row],[Jaettava € 2]]+Ohj.lask.[[#This Row],[Jaettava € 3]]+Ohj.lask.[[#This Row],[Jaettava € 4]]+Ohj.lask.[[#This Row],[Jaettava € 5]],"")</f>
        <v>20066</v>
      </c>
      <c r="AA6" s="20">
        <v>830750</v>
      </c>
      <c r="AB6" s="20">
        <v>0</v>
      </c>
      <c r="AC6" s="21">
        <v>0</v>
      </c>
      <c r="AD6" s="20">
        <v>0</v>
      </c>
      <c r="AE6" s="21">
        <v>0</v>
      </c>
      <c r="AF6" s="20">
        <v>0</v>
      </c>
      <c r="AG6" s="21">
        <v>0</v>
      </c>
      <c r="AH6" s="20">
        <v>0</v>
      </c>
      <c r="AI6" s="21">
        <v>50000</v>
      </c>
      <c r="AJ6" s="26">
        <v>0</v>
      </c>
      <c r="AK6" s="20">
        <v>0</v>
      </c>
      <c r="AL6" s="20">
        <v>0</v>
      </c>
      <c r="AM6" s="21">
        <v>880750</v>
      </c>
      <c r="AN6" s="136">
        <v>0</v>
      </c>
      <c r="AO6" s="20">
        <f>Ohj.lask.[[#This Row],[Jaettava € 1]]+Ohj.lask.[[#This Row],[Päätös 7, €]]</f>
        <v>20066</v>
      </c>
      <c r="AP6" s="119">
        <f>Ohj.lask.[[#This Row],[Jaettava € 2]]</f>
        <v>0</v>
      </c>
      <c r="AQ6" s="20">
        <f>Ohj.lask.[[#This Row],[Jaettava € 3]]+Ohj.lask.[[#This Row],[Jaettava € 4]]+Ohj.lask.[[#This Row],[Jaettava € 5]]</f>
        <v>0</v>
      </c>
      <c r="AR6" s="45">
        <f>Ohj.lask.[[#This Row],[Jaettava € 6]]+Ohj.lask.[[#This Row],[Päätös 7, €]]</f>
        <v>20066</v>
      </c>
      <c r="AS6" s="45">
        <f>ROUND(IFERROR(VLOOKUP(Ohj.lask.[[#This Row],[Y-tunnus]],'3.1 Alv vahvistettu'!A:Y,COLUMN(C:C),FALSE),0),0)</f>
        <v>0</v>
      </c>
      <c r="AT6" s="26">
        <f>Ohj.lask.[[#This Row],[Perus-, suoritus- ja vaikuttavuusrahoitus yhteensä, €]]+Ohj.lask.[[#This Row],[Alv-korvaus, €]]</f>
        <v>20066</v>
      </c>
    </row>
    <row r="7" spans="1:46" ht="12.75" x14ac:dyDescent="0.2">
      <c r="A7" s="147" t="s">
        <v>774</v>
      </c>
      <c r="B7" s="17" t="s">
        <v>775</v>
      </c>
      <c r="C7" s="17" t="s">
        <v>238</v>
      </c>
      <c r="D7" s="17" t="s">
        <v>423</v>
      </c>
      <c r="E7" s="17" t="s">
        <v>663</v>
      </c>
      <c r="F7" s="128">
        <v>2484</v>
      </c>
      <c r="G7" s="135">
        <v>1392</v>
      </c>
      <c r="H7" s="44">
        <f t="shared" si="0"/>
        <v>3876</v>
      </c>
      <c r="I7" s="18">
        <f>IFERROR(VLOOKUP($A7,'2.1 Toteut. op.vuodet'!$A:$Q,COLUMN('2.1 Toteut. op.vuodet'!Q:Q),FALSE),0)</f>
        <v>0.80830920755881797</v>
      </c>
      <c r="J7" s="85">
        <f t="shared" si="1"/>
        <v>3133</v>
      </c>
      <c r="K7" s="19">
        <f>IFERROR(Ohj.lask.[[#This Row],[Painotetut opiskelija-vuodet]]/Ohj.lask.[[#Totals],[Painotetut opiskelija-vuodet]],0)</f>
        <v>1.5542208779537265E-2</v>
      </c>
      <c r="L7" s="20">
        <f>ROUND(IFERROR('1.1 Jakotaulu'!L$10*Ohj.lask.[[#This Row],[%-osuus 1]],0),0)</f>
        <v>18490480</v>
      </c>
      <c r="M7" s="349">
        <f>IFERROR(ROUND(VLOOKUP($A7,'2.2 Tutk. ja osien pain. pist.'!$A:$Q,COLUMN('2.2 Tutk. ja osien pain. pist.'!P:P),FALSE),1),0)</f>
        <v>294347.3</v>
      </c>
      <c r="N7" s="19">
        <f>IFERROR(Ohj.lask.[[#This Row],[Painotetut pisteet 2]]/Ohj.lask.[[#Totals],[Painotetut pisteet 2]],0)</f>
        <v>1.8810045718639683E-2</v>
      </c>
      <c r="O7" s="26">
        <f>ROUND(IFERROR('1.1 Jakotaulu'!K$11*Ohj.lask.[[#This Row],[%-osuus 2]],0),0)</f>
        <v>6964927</v>
      </c>
      <c r="P7" s="350">
        <f>IFERROR(ROUND(VLOOKUP($A7,'2.3 Työll. ja jatko-opisk.'!$A:$K,COLUMN('2.3 Työll. ja jatko-opisk.'!I:I),FALSE),1),0)</f>
        <v>4670.5</v>
      </c>
      <c r="Q7" s="19">
        <f>IFERROR(Ohj.lask.[[#This Row],[Painotetut pisteet 3]]/Ohj.lask.[[#Totals],[Painotetut pisteet 3]],0)</f>
        <v>2.4655701772908874E-2</v>
      </c>
      <c r="R7" s="20">
        <f>ROUND(IFERROR('1.1 Jakotaulu'!L$13*Ohj.lask.[[#This Row],[%-osuus 3]],0),0)</f>
        <v>3423540</v>
      </c>
      <c r="S7" s="349">
        <f>IFERROR(ROUND(VLOOKUP($A7,'2.4 Aloittaneet palaute'!$A:$K,COLUMN('2.4 Aloittaneet palaute'!J:J),FALSE),1),0)</f>
        <v>21630.1</v>
      </c>
      <c r="T7" s="23">
        <f>IFERROR(Ohj.lask.[[#This Row],[Painotetut pisteet 4]]/Ohj.lask.[[#Totals],[Painotetut pisteet 4]],0)</f>
        <v>1.7373060780211471E-2</v>
      </c>
      <c r="U7" s="26">
        <f>ROUND(IFERROR('1.1 Jakotaulu'!M$15*Ohj.lask.[[#This Row],[%-osuus 4]],0),0)</f>
        <v>201026</v>
      </c>
      <c r="V7" s="85">
        <f>IFERROR(ROUND(VLOOKUP($A7,'2.5 Päättäneet palaute'!$A:$AC,COLUMN('2.5 Päättäneet palaute'!AB:AB),FALSE),1),0)</f>
        <v>82262.7</v>
      </c>
      <c r="W7" s="23">
        <f>IFERROR(Ohj.lask.[[#This Row],[Painotetut pisteet 5]]/Ohj.lask.[[#Totals],[Painotetut pisteet 5]],0)</f>
        <v>1.2422458826774873E-2</v>
      </c>
      <c r="X7" s="20">
        <f>ROUND(IFERROR('1.1 Jakotaulu'!M$16*Ohj.lask.[[#This Row],[%-osuus 5]],0),0)</f>
        <v>431227</v>
      </c>
      <c r="Y7" s="22">
        <f>IFERROR(Ohj.lask.[[#This Row],[Jaettava € 6]]/Ohj.lask.[[#Totals],[Jaettava € 6]],"")</f>
        <v>1.691079659944757E-2</v>
      </c>
      <c r="Z7" s="26">
        <f>IFERROR(Ohj.lask.[[#This Row],[Jaettava € 1]]+Ohj.lask.[[#This Row],[Jaettava € 2]]+Ohj.lask.[[#This Row],[Jaettava € 3]]+Ohj.lask.[[#This Row],[Jaettava € 4]]+Ohj.lask.[[#This Row],[Jaettava € 5]],"")</f>
        <v>29511200</v>
      </c>
      <c r="AA7" s="20">
        <v>1792000</v>
      </c>
      <c r="AB7" s="20">
        <v>0</v>
      </c>
      <c r="AC7" s="21">
        <v>1200000</v>
      </c>
      <c r="AD7" s="20">
        <v>0</v>
      </c>
      <c r="AE7" s="21">
        <v>420000</v>
      </c>
      <c r="AF7" s="20">
        <v>0</v>
      </c>
      <c r="AG7" s="21">
        <v>720000</v>
      </c>
      <c r="AH7" s="20">
        <v>0</v>
      </c>
      <c r="AI7" s="21">
        <v>170000</v>
      </c>
      <c r="AJ7" s="26">
        <v>0</v>
      </c>
      <c r="AK7" s="20">
        <v>0</v>
      </c>
      <c r="AL7" s="20">
        <v>0</v>
      </c>
      <c r="AM7" s="21">
        <v>4302000</v>
      </c>
      <c r="AN7" s="136">
        <v>0</v>
      </c>
      <c r="AO7" s="20">
        <f>Ohj.lask.[[#This Row],[Jaettava € 1]]+Ohj.lask.[[#This Row],[Päätös 7, €]]</f>
        <v>18490480</v>
      </c>
      <c r="AP7" s="119">
        <f>Ohj.lask.[[#This Row],[Jaettava € 2]]</f>
        <v>6964927</v>
      </c>
      <c r="AQ7" s="20">
        <f>Ohj.lask.[[#This Row],[Jaettava € 3]]+Ohj.lask.[[#This Row],[Jaettava € 4]]+Ohj.lask.[[#This Row],[Jaettava € 5]]</f>
        <v>4055793</v>
      </c>
      <c r="AR7" s="45">
        <f>Ohj.lask.[[#This Row],[Jaettava € 6]]+Ohj.lask.[[#This Row],[Päätös 7, €]]</f>
        <v>29511200</v>
      </c>
      <c r="AS7" s="45">
        <f>ROUND(IFERROR(VLOOKUP(Ohj.lask.[[#This Row],[Y-tunnus]],'3.1 Alv vahvistettu'!A:Y,COLUMN(C:C),FALSE),0),0)</f>
        <v>1258264</v>
      </c>
      <c r="AT7" s="26">
        <f>Ohj.lask.[[#This Row],[Perus-, suoritus- ja vaikuttavuusrahoitus yhteensä, €]]+Ohj.lask.[[#This Row],[Alv-korvaus, €]]</f>
        <v>30769464</v>
      </c>
    </row>
    <row r="8" spans="1:46" ht="12.75" x14ac:dyDescent="0.2">
      <c r="A8" s="147" t="s">
        <v>409</v>
      </c>
      <c r="B8" s="17" t="s">
        <v>23</v>
      </c>
      <c r="C8" s="17" t="s">
        <v>249</v>
      </c>
      <c r="D8" s="17" t="s">
        <v>423</v>
      </c>
      <c r="E8" s="17" t="s">
        <v>663</v>
      </c>
      <c r="F8" s="128">
        <v>329</v>
      </c>
      <c r="G8" s="135">
        <v>20</v>
      </c>
      <c r="H8" s="44">
        <f t="shared" si="0"/>
        <v>349</v>
      </c>
      <c r="I8" s="18">
        <f>IFERROR(VLOOKUP($A8,'2.1 Toteut. op.vuodet'!$A:$Q,COLUMN('2.1 Toteut. op.vuodet'!Q:Q),FALSE),0)</f>
        <v>1.2094488730235278</v>
      </c>
      <c r="J8" s="85">
        <f t="shared" si="1"/>
        <v>422.1</v>
      </c>
      <c r="K8" s="19">
        <f>IFERROR(Ohj.lask.[[#This Row],[Painotetut opiskelija-vuodet]]/Ohj.lask.[[#Totals],[Painotetut opiskelija-vuodet]],0)</f>
        <v>2.0939566951301246E-3</v>
      </c>
      <c r="L8" s="20">
        <f>ROUND(IFERROR('1.1 Jakotaulu'!L$10*Ohj.lask.[[#This Row],[%-osuus 1]],0),0)</f>
        <v>2491169</v>
      </c>
      <c r="M8" s="349">
        <f>IFERROR(ROUND(VLOOKUP($A8,'2.2 Tutk. ja osien pain. pist.'!$A:$Q,COLUMN('2.2 Tutk. ja osien pain. pist.'!P:P),FALSE),1),0)</f>
        <v>41495.599999999999</v>
      </c>
      <c r="N8" s="19">
        <f>IFERROR(Ohj.lask.[[#This Row],[Painotetut pisteet 2]]/Ohj.lask.[[#Totals],[Painotetut pisteet 2]],0)</f>
        <v>2.6517455166817729E-3</v>
      </c>
      <c r="O8" s="26">
        <f>ROUND(IFERROR('1.1 Jakotaulu'!K$11*Ohj.lask.[[#This Row],[%-osuus 2]],0),0)</f>
        <v>981880</v>
      </c>
      <c r="P8" s="350">
        <f>IFERROR(ROUND(VLOOKUP($A8,'2.3 Työll. ja jatko-opisk.'!$A:$K,COLUMN('2.3 Työll. ja jatko-opisk.'!I:I),FALSE),1),0)</f>
        <v>335.9</v>
      </c>
      <c r="Q8" s="19">
        <f>IFERROR(Ohj.lask.[[#This Row],[Painotetut pisteet 3]]/Ohj.lask.[[#Totals],[Painotetut pisteet 3]],0)</f>
        <v>1.7732256130007687E-3</v>
      </c>
      <c r="R8" s="20">
        <f>ROUND(IFERROR('1.1 Jakotaulu'!L$13*Ohj.lask.[[#This Row],[%-osuus 3]],0),0)</f>
        <v>246219</v>
      </c>
      <c r="S8" s="349">
        <f>IFERROR(ROUND(VLOOKUP($A8,'2.4 Aloittaneet palaute'!$A:$K,COLUMN('2.4 Aloittaneet palaute'!J:J),FALSE),1),0)</f>
        <v>2344.3000000000002</v>
      </c>
      <c r="T8" s="23">
        <f>IFERROR(Ohj.lask.[[#This Row],[Painotetut pisteet 4]]/Ohj.lask.[[#Totals],[Painotetut pisteet 4]],0)</f>
        <v>1.8829162318736278E-3</v>
      </c>
      <c r="U8" s="26">
        <f>ROUND(IFERROR('1.1 Jakotaulu'!M$15*Ohj.lask.[[#This Row],[%-osuus 4]],0),0)</f>
        <v>21788</v>
      </c>
      <c r="V8" s="85">
        <f>IFERROR(ROUND(VLOOKUP($A8,'2.5 Päättäneet palaute'!$A:$AC,COLUMN('2.5 Päättäneet palaute'!AB:AB),FALSE),1),0)</f>
        <v>12809.9</v>
      </c>
      <c r="W8" s="23">
        <f>IFERROR(Ohj.lask.[[#This Row],[Painotetut pisteet 5]]/Ohj.lask.[[#Totals],[Painotetut pisteet 5]],0)</f>
        <v>1.9344180938031873E-3</v>
      </c>
      <c r="X8" s="20">
        <f>ROUND(IFERROR('1.1 Jakotaulu'!M$16*Ohj.lask.[[#This Row],[%-osuus 5]],0),0)</f>
        <v>67150</v>
      </c>
      <c r="Y8" s="22">
        <f>IFERROR(Ohj.lask.[[#This Row],[Jaettava € 6]]/Ohj.lask.[[#Totals],[Jaettava € 6]],"")</f>
        <v>2.1822154664939354E-3</v>
      </c>
      <c r="Z8" s="26">
        <f>IFERROR(Ohj.lask.[[#This Row],[Jaettava € 1]]+Ohj.lask.[[#This Row],[Jaettava € 2]]+Ohj.lask.[[#This Row],[Jaettava € 3]]+Ohj.lask.[[#This Row],[Jaettava € 4]]+Ohj.lask.[[#This Row],[Jaettava € 5]],"")</f>
        <v>3808206</v>
      </c>
      <c r="AA8" s="20">
        <v>0</v>
      </c>
      <c r="AB8" s="20">
        <v>0</v>
      </c>
      <c r="AC8" s="21">
        <v>150000</v>
      </c>
      <c r="AD8" s="20">
        <v>0</v>
      </c>
      <c r="AE8" s="21">
        <v>0</v>
      </c>
      <c r="AF8" s="20">
        <v>0</v>
      </c>
      <c r="AG8" s="21">
        <v>0</v>
      </c>
      <c r="AH8" s="20">
        <v>0</v>
      </c>
      <c r="AI8" s="21">
        <v>0</v>
      </c>
      <c r="AJ8" s="26">
        <v>0</v>
      </c>
      <c r="AK8" s="20">
        <v>0</v>
      </c>
      <c r="AL8" s="20">
        <v>0</v>
      </c>
      <c r="AM8" s="21">
        <v>150000</v>
      </c>
      <c r="AN8" s="136">
        <v>0</v>
      </c>
      <c r="AO8" s="20">
        <f>Ohj.lask.[[#This Row],[Jaettava € 1]]+Ohj.lask.[[#This Row],[Päätös 7, €]]</f>
        <v>2491169</v>
      </c>
      <c r="AP8" s="119">
        <f>Ohj.lask.[[#This Row],[Jaettava € 2]]</f>
        <v>981880</v>
      </c>
      <c r="AQ8" s="20">
        <f>Ohj.lask.[[#This Row],[Jaettava € 3]]+Ohj.lask.[[#This Row],[Jaettava € 4]]+Ohj.lask.[[#This Row],[Jaettava € 5]]</f>
        <v>335157</v>
      </c>
      <c r="AR8" s="45">
        <f>Ohj.lask.[[#This Row],[Jaettava € 6]]+Ohj.lask.[[#This Row],[Päätös 7, €]]</f>
        <v>3808206</v>
      </c>
      <c r="AS8" s="45">
        <f>ROUND(IFERROR(VLOOKUP(Ohj.lask.[[#This Row],[Y-tunnus]],'3.1 Alv vahvistettu'!A:Y,COLUMN(C:C),FALSE),0),0)</f>
        <v>383471</v>
      </c>
      <c r="AT8" s="26">
        <f>Ohj.lask.[[#This Row],[Perus-, suoritus- ja vaikuttavuusrahoitus yhteensä, €]]+Ohj.lask.[[#This Row],[Alv-korvaus, €]]</f>
        <v>4191677</v>
      </c>
    </row>
    <row r="9" spans="1:46" ht="12.75" x14ac:dyDescent="0.2">
      <c r="A9" s="147" t="s">
        <v>406</v>
      </c>
      <c r="B9" s="17" t="s">
        <v>189</v>
      </c>
      <c r="C9" s="17" t="s">
        <v>238</v>
      </c>
      <c r="D9" s="17" t="s">
        <v>423</v>
      </c>
      <c r="E9" s="17" t="s">
        <v>663</v>
      </c>
      <c r="F9" s="128">
        <v>20</v>
      </c>
      <c r="G9" s="135">
        <v>0</v>
      </c>
      <c r="H9" s="44">
        <f t="shared" si="0"/>
        <v>20</v>
      </c>
      <c r="I9" s="18">
        <f>IFERROR(VLOOKUP($A9,'2.1 Toteut. op.vuodet'!$A:$Q,COLUMN('2.1 Toteut. op.vuodet'!Q:Q),FALSE),0)</f>
        <v>0.86732533904518883</v>
      </c>
      <c r="J9" s="85">
        <f t="shared" si="1"/>
        <v>17.3</v>
      </c>
      <c r="K9" s="19">
        <f>IFERROR(Ohj.lask.[[#This Row],[Painotetut opiskelija-vuodet]]/Ohj.lask.[[#Totals],[Painotetut opiskelija-vuodet]],0)</f>
        <v>8.5821963576761801E-5</v>
      </c>
      <c r="L9" s="20">
        <f>ROUND(IFERROR('1.1 Jakotaulu'!L$10*Ohj.lask.[[#This Row],[%-osuus 1]],0),0)</f>
        <v>102102</v>
      </c>
      <c r="M9" s="349">
        <f>IFERROR(ROUND(VLOOKUP($A9,'2.2 Tutk. ja osien pain. pist.'!$A:$Q,COLUMN('2.2 Tutk. ja osien pain. pist.'!P:P),FALSE),1),0)</f>
        <v>1479.1</v>
      </c>
      <c r="N9" s="19">
        <f>IFERROR(Ohj.lask.[[#This Row],[Painotetut pisteet 2]]/Ohj.lask.[[#Totals],[Painotetut pisteet 2]],0)</f>
        <v>9.4520787594925973E-5</v>
      </c>
      <c r="O9" s="26">
        <f>ROUND(IFERROR('1.1 Jakotaulu'!K$11*Ohj.lask.[[#This Row],[%-osuus 2]],0),0)</f>
        <v>34999</v>
      </c>
      <c r="P9" s="350">
        <f>IFERROR(ROUND(VLOOKUP($A9,'2.3 Työll. ja jatko-opisk.'!$A:$K,COLUMN('2.3 Työll. ja jatko-opisk.'!I:I),FALSE),1),0)</f>
        <v>32.5</v>
      </c>
      <c r="Q9" s="19">
        <f>IFERROR(Ohj.lask.[[#This Row],[Painotetut pisteet 3]]/Ohj.lask.[[#Totals],[Painotetut pisteet 3]],0)</f>
        <v>1.7156842043026193E-4</v>
      </c>
      <c r="R9" s="20">
        <f>ROUND(IFERROR('1.1 Jakotaulu'!L$13*Ohj.lask.[[#This Row],[%-osuus 3]],0),0)</f>
        <v>23823</v>
      </c>
      <c r="S9" s="349">
        <f>IFERROR(ROUND(VLOOKUP($A9,'2.4 Aloittaneet palaute'!$A:$K,COLUMN('2.4 Aloittaneet palaute'!J:J),FALSE),1),0)</f>
        <v>0</v>
      </c>
      <c r="T9" s="23">
        <f>IFERROR(Ohj.lask.[[#This Row],[Painotetut pisteet 4]]/Ohj.lask.[[#Totals],[Painotetut pisteet 4]],0)</f>
        <v>0</v>
      </c>
      <c r="U9" s="26">
        <f>ROUND(IFERROR('1.1 Jakotaulu'!M$15*Ohj.lask.[[#This Row],[%-osuus 4]],0),0)</f>
        <v>0</v>
      </c>
      <c r="V9" s="85">
        <f>IFERROR(ROUND(VLOOKUP($A9,'2.5 Päättäneet palaute'!$A:$AC,COLUMN('2.5 Päättäneet palaute'!AB:AB),FALSE),1),0)</f>
        <v>0</v>
      </c>
      <c r="W9" s="23">
        <f>IFERROR(Ohj.lask.[[#This Row],[Painotetut pisteet 5]]/Ohj.lask.[[#Totals],[Painotetut pisteet 5]],0)</f>
        <v>0</v>
      </c>
      <c r="X9" s="20">
        <f>ROUND(IFERROR('1.1 Jakotaulu'!M$16*Ohj.lask.[[#This Row],[%-osuus 5]],0),0)</f>
        <v>0</v>
      </c>
      <c r="Y9" s="22">
        <f>IFERROR(Ohj.lask.[[#This Row],[Jaettava € 6]]/Ohj.lask.[[#Totals],[Jaettava € 6]],"")</f>
        <v>9.2214245166902765E-5</v>
      </c>
      <c r="Z9" s="26">
        <f>IFERROR(Ohj.lask.[[#This Row],[Jaettava € 1]]+Ohj.lask.[[#This Row],[Jaettava € 2]]+Ohj.lask.[[#This Row],[Jaettava € 3]]+Ohj.lask.[[#This Row],[Jaettava € 4]]+Ohj.lask.[[#This Row],[Jaettava € 5]],"")</f>
        <v>160924</v>
      </c>
      <c r="AA9" s="20">
        <v>2553630</v>
      </c>
      <c r="AB9" s="20">
        <v>1250000</v>
      </c>
      <c r="AC9" s="21">
        <v>0</v>
      </c>
      <c r="AD9" s="20">
        <v>0</v>
      </c>
      <c r="AE9" s="21">
        <v>0</v>
      </c>
      <c r="AF9" s="20">
        <v>0</v>
      </c>
      <c r="AG9" s="21">
        <v>0</v>
      </c>
      <c r="AH9" s="20">
        <v>0</v>
      </c>
      <c r="AI9" s="21">
        <v>0</v>
      </c>
      <c r="AJ9" s="26">
        <v>0</v>
      </c>
      <c r="AK9" s="20">
        <v>0</v>
      </c>
      <c r="AL9" s="20">
        <v>0</v>
      </c>
      <c r="AM9" s="21">
        <v>2553630</v>
      </c>
      <c r="AN9" s="136">
        <v>1250000</v>
      </c>
      <c r="AO9" s="20">
        <f>Ohj.lask.[[#This Row],[Jaettava € 1]]+Ohj.lask.[[#This Row],[Päätös 7, €]]</f>
        <v>1352102</v>
      </c>
      <c r="AP9" s="119">
        <f>Ohj.lask.[[#This Row],[Jaettava € 2]]</f>
        <v>34999</v>
      </c>
      <c r="AQ9" s="20">
        <f>Ohj.lask.[[#This Row],[Jaettava € 3]]+Ohj.lask.[[#This Row],[Jaettava € 4]]+Ohj.lask.[[#This Row],[Jaettava € 5]]</f>
        <v>23823</v>
      </c>
      <c r="AR9" s="45">
        <f>Ohj.lask.[[#This Row],[Jaettava € 6]]+Ohj.lask.[[#This Row],[Päätös 7, €]]</f>
        <v>1410924</v>
      </c>
      <c r="AS9" s="45">
        <f>ROUND(IFERROR(VLOOKUP(Ohj.lask.[[#This Row],[Y-tunnus]],'3.1 Alv vahvistettu'!A:Y,COLUMN(C:C),FALSE),0),0)</f>
        <v>45032</v>
      </c>
      <c r="AT9" s="26">
        <f>Ohj.lask.[[#This Row],[Perus-, suoritus- ja vaikuttavuusrahoitus yhteensä, €]]+Ohj.lask.[[#This Row],[Alv-korvaus, €]]</f>
        <v>1455956</v>
      </c>
    </row>
    <row r="10" spans="1:46" ht="12.75" x14ac:dyDescent="0.2">
      <c r="A10" s="147" t="s">
        <v>408</v>
      </c>
      <c r="B10" s="17" t="s">
        <v>24</v>
      </c>
      <c r="C10" s="17" t="s">
        <v>249</v>
      </c>
      <c r="D10" s="17" t="s">
        <v>423</v>
      </c>
      <c r="E10" s="17" t="s">
        <v>663</v>
      </c>
      <c r="F10" s="128">
        <v>79</v>
      </c>
      <c r="G10" s="135">
        <v>17</v>
      </c>
      <c r="H10" s="44">
        <f t="shared" si="0"/>
        <v>96</v>
      </c>
      <c r="I10" s="18">
        <f>IFERROR(VLOOKUP($A10,'2.1 Toteut. op.vuodet'!$A:$Q,COLUMN('2.1 Toteut. op.vuodet'!Q:Q),FALSE),0)</f>
        <v>5.4551501623901757</v>
      </c>
      <c r="J10" s="85">
        <f t="shared" si="1"/>
        <v>523.70000000000005</v>
      </c>
      <c r="K10" s="19">
        <f>IFERROR(Ohj.lask.[[#This Row],[Painotetut opiskelija-vuodet]]/Ohj.lask.[[#Totals],[Painotetut opiskelija-vuodet]],0)</f>
        <v>2.5979747008757314E-3</v>
      </c>
      <c r="L10" s="20">
        <f>ROUND(IFERROR('1.1 Jakotaulu'!L$10*Ohj.lask.[[#This Row],[%-osuus 1]],0),0)</f>
        <v>3090796</v>
      </c>
      <c r="M10" s="349">
        <f>IFERROR(ROUND(VLOOKUP($A10,'2.2 Tutk. ja osien pain. pist.'!$A:$Q,COLUMN('2.2 Tutk. ja osien pain. pist.'!P:P),FALSE),1),0)</f>
        <v>22038.2</v>
      </c>
      <c r="N10" s="19">
        <f>IFERROR(Ohj.lask.[[#This Row],[Painotetut pisteet 2]]/Ohj.lask.[[#Totals],[Painotetut pisteet 2]],0)</f>
        <v>1.408334812503886E-3</v>
      </c>
      <c r="O10" s="26">
        <f>ROUND(IFERROR('1.1 Jakotaulu'!K$11*Ohj.lask.[[#This Row],[%-osuus 2]],0),0)</f>
        <v>521474</v>
      </c>
      <c r="P10" s="350">
        <f>IFERROR(ROUND(VLOOKUP($A10,'2.3 Työll. ja jatko-opisk.'!$A:$K,COLUMN('2.3 Työll. ja jatko-opisk.'!I:I),FALSE),1),0)</f>
        <v>0</v>
      </c>
      <c r="Q10" s="19">
        <f>IFERROR(Ohj.lask.[[#This Row],[Painotetut pisteet 3]]/Ohj.lask.[[#Totals],[Painotetut pisteet 3]],0)</f>
        <v>0</v>
      </c>
      <c r="R10" s="20">
        <f>ROUND(IFERROR('1.1 Jakotaulu'!L$13*Ohj.lask.[[#This Row],[%-osuus 3]],0),0)</f>
        <v>0</v>
      </c>
      <c r="S10" s="349">
        <f>IFERROR(ROUND(VLOOKUP($A10,'2.4 Aloittaneet palaute'!$A:$K,COLUMN('2.4 Aloittaneet palaute'!J:J),FALSE),1),0)</f>
        <v>395</v>
      </c>
      <c r="T10" s="23">
        <f>IFERROR(Ohj.lask.[[#This Row],[Painotetut pisteet 4]]/Ohj.lask.[[#Totals],[Painotetut pisteet 4]],0)</f>
        <v>3.1725969866914768E-4</v>
      </c>
      <c r="U10" s="26">
        <f>ROUND(IFERROR('1.1 Jakotaulu'!M$15*Ohj.lask.[[#This Row],[%-osuus 4]],0),0)</f>
        <v>3671</v>
      </c>
      <c r="V10" s="85">
        <f>IFERROR(ROUND(VLOOKUP($A10,'2.5 Päättäneet palaute'!$A:$AC,COLUMN('2.5 Päättäneet palaute'!AB:AB),FALSE),1),0)</f>
        <v>2820</v>
      </c>
      <c r="W10" s="23">
        <f>IFERROR(Ohj.lask.[[#This Row],[Painotetut pisteet 5]]/Ohj.lask.[[#Totals],[Painotetut pisteet 5]],0)</f>
        <v>4.2584712015901672E-4</v>
      </c>
      <c r="X10" s="20">
        <f>ROUND(IFERROR('1.1 Jakotaulu'!M$16*Ohj.lask.[[#This Row],[%-osuus 5]],0),0)</f>
        <v>14783</v>
      </c>
      <c r="Y10" s="22">
        <f>IFERROR(Ohj.lask.[[#This Row],[Jaettava € 6]]/Ohj.lask.[[#Totals],[Jaettava € 6]],"")</f>
        <v>2.0805129941423145E-3</v>
      </c>
      <c r="Z10" s="26">
        <f>IFERROR(Ohj.lask.[[#This Row],[Jaettava € 1]]+Ohj.lask.[[#This Row],[Jaettava € 2]]+Ohj.lask.[[#This Row],[Jaettava € 3]]+Ohj.lask.[[#This Row],[Jaettava € 4]]+Ohj.lask.[[#This Row],[Jaettava € 5]],"")</f>
        <v>3630724</v>
      </c>
      <c r="AA10" s="20">
        <v>0</v>
      </c>
      <c r="AB10" s="20">
        <v>0</v>
      </c>
      <c r="AC10" s="21">
        <v>0</v>
      </c>
      <c r="AD10" s="20">
        <v>0</v>
      </c>
      <c r="AE10" s="21">
        <v>0</v>
      </c>
      <c r="AF10" s="20">
        <v>0</v>
      </c>
      <c r="AG10" s="21">
        <v>0</v>
      </c>
      <c r="AH10" s="20">
        <v>0</v>
      </c>
      <c r="AI10" s="21">
        <v>0</v>
      </c>
      <c r="AJ10" s="26">
        <v>0</v>
      </c>
      <c r="AK10" s="20">
        <v>0</v>
      </c>
      <c r="AL10" s="20">
        <v>0</v>
      </c>
      <c r="AM10" s="21">
        <v>0</v>
      </c>
      <c r="AN10" s="136">
        <v>0</v>
      </c>
      <c r="AO10" s="20">
        <f>Ohj.lask.[[#This Row],[Jaettava € 1]]+Ohj.lask.[[#This Row],[Päätös 7, €]]</f>
        <v>3090796</v>
      </c>
      <c r="AP10" s="119">
        <f>Ohj.lask.[[#This Row],[Jaettava € 2]]</f>
        <v>521474</v>
      </c>
      <c r="AQ10" s="20">
        <f>Ohj.lask.[[#This Row],[Jaettava € 3]]+Ohj.lask.[[#This Row],[Jaettava € 4]]+Ohj.lask.[[#This Row],[Jaettava € 5]]</f>
        <v>18454</v>
      </c>
      <c r="AR10" s="45">
        <f>Ohj.lask.[[#This Row],[Jaettava € 6]]+Ohj.lask.[[#This Row],[Päätös 7, €]]</f>
        <v>3630724</v>
      </c>
      <c r="AS10" s="45">
        <f>ROUND(IFERROR(VLOOKUP(Ohj.lask.[[#This Row],[Y-tunnus]],'3.1 Alv vahvistettu'!A:Y,COLUMN(C:C),FALSE),0),0)</f>
        <v>111638</v>
      </c>
      <c r="AT10" s="26">
        <f>Ohj.lask.[[#This Row],[Perus-, suoritus- ja vaikuttavuusrahoitus yhteensä, €]]+Ohj.lask.[[#This Row],[Alv-korvaus, €]]</f>
        <v>3742362</v>
      </c>
    </row>
    <row r="11" spans="1:46" ht="12.75" x14ac:dyDescent="0.2">
      <c r="A11" s="147" t="s">
        <v>407</v>
      </c>
      <c r="B11" s="17" t="s">
        <v>27</v>
      </c>
      <c r="C11" s="17" t="s">
        <v>238</v>
      </c>
      <c r="D11" s="17" t="s">
        <v>423</v>
      </c>
      <c r="E11" s="17" t="s">
        <v>663</v>
      </c>
      <c r="F11" s="128">
        <v>986</v>
      </c>
      <c r="G11" s="135">
        <v>140</v>
      </c>
      <c r="H11" s="44">
        <f t="shared" si="0"/>
        <v>1126</v>
      </c>
      <c r="I11" s="18">
        <f>IFERROR(VLOOKUP($A11,'2.1 Toteut. op.vuodet'!$A:$Q,COLUMN('2.1 Toteut. op.vuodet'!Q:Q),FALSE),0)</f>
        <v>4.9254666872708039</v>
      </c>
      <c r="J11" s="85">
        <f t="shared" si="1"/>
        <v>5546.1</v>
      </c>
      <c r="K11" s="19">
        <f>IFERROR(Ohj.lask.[[#This Row],[Painotetut opiskelija-vuodet]]/Ohj.lask.[[#Totals],[Painotetut opiskelija-vuodet]],0)</f>
        <v>2.7513132496709745E-2</v>
      </c>
      <c r="L11" s="20">
        <f>ROUND(IFERROR('1.1 Jakotaulu'!L$10*Ohj.lask.[[#This Row],[%-osuus 1]],0),0)</f>
        <v>32732222</v>
      </c>
      <c r="M11" s="349">
        <f>IFERROR(ROUND(VLOOKUP($A11,'2.2 Tutk. ja osien pain. pist.'!$A:$Q,COLUMN('2.2 Tutk. ja osien pain. pist.'!P:P),FALSE),1),0)</f>
        <v>216166.9</v>
      </c>
      <c r="N11" s="19">
        <f>IFERROR(Ohj.lask.[[#This Row],[Painotetut pisteet 2]]/Ohj.lask.[[#Totals],[Painotetut pisteet 2]],0)</f>
        <v>1.3813985288319655E-2</v>
      </c>
      <c r="O11" s="26">
        <f>ROUND(IFERROR('1.1 Jakotaulu'!K$11*Ohj.lask.[[#This Row],[%-osuus 2]],0),0)</f>
        <v>5115001</v>
      </c>
      <c r="P11" s="350">
        <f>IFERROR(ROUND(VLOOKUP($A11,'2.3 Työll. ja jatko-opisk.'!$A:$K,COLUMN('2.3 Työll. ja jatko-opisk.'!I:I),FALSE),1),0)</f>
        <v>415.2</v>
      </c>
      <c r="Q11" s="19">
        <f>IFERROR(Ohj.lask.[[#This Row],[Painotetut pisteet 3]]/Ohj.lask.[[#Totals],[Painotetut pisteet 3]],0)</f>
        <v>2.1918525588506079E-3</v>
      </c>
      <c r="R11" s="20">
        <f>ROUND(IFERROR('1.1 Jakotaulu'!L$13*Ohj.lask.[[#This Row],[%-osuus 3]],0),0)</f>
        <v>304347</v>
      </c>
      <c r="S11" s="349">
        <f>IFERROR(ROUND(VLOOKUP($A11,'2.4 Aloittaneet palaute'!$A:$K,COLUMN('2.4 Aloittaneet palaute'!J:J),FALSE),1),0)</f>
        <v>5278.7</v>
      </c>
      <c r="T11" s="23">
        <f>IFERROR(Ohj.lask.[[#This Row],[Painotetut pisteet 4]]/Ohj.lask.[[#Totals],[Painotetut pisteet 4]],0)</f>
        <v>4.2397943578856455E-3</v>
      </c>
      <c r="U11" s="26">
        <f>ROUND(IFERROR('1.1 Jakotaulu'!M$15*Ohj.lask.[[#This Row],[%-osuus 4]],0),0)</f>
        <v>49059</v>
      </c>
      <c r="V11" s="85">
        <f>IFERROR(ROUND(VLOOKUP($A11,'2.5 Päättäneet palaute'!$A:$AC,COLUMN('2.5 Päättäneet palaute'!AB:AB),FALSE),1),0)</f>
        <v>29997.599999999999</v>
      </c>
      <c r="W11" s="23">
        <f>IFERROR(Ohj.lask.[[#This Row],[Painotetut pisteet 5]]/Ohj.lask.[[#Totals],[Painotetut pisteet 5]],0)</f>
        <v>4.5299260892489781E-3</v>
      </c>
      <c r="X11" s="20">
        <f>ROUND(IFERROR('1.1 Jakotaulu'!M$16*Ohj.lask.[[#This Row],[%-osuus 5]],0),0)</f>
        <v>157249</v>
      </c>
      <c r="Y11" s="22">
        <f>IFERROR(Ohj.lask.[[#This Row],[Jaettava € 6]]/Ohj.lask.[[#Totals],[Jaettava € 6]],"")</f>
        <v>2.198020659425658E-2</v>
      </c>
      <c r="Z11" s="26">
        <f>IFERROR(Ohj.lask.[[#This Row],[Jaettava € 1]]+Ohj.lask.[[#This Row],[Jaettava € 2]]+Ohj.lask.[[#This Row],[Jaettava € 3]]+Ohj.lask.[[#This Row],[Jaettava € 4]]+Ohj.lask.[[#This Row],[Jaettava € 5]],"")</f>
        <v>38357878</v>
      </c>
      <c r="AA11" s="20">
        <v>0</v>
      </c>
      <c r="AB11" s="20">
        <v>0</v>
      </c>
      <c r="AC11" s="21">
        <v>0</v>
      </c>
      <c r="AD11" s="20">
        <v>0</v>
      </c>
      <c r="AE11" s="21">
        <v>0</v>
      </c>
      <c r="AF11" s="20">
        <v>0</v>
      </c>
      <c r="AG11" s="21">
        <v>0</v>
      </c>
      <c r="AH11" s="20">
        <v>0</v>
      </c>
      <c r="AI11" s="21">
        <v>120000</v>
      </c>
      <c r="AJ11" s="26">
        <v>100000</v>
      </c>
      <c r="AK11" s="20">
        <v>0</v>
      </c>
      <c r="AL11" s="20">
        <v>0</v>
      </c>
      <c r="AM11" s="21">
        <v>120000</v>
      </c>
      <c r="AN11" s="136">
        <v>100000</v>
      </c>
      <c r="AO11" s="20">
        <f>Ohj.lask.[[#This Row],[Jaettava € 1]]+Ohj.lask.[[#This Row],[Päätös 7, €]]</f>
        <v>32832222</v>
      </c>
      <c r="AP11" s="119">
        <f>Ohj.lask.[[#This Row],[Jaettava € 2]]</f>
        <v>5115001</v>
      </c>
      <c r="AQ11" s="20">
        <f>Ohj.lask.[[#This Row],[Jaettava € 3]]+Ohj.lask.[[#This Row],[Jaettava € 4]]+Ohj.lask.[[#This Row],[Jaettava € 5]]</f>
        <v>510655</v>
      </c>
      <c r="AR11" s="45">
        <f>Ohj.lask.[[#This Row],[Jaettava € 6]]+Ohj.lask.[[#This Row],[Päätös 7, €]]</f>
        <v>38457878</v>
      </c>
      <c r="AS11" s="45">
        <f>ROUND(IFERROR(VLOOKUP(Ohj.lask.[[#This Row],[Y-tunnus]],'3.1 Alv vahvistettu'!A:Y,COLUMN(C:C),FALSE),0),0)</f>
        <v>2068624</v>
      </c>
      <c r="AT11" s="26">
        <f>Ohj.lask.[[#This Row],[Perus-, suoritus- ja vaikuttavuusrahoitus yhteensä, €]]+Ohj.lask.[[#This Row],[Alv-korvaus, €]]</f>
        <v>40526502</v>
      </c>
    </row>
    <row r="12" spans="1:46" ht="12.75" x14ac:dyDescent="0.2">
      <c r="A12" s="147" t="s">
        <v>405</v>
      </c>
      <c r="B12" s="17" t="s">
        <v>207</v>
      </c>
      <c r="C12" s="17" t="s">
        <v>238</v>
      </c>
      <c r="D12" s="17" t="s">
        <v>423</v>
      </c>
      <c r="E12" s="17" t="s">
        <v>663</v>
      </c>
      <c r="F12" s="128">
        <v>68</v>
      </c>
      <c r="G12" s="135">
        <v>9</v>
      </c>
      <c r="H12" s="44">
        <f t="shared" si="0"/>
        <v>77</v>
      </c>
      <c r="I12" s="18">
        <f>IFERROR(VLOOKUP($A12,'2.1 Toteut. op.vuodet'!$A:$Q,COLUMN('2.1 Toteut. op.vuodet'!Q:Q),FALSE),0)</f>
        <v>0.56865015725101997</v>
      </c>
      <c r="J12" s="85">
        <f t="shared" si="1"/>
        <v>43.8</v>
      </c>
      <c r="K12" s="19">
        <f>IFERROR(Ohj.lask.[[#This Row],[Painotetut opiskelija-vuodet]]/Ohj.lask.[[#Totals],[Painotetut opiskelija-vuodet]],0)</f>
        <v>2.1728335287064544E-4</v>
      </c>
      <c r="L12" s="20">
        <f>ROUND(IFERROR('1.1 Jakotaulu'!L$10*Ohj.lask.[[#This Row],[%-osuus 1]],0),0)</f>
        <v>258501</v>
      </c>
      <c r="M12" s="349">
        <f>IFERROR(ROUND(VLOOKUP($A12,'2.2 Tutk. ja osien pain. pist.'!$A:$Q,COLUMN('2.2 Tutk. ja osien pain. pist.'!P:P),FALSE),1),0)</f>
        <v>5489.2</v>
      </c>
      <c r="N12" s="19">
        <f>IFERROR(Ohj.lask.[[#This Row],[Painotetut pisteet 2]]/Ohj.lask.[[#Totals],[Painotetut pisteet 2]],0)</f>
        <v>3.5078325148135193E-4</v>
      </c>
      <c r="O12" s="26">
        <f>ROUND(IFERROR('1.1 Jakotaulu'!K$11*Ohj.lask.[[#This Row],[%-osuus 2]],0),0)</f>
        <v>129887</v>
      </c>
      <c r="P12" s="350">
        <f>IFERROR(ROUND(VLOOKUP($A12,'2.3 Työll. ja jatko-opisk.'!$A:$K,COLUMN('2.3 Työll. ja jatko-opisk.'!I:I),FALSE),1),0)</f>
        <v>124.6</v>
      </c>
      <c r="Q12" s="19">
        <f>IFERROR(Ohj.lask.[[#This Row],[Painotetut pisteet 3]]/Ohj.lask.[[#Totals],[Painotetut pisteet 3]],0)</f>
        <v>6.5776692878801953E-4</v>
      </c>
      <c r="R12" s="20">
        <f>ROUND(IFERROR('1.1 Jakotaulu'!L$13*Ohj.lask.[[#This Row],[%-osuus 3]],0),0)</f>
        <v>91333</v>
      </c>
      <c r="S12" s="349">
        <f>IFERROR(ROUND(VLOOKUP($A12,'2.4 Aloittaneet palaute'!$A:$K,COLUMN('2.4 Aloittaneet palaute'!J:J),FALSE),1),0)</f>
        <v>3063.9</v>
      </c>
      <c r="T12" s="23">
        <f>IFERROR(Ohj.lask.[[#This Row],[Painotetut pisteet 4]]/Ohj.lask.[[#Totals],[Painotetut pisteet 4]],0)</f>
        <v>2.4608911158288649E-3</v>
      </c>
      <c r="U12" s="26">
        <f>ROUND(IFERROR('1.1 Jakotaulu'!M$15*Ohj.lask.[[#This Row],[%-osuus 4]],0),0)</f>
        <v>28475</v>
      </c>
      <c r="V12" s="85">
        <f>IFERROR(ROUND(VLOOKUP($A12,'2.5 Päättäneet palaute'!$A:$AC,COLUMN('2.5 Päättäneet palaute'!AB:AB),FALSE),1),0)</f>
        <v>14847.8</v>
      </c>
      <c r="W12" s="23">
        <f>IFERROR(Ohj.lask.[[#This Row],[Painotetut pisteet 5]]/Ohj.lask.[[#Totals],[Painotetut pisteet 5]],0)</f>
        <v>2.2421605924457617E-3</v>
      </c>
      <c r="X12" s="20">
        <f>ROUND(IFERROR('1.1 Jakotaulu'!M$16*Ohj.lask.[[#This Row],[%-osuus 5]],0),0)</f>
        <v>77833</v>
      </c>
      <c r="Y12" s="22">
        <f>IFERROR(Ohj.lask.[[#This Row],[Jaettava € 6]]/Ohj.lask.[[#Totals],[Jaettava € 6]],"")</f>
        <v>3.3581207203968867E-4</v>
      </c>
      <c r="Z12" s="26">
        <f>IFERROR(Ohj.lask.[[#This Row],[Jaettava € 1]]+Ohj.lask.[[#This Row],[Jaettava € 2]]+Ohj.lask.[[#This Row],[Jaettava € 3]]+Ohj.lask.[[#This Row],[Jaettava € 4]]+Ohj.lask.[[#This Row],[Jaettava € 5]],"")</f>
        <v>586029</v>
      </c>
      <c r="AA12" s="20">
        <v>0</v>
      </c>
      <c r="AB12" s="20">
        <v>0</v>
      </c>
      <c r="AC12" s="21">
        <v>0</v>
      </c>
      <c r="AD12" s="20">
        <v>0</v>
      </c>
      <c r="AE12" s="21">
        <v>0</v>
      </c>
      <c r="AF12" s="20">
        <v>0</v>
      </c>
      <c r="AG12" s="21">
        <v>0</v>
      </c>
      <c r="AH12" s="20">
        <v>0</v>
      </c>
      <c r="AI12" s="21">
        <v>60000</v>
      </c>
      <c r="AJ12" s="26">
        <v>0</v>
      </c>
      <c r="AK12" s="20">
        <v>0</v>
      </c>
      <c r="AL12" s="20">
        <v>0</v>
      </c>
      <c r="AM12" s="21">
        <v>60000</v>
      </c>
      <c r="AN12" s="136">
        <v>0</v>
      </c>
      <c r="AO12" s="20">
        <f>Ohj.lask.[[#This Row],[Jaettava € 1]]+Ohj.lask.[[#This Row],[Päätös 7, €]]</f>
        <v>258501</v>
      </c>
      <c r="AP12" s="119">
        <f>Ohj.lask.[[#This Row],[Jaettava € 2]]</f>
        <v>129887</v>
      </c>
      <c r="AQ12" s="20">
        <f>Ohj.lask.[[#This Row],[Jaettava € 3]]+Ohj.lask.[[#This Row],[Jaettava € 4]]+Ohj.lask.[[#This Row],[Jaettava € 5]]</f>
        <v>197641</v>
      </c>
      <c r="AR12" s="45">
        <f>Ohj.lask.[[#This Row],[Jaettava € 6]]+Ohj.lask.[[#This Row],[Päätös 7, €]]</f>
        <v>586029</v>
      </c>
      <c r="AS12" s="45">
        <f>ROUND(IFERROR(VLOOKUP(Ohj.lask.[[#This Row],[Y-tunnus]],'3.1 Alv vahvistettu'!A:Y,COLUMN(C:C),FALSE),0),0)</f>
        <v>37781</v>
      </c>
      <c r="AT12" s="26">
        <f>Ohj.lask.[[#This Row],[Perus-, suoritus- ja vaikuttavuusrahoitus yhteensä, €]]+Ohj.lask.[[#This Row],[Alv-korvaus, €]]</f>
        <v>623810</v>
      </c>
    </row>
    <row r="13" spans="1:46" ht="12.75" x14ac:dyDescent="0.2">
      <c r="A13" s="147" t="s">
        <v>404</v>
      </c>
      <c r="B13" s="17" t="s">
        <v>29</v>
      </c>
      <c r="C13" s="113" t="s">
        <v>238</v>
      </c>
      <c r="D13" s="113" t="s">
        <v>423</v>
      </c>
      <c r="E13" s="113" t="s">
        <v>664</v>
      </c>
      <c r="F13" s="127">
        <v>1592</v>
      </c>
      <c r="G13" s="135">
        <v>139</v>
      </c>
      <c r="H13" s="44">
        <f t="shared" si="0"/>
        <v>1731</v>
      </c>
      <c r="I13" s="18">
        <f>IFERROR(VLOOKUP($A13,'2.1 Toteut. op.vuodet'!$A:$Q,COLUMN('2.1 Toteut. op.vuodet'!Q:Q),FALSE),0)</f>
        <v>1.0397313269662878</v>
      </c>
      <c r="J13" s="85">
        <f t="shared" si="1"/>
        <v>1799.8</v>
      </c>
      <c r="K13" s="19">
        <f>IFERROR(Ohj.lask.[[#This Row],[Painotetut opiskelija-vuodet]]/Ohj.lask.[[#Totals],[Painotetut opiskelija-vuodet]],0)</f>
        <v>8.9284606962691249E-3</v>
      </c>
      <c r="L13" s="20">
        <f>ROUND(IFERROR('1.1 Jakotaulu'!L$10*Ohj.lask.[[#This Row],[%-osuus 1]],0),0)</f>
        <v>10622141</v>
      </c>
      <c r="M13" s="349">
        <f>IFERROR(ROUND(VLOOKUP($A13,'2.2 Tutk. ja osien pain. pist.'!$A:$Q,COLUMN('2.2 Tutk. ja osien pain. pist.'!P:P),FALSE),1),0)</f>
        <v>136890.20000000001</v>
      </c>
      <c r="N13" s="19">
        <f>IFERROR(Ohj.lask.[[#This Row],[Painotetut pisteet 2]]/Ohj.lask.[[#Totals],[Painotetut pisteet 2]],0)</f>
        <v>8.7478666202602511E-3</v>
      </c>
      <c r="O13" s="26">
        <f>ROUND(IFERROR('1.1 Jakotaulu'!K$11*Ohj.lask.[[#This Row],[%-osuus 2]],0),0)</f>
        <v>3239134</v>
      </c>
      <c r="P13" s="350">
        <f>IFERROR(ROUND(VLOOKUP($A13,'2.3 Työll. ja jatko-opisk.'!$A:$K,COLUMN('2.3 Työll. ja jatko-opisk.'!I:I),FALSE),1),0)</f>
        <v>1774.6</v>
      </c>
      <c r="Q13" s="23">
        <f>IFERROR(Ohj.lask.[[#This Row],[Painotetut pisteet 3]]/Ohj.lask.[[#Totals],[Painotetut pisteet 3]],0)</f>
        <v>9.3681636583243938E-3</v>
      </c>
      <c r="R13" s="20">
        <f>ROUND(IFERROR('1.1 Jakotaulu'!L$13*Ohj.lask.[[#This Row],[%-osuus 3]],0),0)</f>
        <v>1300806</v>
      </c>
      <c r="S13" s="349">
        <f>IFERROR(ROUND(VLOOKUP($A13,'2.4 Aloittaneet palaute'!$A:$K,COLUMN('2.4 Aloittaneet palaute'!J:J),FALSE),1),0)</f>
        <v>10276</v>
      </c>
      <c r="T13" s="23">
        <f>IFERROR(Ohj.lask.[[#This Row],[Painotetut pisteet 4]]/Ohj.lask.[[#Totals],[Painotetut pisteet 4]],0)</f>
        <v>8.2535713000611698E-3</v>
      </c>
      <c r="U13" s="26">
        <f>ROUND(IFERROR('1.1 Jakotaulu'!M$15*Ohj.lask.[[#This Row],[%-osuus 4]],0),0)</f>
        <v>95503</v>
      </c>
      <c r="V13" s="85">
        <f>IFERROR(ROUND(VLOOKUP($A13,'2.5 Päättäneet palaute'!$A:$AC,COLUMN('2.5 Päättäneet palaute'!AB:AB),FALSE),1),0)</f>
        <v>41845.9</v>
      </c>
      <c r="W13" s="23">
        <f>IFERROR(Ohj.lask.[[#This Row],[Painotetut pisteet 5]]/Ohj.lask.[[#Totals],[Painotetut pisteet 5]],0)</f>
        <v>6.3191333352702831E-3</v>
      </c>
      <c r="X13" s="20">
        <f>ROUND(IFERROR('1.1 Jakotaulu'!M$16*Ohj.lask.[[#This Row],[%-osuus 5]],0),0)</f>
        <v>219359</v>
      </c>
      <c r="Y13" s="22">
        <f>IFERROR(Ohj.lask.[[#This Row],[Jaettava € 6]]/Ohj.lask.[[#Totals],[Jaettava € 6]],"")</f>
        <v>8.8687493241292759E-3</v>
      </c>
      <c r="Z13" s="26">
        <f>IFERROR(Ohj.lask.[[#This Row],[Jaettava € 1]]+Ohj.lask.[[#This Row],[Jaettava € 2]]+Ohj.lask.[[#This Row],[Jaettava € 3]]+Ohj.lask.[[#This Row],[Jaettava € 4]]+Ohj.lask.[[#This Row],[Jaettava € 5]],"")</f>
        <v>15476943</v>
      </c>
      <c r="AA13" s="20">
        <v>0</v>
      </c>
      <c r="AB13" s="20">
        <v>0</v>
      </c>
      <c r="AC13" s="21">
        <v>325000</v>
      </c>
      <c r="AD13" s="20">
        <v>0</v>
      </c>
      <c r="AE13" s="21">
        <v>360000</v>
      </c>
      <c r="AF13" s="20">
        <v>0</v>
      </c>
      <c r="AG13" s="21">
        <v>0</v>
      </c>
      <c r="AH13" s="20">
        <v>0</v>
      </c>
      <c r="AI13" s="21">
        <v>0</v>
      </c>
      <c r="AJ13" s="26">
        <v>0</v>
      </c>
      <c r="AK13" s="20">
        <v>0</v>
      </c>
      <c r="AL13" s="20">
        <v>0</v>
      </c>
      <c r="AM13" s="21">
        <v>685000</v>
      </c>
      <c r="AN13" s="136">
        <v>0</v>
      </c>
      <c r="AO13" s="20">
        <f>Ohj.lask.[[#This Row],[Jaettava € 1]]+Ohj.lask.[[#This Row],[Päätös 7, €]]</f>
        <v>10622141</v>
      </c>
      <c r="AP13" s="119">
        <f>Ohj.lask.[[#This Row],[Jaettava € 2]]</f>
        <v>3239134</v>
      </c>
      <c r="AQ13" s="20">
        <f>Ohj.lask.[[#This Row],[Jaettava € 3]]+Ohj.lask.[[#This Row],[Jaettava € 4]]+Ohj.lask.[[#This Row],[Jaettava € 5]]</f>
        <v>1615668</v>
      </c>
      <c r="AR13" s="45">
        <f>Ohj.lask.[[#This Row],[Jaettava € 6]]+Ohj.lask.[[#This Row],[Päätös 7, €]]</f>
        <v>15476943</v>
      </c>
      <c r="AS13" s="45">
        <f>ROUND(IFERROR(VLOOKUP(Ohj.lask.[[#This Row],[Y-tunnus]],'3.1 Alv vahvistettu'!A:Y,COLUMN(C:C),FALSE),0),0)</f>
        <v>1127738</v>
      </c>
      <c r="AT13" s="26">
        <f>Ohj.lask.[[#This Row],[Perus-, suoritus- ja vaikuttavuusrahoitus yhteensä, €]]+Ohj.lask.[[#This Row],[Alv-korvaus, €]]</f>
        <v>16604681</v>
      </c>
    </row>
    <row r="14" spans="1:46" ht="12.75" x14ac:dyDescent="0.2">
      <c r="A14" s="147" t="s">
        <v>239</v>
      </c>
      <c r="B14" s="17" t="s">
        <v>208</v>
      </c>
      <c r="C14" s="17" t="s">
        <v>238</v>
      </c>
      <c r="D14" s="17" t="s">
        <v>423</v>
      </c>
      <c r="E14" s="17" t="s">
        <v>665</v>
      </c>
      <c r="F14" s="128">
        <v>2494</v>
      </c>
      <c r="G14" s="135">
        <v>510</v>
      </c>
      <c r="H14" s="44">
        <f t="shared" si="0"/>
        <v>3004</v>
      </c>
      <c r="I14" s="18">
        <f>IFERROR(VLOOKUP($A14,'2.1 Toteut. op.vuodet'!$A:$Q,COLUMN('2.1 Toteut. op.vuodet'!Q:Q),FALSE),0)</f>
        <v>0.92108631199293245</v>
      </c>
      <c r="J14" s="85">
        <f t="shared" si="1"/>
        <v>2766.9</v>
      </c>
      <c r="K14" s="19">
        <f>IFERROR(Ohj.lask.[[#This Row],[Painotetut opiskelija-vuodet]]/Ohj.lask.[[#Totals],[Painotetut opiskelija-vuodet]],0)</f>
        <v>1.3726057284424406E-2</v>
      </c>
      <c r="L14" s="20">
        <f>ROUND(IFERROR('1.1 Jakotaulu'!L$10*Ohj.lask.[[#This Row],[%-osuus 1]],0),0)</f>
        <v>16329815</v>
      </c>
      <c r="M14" s="349">
        <f>IFERROR(ROUND(VLOOKUP($A14,'2.2 Tutk. ja osien pain. pist.'!$A:$Q,COLUMN('2.2 Tutk. ja osien pain. pist.'!P:P),FALSE),1),0)</f>
        <v>255151.8</v>
      </c>
      <c r="N14" s="19">
        <f>IFERROR(Ohj.lask.[[#This Row],[Painotetut pisteet 2]]/Ohj.lask.[[#Totals],[Painotetut pisteet 2]],0)</f>
        <v>1.6305286385141664E-2</v>
      </c>
      <c r="O14" s="26">
        <f>ROUND(IFERROR('1.1 Jakotaulu'!K$11*Ohj.lask.[[#This Row],[%-osuus 2]],0),0)</f>
        <v>6037473</v>
      </c>
      <c r="P14" s="350">
        <f>IFERROR(ROUND(VLOOKUP($A14,'2.3 Työll. ja jatko-opisk.'!$A:$K,COLUMN('2.3 Työll. ja jatko-opisk.'!I:I),FALSE),1),0)</f>
        <v>2929.4</v>
      </c>
      <c r="Q14" s="19">
        <f>IFERROR(Ohj.lask.[[#This Row],[Painotetut pisteet 3]]/Ohj.lask.[[#Totals],[Painotetut pisteet 3]],0)</f>
        <v>1.5464385563335672E-2</v>
      </c>
      <c r="R14" s="20">
        <f>ROUND(IFERROR('1.1 Jakotaulu'!L$13*Ohj.lask.[[#This Row],[%-osuus 3]],0),0)</f>
        <v>2147290</v>
      </c>
      <c r="S14" s="349">
        <f>IFERROR(ROUND(VLOOKUP($A14,'2.4 Aloittaneet palaute'!$A:$K,COLUMN('2.4 Aloittaneet palaute'!J:J),FALSE),1),0)</f>
        <v>33320.400000000001</v>
      </c>
      <c r="T14" s="23">
        <f>IFERROR(Ohj.lask.[[#This Row],[Painotetut pisteet 4]]/Ohj.lask.[[#Totals],[Painotetut pisteet 4]],0)</f>
        <v>2.6762582439330301E-2</v>
      </c>
      <c r="U14" s="26">
        <f>ROUND(IFERROR('1.1 Jakotaulu'!M$15*Ohj.lask.[[#This Row],[%-osuus 4]],0),0)</f>
        <v>309674</v>
      </c>
      <c r="V14" s="85">
        <f>IFERROR(ROUND(VLOOKUP($A14,'2.5 Päättäneet palaute'!$A:$AC,COLUMN('2.5 Päättäneet palaute'!AB:AB),FALSE),1),0)</f>
        <v>206885.7</v>
      </c>
      <c r="W14" s="23">
        <f>IFERROR(Ohj.lask.[[#This Row],[Painotetut pisteet 5]]/Ohj.lask.[[#Totals],[Painotetut pisteet 5]],0)</f>
        <v>3.1241730335844781E-2</v>
      </c>
      <c r="X14" s="20">
        <f>ROUND(IFERROR('1.1 Jakotaulu'!M$16*Ohj.lask.[[#This Row],[%-osuus 5]],0),0)</f>
        <v>1084509</v>
      </c>
      <c r="Y14" s="22">
        <f>IFERROR(Ohj.lask.[[#This Row],[Jaettava € 6]]/Ohj.lask.[[#Totals],[Jaettava € 6]],"")</f>
        <v>1.4846491752781989E-2</v>
      </c>
      <c r="Z14" s="26">
        <f>IFERROR(Ohj.lask.[[#This Row],[Jaettava € 1]]+Ohj.lask.[[#This Row],[Jaettava € 2]]+Ohj.lask.[[#This Row],[Jaettava € 3]]+Ohj.lask.[[#This Row],[Jaettava € 4]]+Ohj.lask.[[#This Row],[Jaettava € 5]],"")</f>
        <v>25908761</v>
      </c>
      <c r="AA14" s="20">
        <v>0</v>
      </c>
      <c r="AB14" s="20">
        <v>0</v>
      </c>
      <c r="AC14" s="21">
        <v>0</v>
      </c>
      <c r="AD14" s="20">
        <v>0</v>
      </c>
      <c r="AE14" s="21">
        <v>0</v>
      </c>
      <c r="AF14" s="20">
        <v>0</v>
      </c>
      <c r="AG14" s="21">
        <v>0</v>
      </c>
      <c r="AH14" s="20">
        <v>0</v>
      </c>
      <c r="AI14" s="21">
        <v>140000</v>
      </c>
      <c r="AJ14" s="26">
        <v>100000</v>
      </c>
      <c r="AK14" s="20">
        <v>0</v>
      </c>
      <c r="AL14" s="20">
        <v>0</v>
      </c>
      <c r="AM14" s="21">
        <v>140000</v>
      </c>
      <c r="AN14" s="136">
        <v>100000</v>
      </c>
      <c r="AO14" s="20">
        <f>Ohj.lask.[[#This Row],[Jaettava € 1]]+Ohj.lask.[[#This Row],[Päätös 7, €]]</f>
        <v>16429815</v>
      </c>
      <c r="AP14" s="119">
        <f>Ohj.lask.[[#This Row],[Jaettava € 2]]</f>
        <v>6037473</v>
      </c>
      <c r="AQ14" s="20">
        <f>Ohj.lask.[[#This Row],[Jaettava € 3]]+Ohj.lask.[[#This Row],[Jaettava € 4]]+Ohj.lask.[[#This Row],[Jaettava € 5]]</f>
        <v>3541473</v>
      </c>
      <c r="AR14" s="45">
        <f>Ohj.lask.[[#This Row],[Jaettava € 6]]+Ohj.lask.[[#This Row],[Päätös 7, €]]</f>
        <v>26008761</v>
      </c>
      <c r="AS14" s="45">
        <f>ROUND(IFERROR(VLOOKUP(Ohj.lask.[[#This Row],[Y-tunnus]],'3.1 Alv vahvistettu'!A:Y,COLUMN(C:C),FALSE),0),0)</f>
        <v>1414984</v>
      </c>
      <c r="AT14" s="26">
        <f>Ohj.lask.[[#This Row],[Perus-, suoritus- ja vaikuttavuusrahoitus yhteensä, €]]+Ohj.lask.[[#This Row],[Alv-korvaus, €]]</f>
        <v>27423745</v>
      </c>
    </row>
    <row r="15" spans="1:46" ht="12.75" x14ac:dyDescent="0.2">
      <c r="A15" s="147" t="s">
        <v>402</v>
      </c>
      <c r="B15" s="17" t="s">
        <v>30</v>
      </c>
      <c r="C15" s="17" t="s">
        <v>238</v>
      </c>
      <c r="D15" s="17" t="s">
        <v>423</v>
      </c>
      <c r="E15" s="17" t="s">
        <v>663</v>
      </c>
      <c r="F15" s="128">
        <v>0</v>
      </c>
      <c r="G15" s="135">
        <v>10</v>
      </c>
      <c r="H15" s="44">
        <f t="shared" si="0"/>
        <v>10</v>
      </c>
      <c r="I15" s="18">
        <f>IFERROR(VLOOKUP($A15,'2.1 Toteut. op.vuodet'!$A:$Q,COLUMN('2.1 Toteut. op.vuodet'!Q:Q),FALSE),0)</f>
        <v>0.67374999999999985</v>
      </c>
      <c r="J15" s="85">
        <f t="shared" si="1"/>
        <v>6.7</v>
      </c>
      <c r="K15" s="19">
        <f>IFERROR(Ohj.lask.[[#This Row],[Painotetut opiskelija-vuodet]]/Ohj.lask.[[#Totals],[Painotetut opiskelija-vuodet]],0)</f>
        <v>3.3237407859208321E-5</v>
      </c>
      <c r="L15" s="20">
        <f>ROUND(IFERROR('1.1 Jakotaulu'!L$10*Ohj.lask.[[#This Row],[%-osuus 1]],0),0)</f>
        <v>39542</v>
      </c>
      <c r="M15" s="349">
        <f>IFERROR(ROUND(VLOOKUP($A15,'2.2 Tutk. ja osien pain. pist.'!$A:$Q,COLUMN('2.2 Tutk. ja osien pain. pist.'!P:P),FALSE),1),0)</f>
        <v>694</v>
      </c>
      <c r="N15" s="19">
        <f>IFERROR(Ohj.lask.[[#This Row],[Painotetut pisteet 2]]/Ohj.lask.[[#Totals],[Painotetut pisteet 2]],0)</f>
        <v>4.4349554858277757E-5</v>
      </c>
      <c r="O15" s="26">
        <f>ROUND(IFERROR('1.1 Jakotaulu'!K$11*Ohj.lask.[[#This Row],[%-osuus 2]],0),0)</f>
        <v>16422</v>
      </c>
      <c r="P15" s="350">
        <f>IFERROR(ROUND(VLOOKUP($A15,'2.3 Työll. ja jatko-opisk.'!$A:$K,COLUMN('2.3 Työll. ja jatko-opisk.'!I:I),FALSE),1),0)</f>
        <v>0</v>
      </c>
      <c r="Q15" s="19">
        <f>IFERROR(Ohj.lask.[[#This Row],[Painotetut pisteet 3]]/Ohj.lask.[[#Totals],[Painotetut pisteet 3]],0)</f>
        <v>0</v>
      </c>
      <c r="R15" s="20">
        <f>ROUND(IFERROR('1.1 Jakotaulu'!L$13*Ohj.lask.[[#This Row],[%-osuus 3]],0),0)</f>
        <v>0</v>
      </c>
      <c r="S15" s="349">
        <f>IFERROR(ROUND(VLOOKUP($A15,'2.4 Aloittaneet palaute'!$A:$K,COLUMN('2.4 Aloittaneet palaute'!J:J),FALSE),1),0)</f>
        <v>657.6</v>
      </c>
      <c r="T15" s="23">
        <f>IFERROR(Ohj.lask.[[#This Row],[Painotetut pisteet 4]]/Ohj.lask.[[#Totals],[Painotetut pisteet 4]],0)</f>
        <v>5.2817715910083928E-4</v>
      </c>
      <c r="U15" s="26">
        <f>ROUND(IFERROR('1.1 Jakotaulu'!M$15*Ohj.lask.[[#This Row],[%-osuus 4]],0),0)</f>
        <v>6112</v>
      </c>
      <c r="V15" s="85">
        <f>IFERROR(ROUND(VLOOKUP($A15,'2.5 Päättäneet palaute'!$A:$AC,COLUMN('2.5 Päättäneet palaute'!AB:AB),FALSE),1),0)</f>
        <v>3291</v>
      </c>
      <c r="W15" s="23">
        <f>IFERROR(Ohj.lask.[[#This Row],[Painotetut pisteet 5]]/Ohj.lask.[[#Totals],[Painotetut pisteet 5]],0)</f>
        <v>4.9697264980259719E-4</v>
      </c>
      <c r="X15" s="20">
        <f>ROUND(IFERROR('1.1 Jakotaulu'!M$16*Ohj.lask.[[#This Row],[%-osuus 5]],0),0)</f>
        <v>17252</v>
      </c>
      <c r="Y15" s="22">
        <f>IFERROR(Ohj.lask.[[#This Row],[Jaettava € 6]]/Ohj.lask.[[#Totals],[Jaettava € 6]],"")</f>
        <v>4.5457306806940309E-5</v>
      </c>
      <c r="Z15" s="26">
        <f>IFERROR(Ohj.lask.[[#This Row],[Jaettava € 1]]+Ohj.lask.[[#This Row],[Jaettava € 2]]+Ohj.lask.[[#This Row],[Jaettava € 3]]+Ohj.lask.[[#This Row],[Jaettava € 4]]+Ohj.lask.[[#This Row],[Jaettava € 5]],"")</f>
        <v>79328</v>
      </c>
      <c r="AA15" s="20">
        <v>0</v>
      </c>
      <c r="AB15" s="20">
        <v>0</v>
      </c>
      <c r="AC15" s="21">
        <v>0</v>
      </c>
      <c r="AD15" s="20">
        <v>0</v>
      </c>
      <c r="AE15" s="21">
        <v>0</v>
      </c>
      <c r="AF15" s="20">
        <v>0</v>
      </c>
      <c r="AG15" s="21">
        <v>0</v>
      </c>
      <c r="AH15" s="20">
        <v>0</v>
      </c>
      <c r="AI15" s="21">
        <v>0</v>
      </c>
      <c r="AJ15" s="26">
        <v>0</v>
      </c>
      <c r="AK15" s="20">
        <v>0</v>
      </c>
      <c r="AL15" s="20">
        <v>0</v>
      </c>
      <c r="AM15" s="21">
        <v>0</v>
      </c>
      <c r="AN15" s="136">
        <v>0</v>
      </c>
      <c r="AO15" s="20">
        <f>Ohj.lask.[[#This Row],[Jaettava € 1]]+Ohj.lask.[[#This Row],[Päätös 7, €]]</f>
        <v>39542</v>
      </c>
      <c r="AP15" s="119">
        <f>Ohj.lask.[[#This Row],[Jaettava € 2]]</f>
        <v>16422</v>
      </c>
      <c r="AQ15" s="20">
        <f>Ohj.lask.[[#This Row],[Jaettava € 3]]+Ohj.lask.[[#This Row],[Jaettava € 4]]+Ohj.lask.[[#This Row],[Jaettava € 5]]</f>
        <v>23364</v>
      </c>
      <c r="AR15" s="45">
        <f>Ohj.lask.[[#This Row],[Jaettava € 6]]+Ohj.lask.[[#This Row],[Päätös 7, €]]</f>
        <v>79328</v>
      </c>
      <c r="AS15" s="45">
        <f>ROUND(IFERROR(VLOOKUP(Ohj.lask.[[#This Row],[Y-tunnus]],'3.1 Alv vahvistettu'!A:Y,COLUMN(C:C),FALSE),0),0)</f>
        <v>0</v>
      </c>
      <c r="AT15" s="26">
        <f>Ohj.lask.[[#This Row],[Perus-, suoritus- ja vaikuttavuusrahoitus yhteensä, €]]+Ohj.lask.[[#This Row],[Alv-korvaus, €]]</f>
        <v>79328</v>
      </c>
    </row>
    <row r="16" spans="1:46" ht="12.75" x14ac:dyDescent="0.2">
      <c r="A16" s="147" t="s">
        <v>401</v>
      </c>
      <c r="B16" s="17" t="s">
        <v>31</v>
      </c>
      <c r="C16" s="17" t="s">
        <v>238</v>
      </c>
      <c r="D16" s="17" t="s">
        <v>422</v>
      </c>
      <c r="E16" s="17" t="s">
        <v>663</v>
      </c>
      <c r="F16" s="128">
        <v>5838</v>
      </c>
      <c r="G16" s="135">
        <v>715</v>
      </c>
      <c r="H16" s="44">
        <f t="shared" si="0"/>
        <v>6553</v>
      </c>
      <c r="I16" s="18">
        <f>IFERROR(VLOOKUP($A16,'2.1 Toteut. op.vuodet'!$A:$Q,COLUMN('2.1 Toteut. op.vuodet'!Q:Q),FALSE),0)</f>
        <v>0.9874384368953758</v>
      </c>
      <c r="J16" s="85">
        <f t="shared" si="1"/>
        <v>6470.7</v>
      </c>
      <c r="K16" s="19">
        <f>IFERROR(Ohj.lask.[[#This Row],[Painotetut opiskelija-vuodet]]/Ohj.lask.[[#Totals],[Painotetut opiskelija-vuodet]],0)</f>
        <v>3.2099894781280489E-2</v>
      </c>
      <c r="L16" s="20">
        <f>ROUND(IFERROR('1.1 Jakotaulu'!L$10*Ohj.lask.[[#This Row],[%-osuus 1]],0),0)</f>
        <v>38189068</v>
      </c>
      <c r="M16" s="349">
        <f>IFERROR(ROUND(VLOOKUP($A16,'2.2 Tutk. ja osien pain. pist.'!$A:$Q,COLUMN('2.2 Tutk. ja osien pain. pist.'!P:P),FALSE),1),0)</f>
        <v>575985.19999999995</v>
      </c>
      <c r="N16" s="19">
        <f>IFERROR(Ohj.lask.[[#This Row],[Painotetut pisteet 2]]/Ohj.lask.[[#Totals],[Painotetut pisteet 2]],0)</f>
        <v>3.6807906664201848E-2</v>
      </c>
      <c r="O16" s="26">
        <f>ROUND(IFERROR('1.1 Jakotaulu'!K$11*Ohj.lask.[[#This Row],[%-osuus 2]],0),0)</f>
        <v>13629121</v>
      </c>
      <c r="P16" s="350">
        <f>IFERROR(ROUND(VLOOKUP($A16,'2.3 Työll. ja jatko-opisk.'!$A:$K,COLUMN('2.3 Työll. ja jatko-opisk.'!I:I),FALSE),1),0)</f>
        <v>7446.3</v>
      </c>
      <c r="Q16" s="19">
        <f>IFERROR(Ohj.lask.[[#This Row],[Painotetut pisteet 3]]/Ohj.lask.[[#Totals],[Painotetut pisteet 3]],0)</f>
        <v>3.9309228586149519E-2</v>
      </c>
      <c r="R16" s="20">
        <f>ROUND(IFERROR('1.1 Jakotaulu'!L$13*Ohj.lask.[[#This Row],[%-osuus 3]],0),0)</f>
        <v>5458239</v>
      </c>
      <c r="S16" s="349">
        <f>IFERROR(ROUND(VLOOKUP($A16,'2.4 Aloittaneet palaute'!$A:$K,COLUMN('2.4 Aloittaneet palaute'!J:J),FALSE),1),0)</f>
        <v>45607</v>
      </c>
      <c r="T16" s="23">
        <f>IFERROR(Ohj.lask.[[#This Row],[Painotetut pisteet 4]]/Ohj.lask.[[#Totals],[Painotetut pisteet 4]],0)</f>
        <v>3.6631045765072957E-2</v>
      </c>
      <c r="U16" s="26">
        <f>ROUND(IFERROR('1.1 Jakotaulu'!M$15*Ohj.lask.[[#This Row],[%-osuus 4]],0),0)</f>
        <v>423864</v>
      </c>
      <c r="V16" s="85">
        <f>IFERROR(ROUND(VLOOKUP($A16,'2.5 Päättäneet palaute'!$A:$AC,COLUMN('2.5 Päättäneet palaute'!AB:AB),FALSE),1),0)</f>
        <v>127313</v>
      </c>
      <c r="W16" s="23">
        <f>IFERROR(Ohj.lask.[[#This Row],[Painotetut pisteet 5]]/Ohj.lask.[[#Totals],[Painotetut pisteet 5]],0)</f>
        <v>1.9225487379008827E-2</v>
      </c>
      <c r="X16" s="20">
        <f>ROUND(IFERROR('1.1 Jakotaulu'!M$16*Ohj.lask.[[#This Row],[%-osuus 5]],0),0)</f>
        <v>667383</v>
      </c>
      <c r="Y16" s="22">
        <f>IFERROR(Ohj.lask.[[#This Row],[Jaettava € 6]]/Ohj.lask.[[#Totals],[Jaettava € 6]],"")</f>
        <v>3.344641627272564E-2</v>
      </c>
      <c r="Z16" s="26">
        <f>IFERROR(Ohj.lask.[[#This Row],[Jaettava € 1]]+Ohj.lask.[[#This Row],[Jaettava € 2]]+Ohj.lask.[[#This Row],[Jaettava € 3]]+Ohj.lask.[[#This Row],[Jaettava € 4]]+Ohj.lask.[[#This Row],[Jaettava € 5]],"")</f>
        <v>58367675</v>
      </c>
      <c r="AA16" s="20">
        <v>0</v>
      </c>
      <c r="AB16" s="20">
        <v>0</v>
      </c>
      <c r="AC16" s="21">
        <v>0</v>
      </c>
      <c r="AD16" s="20">
        <v>0</v>
      </c>
      <c r="AE16" s="21">
        <v>0</v>
      </c>
      <c r="AF16" s="20">
        <v>0</v>
      </c>
      <c r="AG16" s="21">
        <v>0</v>
      </c>
      <c r="AH16" s="20">
        <v>0</v>
      </c>
      <c r="AI16" s="21">
        <v>150000</v>
      </c>
      <c r="AJ16" s="26">
        <v>140000</v>
      </c>
      <c r="AK16" s="20">
        <v>105000</v>
      </c>
      <c r="AL16" s="20">
        <v>70000</v>
      </c>
      <c r="AM16" s="21">
        <v>255000</v>
      </c>
      <c r="AN16" s="136">
        <v>210000</v>
      </c>
      <c r="AO16" s="20">
        <f>Ohj.lask.[[#This Row],[Jaettava € 1]]+Ohj.lask.[[#This Row],[Päätös 7, €]]</f>
        <v>38399068</v>
      </c>
      <c r="AP16" s="119">
        <f>Ohj.lask.[[#This Row],[Jaettava € 2]]</f>
        <v>13629121</v>
      </c>
      <c r="AQ16" s="20">
        <f>Ohj.lask.[[#This Row],[Jaettava € 3]]+Ohj.lask.[[#This Row],[Jaettava € 4]]+Ohj.lask.[[#This Row],[Jaettava € 5]]</f>
        <v>6549486</v>
      </c>
      <c r="AR16" s="45">
        <f>Ohj.lask.[[#This Row],[Jaettava € 6]]+Ohj.lask.[[#This Row],[Päätös 7, €]]</f>
        <v>58577675</v>
      </c>
      <c r="AS16" s="45">
        <f>ROUND(IFERROR(VLOOKUP(Ohj.lask.[[#This Row],[Y-tunnus]],'3.1 Alv vahvistettu'!A:Y,COLUMN(C:C),FALSE),0),0)</f>
        <v>0</v>
      </c>
      <c r="AT16" s="26">
        <f>Ohj.lask.[[#This Row],[Perus-, suoritus- ja vaikuttavuusrahoitus yhteensä, €]]+Ohj.lask.[[#This Row],[Alv-korvaus, €]]</f>
        <v>58577675</v>
      </c>
    </row>
    <row r="17" spans="1:46" ht="12.75" x14ac:dyDescent="0.2">
      <c r="A17" s="147" t="s">
        <v>400</v>
      </c>
      <c r="B17" s="17" t="s">
        <v>32</v>
      </c>
      <c r="C17" s="113" t="s">
        <v>399</v>
      </c>
      <c r="D17" s="113" t="s">
        <v>422</v>
      </c>
      <c r="E17" s="113" t="s">
        <v>663</v>
      </c>
      <c r="F17" s="127">
        <v>2900</v>
      </c>
      <c r="G17" s="135">
        <v>239</v>
      </c>
      <c r="H17" s="44">
        <f t="shared" si="0"/>
        <v>3139</v>
      </c>
      <c r="I17" s="18">
        <f>IFERROR(VLOOKUP($A17,'2.1 Toteut. op.vuodet'!$A:$Q,COLUMN('2.1 Toteut. op.vuodet'!Q:Q),FALSE),0)</f>
        <v>1.0260961768909034</v>
      </c>
      <c r="J17" s="85">
        <f t="shared" si="1"/>
        <v>3220.9</v>
      </c>
      <c r="K17" s="19">
        <f>IFERROR(Ohj.lask.[[#This Row],[Painotetut opiskelija-vuodet]]/Ohj.lask.[[#Totals],[Painotetut opiskelija-vuodet]],0)</f>
        <v>1.5978263727421508E-2</v>
      </c>
      <c r="L17" s="20">
        <f>ROUND(IFERROR('1.1 Jakotaulu'!L$10*Ohj.lask.[[#This Row],[%-osuus 1]],0),0)</f>
        <v>19009252</v>
      </c>
      <c r="M17" s="349">
        <f>IFERROR(ROUND(VLOOKUP($A17,'2.2 Tutk. ja osien pain. pist.'!$A:$Q,COLUMN('2.2 Tutk. ja osien pain. pist.'!P:P),FALSE),1),0)</f>
        <v>273319.90000000002</v>
      </c>
      <c r="N17" s="19">
        <f>IFERROR(Ohj.lask.[[#This Row],[Painotetut pisteet 2]]/Ohj.lask.[[#Totals],[Painotetut pisteet 2]],0)</f>
        <v>1.7466305329840046E-2</v>
      </c>
      <c r="O17" s="26">
        <f>ROUND(IFERROR('1.1 Jakotaulu'!K$11*Ohj.lask.[[#This Row],[%-osuus 2]],0),0)</f>
        <v>6467371</v>
      </c>
      <c r="P17" s="350">
        <f>IFERROR(ROUND(VLOOKUP($A17,'2.3 Työll. ja jatko-opisk.'!$A:$K,COLUMN('2.3 Työll. ja jatko-opisk.'!I:I),FALSE),1),0)</f>
        <v>3442.4</v>
      </c>
      <c r="Q17" s="23">
        <f>IFERROR(Ohj.lask.[[#This Row],[Painotetut pisteet 3]]/Ohj.lask.[[#Totals],[Painotetut pisteet 3]],0)</f>
        <v>1.8172527091973343E-2</v>
      </c>
      <c r="R17" s="20">
        <f>ROUND(IFERROR('1.1 Jakotaulu'!L$13*Ohj.lask.[[#This Row],[%-osuus 3]],0),0)</f>
        <v>2523326</v>
      </c>
      <c r="S17" s="349">
        <f>IFERROR(ROUND(VLOOKUP($A17,'2.4 Aloittaneet palaute'!$A:$K,COLUMN('2.4 Aloittaneet palaute'!J:J),FALSE),1),0)</f>
        <v>27654.6</v>
      </c>
      <c r="T17" s="23">
        <f>IFERROR(Ohj.lask.[[#This Row],[Painotetut pisteet 4]]/Ohj.lask.[[#Totals],[Painotetut pisteet 4]],0)</f>
        <v>2.2211873576748888E-2</v>
      </c>
      <c r="U17" s="26">
        <f>ROUND(IFERROR('1.1 Jakotaulu'!M$15*Ohj.lask.[[#This Row],[%-osuus 4]],0),0)</f>
        <v>257017</v>
      </c>
      <c r="V17" s="85">
        <f>IFERROR(ROUND(VLOOKUP($A17,'2.5 Päättäneet palaute'!$A:$AC,COLUMN('2.5 Päättäneet palaute'!AB:AB),FALSE),1),0)</f>
        <v>167706</v>
      </c>
      <c r="W17" s="23">
        <f>IFERROR(Ohj.lask.[[#This Row],[Painotetut pisteet 5]]/Ohj.lask.[[#Totals],[Painotetut pisteet 5]],0)</f>
        <v>2.532521884162697E-2</v>
      </c>
      <c r="X17" s="20">
        <f>ROUND(IFERROR('1.1 Jakotaulu'!M$16*Ohj.lask.[[#This Row],[%-osuus 5]],0),0)</f>
        <v>879126</v>
      </c>
      <c r="Y17" s="22">
        <f>IFERROR(Ohj.lask.[[#This Row],[Jaettava € 6]]/Ohj.lask.[[#Totals],[Jaettava € 6]],"")</f>
        <v>1.6695848542749584E-2</v>
      </c>
      <c r="Z17" s="26">
        <f>IFERROR(Ohj.lask.[[#This Row],[Jaettava € 1]]+Ohj.lask.[[#This Row],[Jaettava € 2]]+Ohj.lask.[[#This Row],[Jaettava € 3]]+Ohj.lask.[[#This Row],[Jaettava € 4]]+Ohj.lask.[[#This Row],[Jaettava € 5]],"")</f>
        <v>29136092</v>
      </c>
      <c r="AA17" s="20">
        <v>450000</v>
      </c>
      <c r="AB17" s="20">
        <v>0</v>
      </c>
      <c r="AC17" s="21">
        <v>800000</v>
      </c>
      <c r="AD17" s="20">
        <v>0</v>
      </c>
      <c r="AE17" s="21">
        <v>0</v>
      </c>
      <c r="AF17" s="20">
        <v>0</v>
      </c>
      <c r="AG17" s="21">
        <v>400000</v>
      </c>
      <c r="AH17" s="20">
        <v>0</v>
      </c>
      <c r="AI17" s="21">
        <v>100000</v>
      </c>
      <c r="AJ17" s="26">
        <v>100000</v>
      </c>
      <c r="AK17" s="20">
        <v>0</v>
      </c>
      <c r="AL17" s="20">
        <v>0</v>
      </c>
      <c r="AM17" s="21">
        <v>1750000</v>
      </c>
      <c r="AN17" s="136">
        <v>100000</v>
      </c>
      <c r="AO17" s="20">
        <f>Ohj.lask.[[#This Row],[Jaettava € 1]]+Ohj.lask.[[#This Row],[Päätös 7, €]]</f>
        <v>19109252</v>
      </c>
      <c r="AP17" s="119">
        <f>Ohj.lask.[[#This Row],[Jaettava € 2]]</f>
        <v>6467371</v>
      </c>
      <c r="AQ17" s="20">
        <f>Ohj.lask.[[#This Row],[Jaettava € 3]]+Ohj.lask.[[#This Row],[Jaettava € 4]]+Ohj.lask.[[#This Row],[Jaettava € 5]]</f>
        <v>3659469</v>
      </c>
      <c r="AR17" s="45">
        <f>Ohj.lask.[[#This Row],[Jaettava € 6]]+Ohj.lask.[[#This Row],[Päätös 7, €]]</f>
        <v>29236092</v>
      </c>
      <c r="AS17" s="45">
        <f>ROUND(IFERROR(VLOOKUP(Ohj.lask.[[#This Row],[Y-tunnus]],'3.1 Alv vahvistettu'!A:Y,COLUMN(C:C),FALSE),0),0)</f>
        <v>0</v>
      </c>
      <c r="AT17" s="26">
        <f>Ohj.lask.[[#This Row],[Perus-, suoritus- ja vaikuttavuusrahoitus yhteensä, €]]+Ohj.lask.[[#This Row],[Alv-korvaus, €]]</f>
        <v>29236092</v>
      </c>
    </row>
    <row r="18" spans="1:46" ht="12.75" x14ac:dyDescent="0.2">
      <c r="A18" s="147" t="s">
        <v>398</v>
      </c>
      <c r="B18" s="17" t="s">
        <v>33</v>
      </c>
      <c r="C18" s="113" t="s">
        <v>272</v>
      </c>
      <c r="D18" s="113" t="s">
        <v>423</v>
      </c>
      <c r="E18" s="113" t="s">
        <v>663</v>
      </c>
      <c r="F18" s="127">
        <v>2518</v>
      </c>
      <c r="G18" s="135">
        <v>82</v>
      </c>
      <c r="H18" s="44">
        <f t="shared" si="0"/>
        <v>2600</v>
      </c>
      <c r="I18" s="18">
        <f>IFERROR(VLOOKUP($A18,'2.1 Toteut. op.vuodet'!$A:$Q,COLUMN('2.1 Toteut. op.vuodet'!Q:Q),FALSE),0)</f>
        <v>1.1654110578266805</v>
      </c>
      <c r="J18" s="85">
        <f t="shared" si="1"/>
        <v>3030.1</v>
      </c>
      <c r="K18" s="19">
        <f>IFERROR(Ohj.lask.[[#This Row],[Painotetut opiskelija-vuodet]]/Ohj.lask.[[#Totals],[Painotetut opiskelija-vuodet]],0)</f>
        <v>1.5031741724505544E-2</v>
      </c>
      <c r="L18" s="20">
        <f>ROUND(IFERROR('1.1 Jakotaulu'!L$10*Ohj.lask.[[#This Row],[%-osuus 1]],0),0)</f>
        <v>17883180</v>
      </c>
      <c r="M18" s="349">
        <f>IFERROR(ROUND(VLOOKUP($A18,'2.2 Tutk. ja osien pain. pist.'!$A:$Q,COLUMN('2.2 Tutk. ja osien pain. pist.'!P:P),FALSE),1),0)</f>
        <v>247160.2</v>
      </c>
      <c r="N18" s="19">
        <f>IFERROR(Ohj.lask.[[#This Row],[Painotetut pisteet 2]]/Ohj.lask.[[#Totals],[Painotetut pisteet 2]],0)</f>
        <v>1.579458911913963E-2</v>
      </c>
      <c r="O18" s="26">
        <f>ROUND(IFERROR('1.1 Jakotaulu'!K$11*Ohj.lask.[[#This Row],[%-osuus 2]],0),0)</f>
        <v>5848373</v>
      </c>
      <c r="P18" s="350">
        <f>IFERROR(ROUND(VLOOKUP($A18,'2.3 Työll. ja jatko-opisk.'!$A:$K,COLUMN('2.3 Työll. ja jatko-opisk.'!I:I),FALSE),1),0)</f>
        <v>3105.7</v>
      </c>
      <c r="Q18" s="23">
        <f>IFERROR(Ohj.lask.[[#This Row],[Painotetut pisteet 3]]/Ohj.lask.[[#Totals],[Painotetut pisteet 3]],0)</f>
        <v>1.639507825631583E-2</v>
      </c>
      <c r="R18" s="20">
        <f>ROUND(IFERROR('1.1 Jakotaulu'!L$13*Ohj.lask.[[#This Row],[%-osuus 3]],0),0)</f>
        <v>2276520</v>
      </c>
      <c r="S18" s="349">
        <f>IFERROR(ROUND(VLOOKUP($A18,'2.4 Aloittaneet palaute'!$A:$K,COLUMN('2.4 Aloittaneet palaute'!J:J),FALSE),1),0)</f>
        <v>21216.1</v>
      </c>
      <c r="T18" s="23">
        <f>IFERROR(Ohj.lask.[[#This Row],[Painotetut pisteet 4]]/Ohj.lask.[[#Totals],[Painotetut pisteet 4]],0)</f>
        <v>1.7040540488441783E-2</v>
      </c>
      <c r="U18" s="26">
        <f>ROUND(IFERROR('1.1 Jakotaulu'!M$15*Ohj.lask.[[#This Row],[%-osuus 4]],0),0)</f>
        <v>197179</v>
      </c>
      <c r="V18" s="85">
        <f>IFERROR(ROUND(VLOOKUP($A18,'2.5 Päättäneet palaute'!$A:$AC,COLUMN('2.5 Päättäneet palaute'!AB:AB),FALSE),1),0)</f>
        <v>68732.2</v>
      </c>
      <c r="W18" s="23">
        <f>IFERROR(Ohj.lask.[[#This Row],[Painotetut pisteet 5]]/Ohj.lask.[[#Totals],[Painotetut pisteet 5]],0)</f>
        <v>1.037922320290552E-2</v>
      </c>
      <c r="X18" s="20">
        <f>ROUND(IFERROR('1.1 Jakotaulu'!M$16*Ohj.lask.[[#This Row],[%-osuus 5]],0),0)</f>
        <v>360299</v>
      </c>
      <c r="Y18" s="22">
        <f>IFERROR(Ohj.lask.[[#This Row],[Jaettava € 6]]/Ohj.lask.[[#Totals],[Jaettava € 6]],"")</f>
        <v>1.5222851985458098E-2</v>
      </c>
      <c r="Z18" s="26">
        <f>IFERROR(Ohj.lask.[[#This Row],[Jaettava € 1]]+Ohj.lask.[[#This Row],[Jaettava € 2]]+Ohj.lask.[[#This Row],[Jaettava € 3]]+Ohj.lask.[[#This Row],[Jaettava € 4]]+Ohj.lask.[[#This Row],[Jaettava € 5]],"")</f>
        <v>26565551</v>
      </c>
      <c r="AA18" s="20">
        <v>0</v>
      </c>
      <c r="AB18" s="20">
        <v>0</v>
      </c>
      <c r="AC18" s="21">
        <v>0</v>
      </c>
      <c r="AD18" s="20">
        <v>0</v>
      </c>
      <c r="AE18" s="21">
        <v>0</v>
      </c>
      <c r="AF18" s="20">
        <v>0</v>
      </c>
      <c r="AG18" s="21">
        <v>200000</v>
      </c>
      <c r="AH18" s="20">
        <v>0</v>
      </c>
      <c r="AI18" s="21">
        <v>95000</v>
      </c>
      <c r="AJ18" s="26">
        <v>90000</v>
      </c>
      <c r="AK18" s="20">
        <v>0</v>
      </c>
      <c r="AL18" s="20">
        <v>0</v>
      </c>
      <c r="AM18" s="21">
        <v>295000</v>
      </c>
      <c r="AN18" s="136">
        <v>90000</v>
      </c>
      <c r="AO18" s="20">
        <f>Ohj.lask.[[#This Row],[Jaettava € 1]]+Ohj.lask.[[#This Row],[Päätös 7, €]]</f>
        <v>17973180</v>
      </c>
      <c r="AP18" s="119">
        <f>Ohj.lask.[[#This Row],[Jaettava € 2]]</f>
        <v>5848373</v>
      </c>
      <c r="AQ18" s="20">
        <f>Ohj.lask.[[#This Row],[Jaettava € 3]]+Ohj.lask.[[#This Row],[Jaettava € 4]]+Ohj.lask.[[#This Row],[Jaettava € 5]]</f>
        <v>2833998</v>
      </c>
      <c r="AR18" s="45">
        <f>Ohj.lask.[[#This Row],[Jaettava € 6]]+Ohj.lask.[[#This Row],[Päätös 7, €]]</f>
        <v>26655551</v>
      </c>
      <c r="AS18" s="45">
        <f>ROUND(IFERROR(VLOOKUP(Ohj.lask.[[#This Row],[Y-tunnus]],'3.1 Alv vahvistettu'!A:Y,COLUMN(C:C),FALSE),0),0)</f>
        <v>1602121</v>
      </c>
      <c r="AT18" s="26">
        <f>Ohj.lask.[[#This Row],[Perus-, suoritus- ja vaikuttavuusrahoitus yhteensä, €]]+Ohj.lask.[[#This Row],[Alv-korvaus, €]]</f>
        <v>28257672</v>
      </c>
    </row>
    <row r="19" spans="1:46" ht="12.75" x14ac:dyDescent="0.2">
      <c r="A19" s="147" t="s">
        <v>397</v>
      </c>
      <c r="B19" s="17" t="s">
        <v>34</v>
      </c>
      <c r="C19" s="17" t="s">
        <v>287</v>
      </c>
      <c r="D19" s="17" t="s">
        <v>423</v>
      </c>
      <c r="E19" s="17" t="s">
        <v>663</v>
      </c>
      <c r="F19" s="128">
        <v>37</v>
      </c>
      <c r="G19" s="135">
        <v>0</v>
      </c>
      <c r="H19" s="44">
        <f t="shared" si="0"/>
        <v>37</v>
      </c>
      <c r="I19" s="18">
        <f>IFERROR(VLOOKUP($A19,'2.1 Toteut. op.vuodet'!$A:$Q,COLUMN('2.1 Toteut. op.vuodet'!Q:Q),FALSE),0)</f>
        <v>0.83689239543726235</v>
      </c>
      <c r="J19" s="85">
        <f t="shared" si="1"/>
        <v>31</v>
      </c>
      <c r="K19" s="19">
        <f>IFERROR(Ohj.lask.[[#This Row],[Painotetut opiskelija-vuodet]]/Ohj.lask.[[#Totals],[Painotetut opiskelija-vuodet]],0)</f>
        <v>1.5378502143812805E-4</v>
      </c>
      <c r="L19" s="20">
        <f>ROUND(IFERROR('1.1 Jakotaulu'!L$10*Ohj.lask.[[#This Row],[%-osuus 1]],0),0)</f>
        <v>182957</v>
      </c>
      <c r="M19" s="349">
        <f>IFERROR(ROUND(VLOOKUP($A19,'2.2 Tutk. ja osien pain. pist.'!$A:$Q,COLUMN('2.2 Tutk. ja osien pain. pist.'!P:P),FALSE),1),0)</f>
        <v>1061.2</v>
      </c>
      <c r="N19" s="19">
        <f>IFERROR(Ohj.lask.[[#This Row],[Painotetut pisteet 2]]/Ohj.lask.[[#Totals],[Painotetut pisteet 2]],0)</f>
        <v>6.7815198293378029E-5</v>
      </c>
      <c r="O19" s="26">
        <f>ROUND(IFERROR('1.1 Jakotaulu'!K$11*Ohj.lask.[[#This Row],[%-osuus 2]],0),0)</f>
        <v>25110</v>
      </c>
      <c r="P19" s="350">
        <f>IFERROR(ROUND(VLOOKUP($A19,'2.3 Työll. ja jatko-opisk.'!$A:$K,COLUMN('2.3 Työll. ja jatko-opisk.'!I:I),FALSE),1),0)</f>
        <v>62.5</v>
      </c>
      <c r="Q19" s="19">
        <f>IFERROR(Ohj.lask.[[#This Row],[Painotetut pisteet 3]]/Ohj.lask.[[#Totals],[Painotetut pisteet 3]],0)</f>
        <v>3.2993927005819603E-4</v>
      </c>
      <c r="R19" s="20">
        <f>ROUND(IFERROR('1.1 Jakotaulu'!L$13*Ohj.lask.[[#This Row],[%-osuus 3]],0),0)</f>
        <v>45813</v>
      </c>
      <c r="S19" s="349">
        <f>IFERROR(ROUND(VLOOKUP($A19,'2.4 Aloittaneet palaute'!$A:$K,COLUMN('2.4 Aloittaneet palaute'!J:J),FALSE),1),0)</f>
        <v>518.1</v>
      </c>
      <c r="T19" s="23">
        <f>IFERROR(Ohj.lask.[[#This Row],[Painotetut pisteet 4]]/Ohj.lask.[[#Totals],[Painotetut pisteet 4]],0)</f>
        <v>4.1613227817844414E-4</v>
      </c>
      <c r="U19" s="26">
        <f>ROUND(IFERROR('1.1 Jakotaulu'!M$15*Ohj.lask.[[#This Row],[%-osuus 4]],0),0)</f>
        <v>4815</v>
      </c>
      <c r="V19" s="85">
        <f>IFERROR(ROUND(VLOOKUP($A19,'2.5 Päättäneet palaute'!$A:$AC,COLUMN('2.5 Päättäneet palaute'!AB:AB),FALSE),1),0)</f>
        <v>3754</v>
      </c>
      <c r="W19" s="23">
        <f>IFERROR(Ohj.lask.[[#This Row],[Painotetut pisteet 5]]/Ohj.lask.[[#Totals],[Painotetut pisteet 5]],0)</f>
        <v>5.6689010250955631E-4</v>
      </c>
      <c r="X19" s="20">
        <f>ROUND(IFERROR('1.1 Jakotaulu'!M$16*Ohj.lask.[[#This Row],[%-osuus 5]],0),0)</f>
        <v>19679</v>
      </c>
      <c r="Y19" s="22">
        <f>IFERROR(Ohj.lask.[[#This Row],[Jaettava € 6]]/Ohj.lask.[[#Totals],[Jaettava € 6]],"")</f>
        <v>1.5951659344840664E-4</v>
      </c>
      <c r="Z19" s="26">
        <f>IFERROR(Ohj.lask.[[#This Row],[Jaettava € 1]]+Ohj.lask.[[#This Row],[Jaettava € 2]]+Ohj.lask.[[#This Row],[Jaettava € 3]]+Ohj.lask.[[#This Row],[Jaettava € 4]]+Ohj.lask.[[#This Row],[Jaettava € 5]],"")</f>
        <v>278374</v>
      </c>
      <c r="AA19" s="20">
        <v>0</v>
      </c>
      <c r="AB19" s="20">
        <v>0</v>
      </c>
      <c r="AC19" s="21">
        <v>0</v>
      </c>
      <c r="AD19" s="20">
        <v>0</v>
      </c>
      <c r="AE19" s="21">
        <v>0</v>
      </c>
      <c r="AF19" s="20">
        <v>0</v>
      </c>
      <c r="AG19" s="21">
        <v>0</v>
      </c>
      <c r="AH19" s="20">
        <v>0</v>
      </c>
      <c r="AI19" s="21">
        <v>0</v>
      </c>
      <c r="AJ19" s="26">
        <v>0</v>
      </c>
      <c r="AK19" s="20">
        <v>0</v>
      </c>
      <c r="AL19" s="20">
        <v>0</v>
      </c>
      <c r="AM19" s="21">
        <v>0</v>
      </c>
      <c r="AN19" s="136">
        <v>0</v>
      </c>
      <c r="AO19" s="20">
        <f>Ohj.lask.[[#This Row],[Jaettava € 1]]+Ohj.lask.[[#This Row],[Päätös 7, €]]</f>
        <v>182957</v>
      </c>
      <c r="AP19" s="119">
        <f>Ohj.lask.[[#This Row],[Jaettava € 2]]</f>
        <v>25110</v>
      </c>
      <c r="AQ19" s="20">
        <f>Ohj.lask.[[#This Row],[Jaettava € 3]]+Ohj.lask.[[#This Row],[Jaettava € 4]]+Ohj.lask.[[#This Row],[Jaettava € 5]]</f>
        <v>70307</v>
      </c>
      <c r="AR19" s="45">
        <f>Ohj.lask.[[#This Row],[Jaettava € 6]]+Ohj.lask.[[#This Row],[Päätös 7, €]]</f>
        <v>278374</v>
      </c>
      <c r="AS19" s="45">
        <f>ROUND(IFERROR(VLOOKUP(Ohj.lask.[[#This Row],[Y-tunnus]],'3.1 Alv vahvistettu'!A:Y,COLUMN(C:C),FALSE),0),0)</f>
        <v>7870</v>
      </c>
      <c r="AT19" s="26">
        <f>Ohj.lask.[[#This Row],[Perus-, suoritus- ja vaikuttavuusrahoitus yhteensä, €]]+Ohj.lask.[[#This Row],[Alv-korvaus, €]]</f>
        <v>286244</v>
      </c>
    </row>
    <row r="20" spans="1:46" ht="12.75" x14ac:dyDescent="0.2">
      <c r="A20" s="147" t="s">
        <v>396</v>
      </c>
      <c r="B20" s="17" t="s">
        <v>181</v>
      </c>
      <c r="C20" s="17" t="s">
        <v>238</v>
      </c>
      <c r="D20" s="17" t="s">
        <v>423</v>
      </c>
      <c r="E20" s="17" t="s">
        <v>663</v>
      </c>
      <c r="F20" s="128">
        <v>0</v>
      </c>
      <c r="G20" s="135">
        <v>11</v>
      </c>
      <c r="H20" s="44">
        <f t="shared" si="0"/>
        <v>11</v>
      </c>
      <c r="I20" s="18">
        <f>IFERROR(VLOOKUP($A20,'2.1 Toteut. op.vuodet'!$A:$Q,COLUMN('2.1 Toteut. op.vuodet'!Q:Q),FALSE),0)</f>
        <v>0.43</v>
      </c>
      <c r="J20" s="85">
        <f t="shared" si="1"/>
        <v>4.7</v>
      </c>
      <c r="K20" s="19">
        <f>IFERROR(Ohj.lask.[[#This Row],[Painotetut opiskelija-vuodet]]/Ohj.lask.[[#Totals],[Painotetut opiskelija-vuodet]],0)</f>
        <v>2.3315793572877482E-5</v>
      </c>
      <c r="L20" s="20">
        <f>ROUND(IFERROR('1.1 Jakotaulu'!L$10*Ohj.lask.[[#This Row],[%-osuus 1]],0),0)</f>
        <v>27739</v>
      </c>
      <c r="M20" s="349">
        <f>IFERROR(ROUND(VLOOKUP($A20,'2.2 Tutk. ja osien pain. pist.'!$A:$Q,COLUMN('2.2 Tutk. ja osien pain. pist.'!P:P),FALSE),1),0)</f>
        <v>0</v>
      </c>
      <c r="N20" s="19">
        <f>IFERROR(Ohj.lask.[[#This Row],[Painotetut pisteet 2]]/Ohj.lask.[[#Totals],[Painotetut pisteet 2]],0)</f>
        <v>0</v>
      </c>
      <c r="O20" s="26">
        <f>ROUND(IFERROR('1.1 Jakotaulu'!K$11*Ohj.lask.[[#This Row],[%-osuus 2]],0),0)</f>
        <v>0</v>
      </c>
      <c r="P20" s="350">
        <f>IFERROR(ROUND(VLOOKUP($A20,'2.3 Työll. ja jatko-opisk.'!$A:$K,COLUMN('2.3 Työll. ja jatko-opisk.'!I:I),FALSE),1),0)</f>
        <v>0</v>
      </c>
      <c r="Q20" s="19">
        <f>IFERROR(Ohj.lask.[[#This Row],[Painotetut pisteet 3]]/Ohj.lask.[[#Totals],[Painotetut pisteet 3]],0)</f>
        <v>0</v>
      </c>
      <c r="R20" s="20">
        <f>ROUND(IFERROR('1.1 Jakotaulu'!L$13*Ohj.lask.[[#This Row],[%-osuus 3]],0),0)</f>
        <v>0</v>
      </c>
      <c r="S20" s="349">
        <f>IFERROR(ROUND(VLOOKUP($A20,'2.4 Aloittaneet palaute'!$A:$K,COLUMN('2.4 Aloittaneet palaute'!J:J),FALSE),1),0)</f>
        <v>0</v>
      </c>
      <c r="T20" s="23">
        <f>IFERROR(Ohj.lask.[[#This Row],[Painotetut pisteet 4]]/Ohj.lask.[[#Totals],[Painotetut pisteet 4]],0)</f>
        <v>0</v>
      </c>
      <c r="U20" s="26">
        <f>ROUND(IFERROR('1.1 Jakotaulu'!M$15*Ohj.lask.[[#This Row],[%-osuus 4]],0),0)</f>
        <v>0</v>
      </c>
      <c r="V20" s="85">
        <f>IFERROR(ROUND(VLOOKUP($A20,'2.5 Päättäneet palaute'!$A:$AC,COLUMN('2.5 Päättäneet palaute'!AB:AB),FALSE),1),0)</f>
        <v>0</v>
      </c>
      <c r="W20" s="23">
        <f>IFERROR(Ohj.lask.[[#This Row],[Painotetut pisteet 5]]/Ohj.lask.[[#Totals],[Painotetut pisteet 5]],0)</f>
        <v>0</v>
      </c>
      <c r="X20" s="20">
        <f>ROUND(IFERROR('1.1 Jakotaulu'!M$16*Ohj.lask.[[#This Row],[%-osuus 5]],0),0)</f>
        <v>0</v>
      </c>
      <c r="Y20" s="22">
        <f>IFERROR(Ohj.lask.[[#This Row],[Jaettava € 6]]/Ohj.lask.[[#Totals],[Jaettava € 6]],"")</f>
        <v>1.5895273213968803E-5</v>
      </c>
      <c r="Z20" s="26">
        <f>IFERROR(Ohj.lask.[[#This Row],[Jaettava € 1]]+Ohj.lask.[[#This Row],[Jaettava € 2]]+Ohj.lask.[[#This Row],[Jaettava € 3]]+Ohj.lask.[[#This Row],[Jaettava € 4]]+Ohj.lask.[[#This Row],[Jaettava € 5]],"")</f>
        <v>27739</v>
      </c>
      <c r="AA20" s="20">
        <v>1015000</v>
      </c>
      <c r="AB20" s="20">
        <v>650000</v>
      </c>
      <c r="AC20" s="21">
        <v>0</v>
      </c>
      <c r="AD20" s="20">
        <v>0</v>
      </c>
      <c r="AE20" s="21">
        <v>0</v>
      </c>
      <c r="AF20" s="20">
        <v>0</v>
      </c>
      <c r="AG20" s="21">
        <v>0</v>
      </c>
      <c r="AH20" s="20">
        <v>0</v>
      </c>
      <c r="AI20" s="21">
        <v>0</v>
      </c>
      <c r="AJ20" s="26">
        <v>0</v>
      </c>
      <c r="AK20" s="20">
        <v>0</v>
      </c>
      <c r="AL20" s="20">
        <v>0</v>
      </c>
      <c r="AM20" s="21">
        <v>1015000</v>
      </c>
      <c r="AN20" s="136">
        <v>650000</v>
      </c>
      <c r="AO20" s="20">
        <f>Ohj.lask.[[#This Row],[Jaettava € 1]]+Ohj.lask.[[#This Row],[Päätös 7, €]]</f>
        <v>677739</v>
      </c>
      <c r="AP20" s="119">
        <f>Ohj.lask.[[#This Row],[Jaettava € 2]]</f>
        <v>0</v>
      </c>
      <c r="AQ20" s="20">
        <f>Ohj.lask.[[#This Row],[Jaettava € 3]]+Ohj.lask.[[#This Row],[Jaettava € 4]]+Ohj.lask.[[#This Row],[Jaettava € 5]]</f>
        <v>0</v>
      </c>
      <c r="AR20" s="45">
        <f>Ohj.lask.[[#This Row],[Jaettava € 6]]+Ohj.lask.[[#This Row],[Päätös 7, €]]</f>
        <v>677739</v>
      </c>
      <c r="AS20" s="45">
        <f>ROUND(IFERROR(VLOOKUP(Ohj.lask.[[#This Row],[Y-tunnus]],'3.1 Alv vahvistettu'!A:Y,COLUMN(C:C),FALSE),0),0)</f>
        <v>188861</v>
      </c>
      <c r="AT20" s="26">
        <f>Ohj.lask.[[#This Row],[Perus-, suoritus- ja vaikuttavuusrahoitus yhteensä, €]]+Ohj.lask.[[#This Row],[Alv-korvaus, €]]</f>
        <v>866600</v>
      </c>
    </row>
    <row r="21" spans="1:46" ht="12.75" x14ac:dyDescent="0.2">
      <c r="A21" s="147" t="s">
        <v>395</v>
      </c>
      <c r="B21" s="17" t="s">
        <v>35</v>
      </c>
      <c r="C21" s="113" t="s">
        <v>238</v>
      </c>
      <c r="D21" s="113" t="s">
        <v>423</v>
      </c>
      <c r="E21" s="113" t="s">
        <v>664</v>
      </c>
      <c r="F21" s="127">
        <v>108</v>
      </c>
      <c r="G21" s="135">
        <v>4</v>
      </c>
      <c r="H21" s="44">
        <f t="shared" si="0"/>
        <v>112</v>
      </c>
      <c r="I21" s="18">
        <f>IFERROR(VLOOKUP($A21,'2.1 Toteut. op.vuodet'!$A:$Q,COLUMN('2.1 Toteut. op.vuodet'!Q:Q),FALSE),0)</f>
        <v>1.8210134644766369</v>
      </c>
      <c r="J21" s="85">
        <f t="shared" si="1"/>
        <v>204</v>
      </c>
      <c r="K21" s="19">
        <f>IFERROR(Ohj.lask.[[#This Row],[Painotetut opiskelija-vuodet]]/Ohj.lask.[[#Totals],[Painotetut opiskelija-vuodet]],0)</f>
        <v>1.0120046572057459E-3</v>
      </c>
      <c r="L21" s="20">
        <f>ROUND(IFERROR('1.1 Jakotaulu'!L$10*Ohj.lask.[[#This Row],[%-osuus 1]],0),0)</f>
        <v>1203976</v>
      </c>
      <c r="M21" s="349">
        <f>IFERROR(ROUND(VLOOKUP($A21,'2.2 Tutk. ja osien pain. pist.'!$A:$Q,COLUMN('2.2 Tutk. ja osien pain. pist.'!P:P),FALSE),1),0)</f>
        <v>14933.4</v>
      </c>
      <c r="N21" s="19">
        <f>IFERROR(Ohj.lask.[[#This Row],[Painotetut pisteet 2]]/Ohj.lask.[[#Totals],[Painotetut pisteet 2]],0)</f>
        <v>9.5430784224871039E-4</v>
      </c>
      <c r="O21" s="26">
        <f>ROUND(IFERROR('1.1 Jakotaulu'!K$11*Ohj.lask.[[#This Row],[%-osuus 2]],0),0)</f>
        <v>353358</v>
      </c>
      <c r="P21" s="350">
        <f>IFERROR(ROUND(VLOOKUP($A21,'2.3 Työll. ja jatko-opisk.'!$A:$K,COLUMN('2.3 Työll. ja jatko-opisk.'!I:I),FALSE),1),0)</f>
        <v>103.3</v>
      </c>
      <c r="Q21" s="23">
        <f>IFERROR(Ohj.lask.[[#This Row],[Painotetut pisteet 3]]/Ohj.lask.[[#Totals],[Painotetut pisteet 3]],0)</f>
        <v>5.4532362555218634E-4</v>
      </c>
      <c r="R21" s="20">
        <f>ROUND(IFERROR('1.1 Jakotaulu'!L$13*Ohj.lask.[[#This Row],[%-osuus 3]],0),0)</f>
        <v>75720</v>
      </c>
      <c r="S21" s="349">
        <f>IFERROR(ROUND(VLOOKUP($A21,'2.4 Aloittaneet palaute'!$A:$K,COLUMN('2.4 Aloittaneet palaute'!J:J),FALSE),1),0)</f>
        <v>928.4</v>
      </c>
      <c r="T21" s="23">
        <f>IFERROR(Ohj.lask.[[#This Row],[Painotetut pisteet 4]]/Ohj.lask.[[#Totals],[Painotetut pisteet 4]],0)</f>
        <v>7.4568077023908028E-4</v>
      </c>
      <c r="U21" s="26">
        <f>ROUND(IFERROR('1.1 Jakotaulu'!M$15*Ohj.lask.[[#This Row],[%-osuus 4]],0),0)</f>
        <v>8628</v>
      </c>
      <c r="V21" s="85">
        <f>IFERROR(ROUND(VLOOKUP($A21,'2.5 Päättäneet palaute'!$A:$AC,COLUMN('2.5 Päättäneet palaute'!AB:AB),FALSE),1),0)</f>
        <v>7374.8</v>
      </c>
      <c r="W21" s="23">
        <f>IFERROR(Ohj.lask.[[#This Row],[Painotetut pisteet 5]]/Ohj.lask.[[#Totals],[Painotetut pisteet 5]],0)</f>
        <v>1.1136657240243676E-3</v>
      </c>
      <c r="X21" s="20">
        <f>ROUND(IFERROR('1.1 Jakotaulu'!M$16*Ohj.lask.[[#This Row],[%-osuus 5]],0),0)</f>
        <v>38659</v>
      </c>
      <c r="Y21" s="22">
        <f>IFERROR(Ohj.lask.[[#This Row],[Jaettava € 6]]/Ohj.lask.[[#Totals],[Jaettava € 6]],"")</f>
        <v>9.6288544243244357E-4</v>
      </c>
      <c r="Z21" s="26">
        <f>IFERROR(Ohj.lask.[[#This Row],[Jaettava € 1]]+Ohj.lask.[[#This Row],[Jaettava € 2]]+Ohj.lask.[[#This Row],[Jaettava € 3]]+Ohj.lask.[[#This Row],[Jaettava € 4]]+Ohj.lask.[[#This Row],[Jaettava € 5]],"")</f>
        <v>1680341</v>
      </c>
      <c r="AA21" s="20">
        <v>0</v>
      </c>
      <c r="AB21" s="20">
        <v>0</v>
      </c>
      <c r="AC21" s="21">
        <v>0</v>
      </c>
      <c r="AD21" s="20">
        <v>0</v>
      </c>
      <c r="AE21" s="21">
        <v>0</v>
      </c>
      <c r="AF21" s="20">
        <v>0</v>
      </c>
      <c r="AG21" s="21">
        <v>0</v>
      </c>
      <c r="AH21" s="20">
        <v>0</v>
      </c>
      <c r="AI21" s="21">
        <v>20000</v>
      </c>
      <c r="AJ21" s="26">
        <v>0</v>
      </c>
      <c r="AK21" s="20">
        <v>0</v>
      </c>
      <c r="AL21" s="20">
        <v>0</v>
      </c>
      <c r="AM21" s="21">
        <v>20000</v>
      </c>
      <c r="AN21" s="136">
        <v>0</v>
      </c>
      <c r="AO21" s="20">
        <f>Ohj.lask.[[#This Row],[Jaettava € 1]]+Ohj.lask.[[#This Row],[Päätös 7, €]]</f>
        <v>1203976</v>
      </c>
      <c r="AP21" s="119">
        <f>Ohj.lask.[[#This Row],[Jaettava € 2]]</f>
        <v>353358</v>
      </c>
      <c r="AQ21" s="20">
        <f>Ohj.lask.[[#This Row],[Jaettava € 3]]+Ohj.lask.[[#This Row],[Jaettava € 4]]+Ohj.lask.[[#This Row],[Jaettava € 5]]</f>
        <v>123007</v>
      </c>
      <c r="AR21" s="45">
        <f>Ohj.lask.[[#This Row],[Jaettava € 6]]+Ohj.lask.[[#This Row],[Päätös 7, €]]</f>
        <v>1680341</v>
      </c>
      <c r="AS21" s="45">
        <f>ROUND(IFERROR(VLOOKUP(Ohj.lask.[[#This Row],[Y-tunnus]],'3.1 Alv vahvistettu'!A:Y,COLUMN(C:C),FALSE),0),0)</f>
        <v>103017</v>
      </c>
      <c r="AT21" s="26">
        <f>Ohj.lask.[[#This Row],[Perus-, suoritus- ja vaikuttavuusrahoitus yhteensä, €]]+Ohj.lask.[[#This Row],[Alv-korvaus, €]]</f>
        <v>1783358</v>
      </c>
    </row>
    <row r="22" spans="1:46" ht="12.75" x14ac:dyDescent="0.2">
      <c r="A22" s="147" t="s">
        <v>394</v>
      </c>
      <c r="B22" s="17" t="s">
        <v>792</v>
      </c>
      <c r="C22" s="17" t="s">
        <v>244</v>
      </c>
      <c r="D22" s="17" t="s">
        <v>423</v>
      </c>
      <c r="E22" s="17" t="s">
        <v>664</v>
      </c>
      <c r="F22" s="128">
        <v>26</v>
      </c>
      <c r="G22" s="135">
        <v>0</v>
      </c>
      <c r="H22" s="44">
        <f t="shared" si="0"/>
        <v>26</v>
      </c>
      <c r="I22" s="18">
        <f>IFERROR(VLOOKUP($A22,'2.1 Toteut. op.vuodet'!$A:$Q,COLUMN('2.1 Toteut. op.vuodet'!Q:Q),FALSE),0)</f>
        <v>1.3875253549695732</v>
      </c>
      <c r="J22" s="85">
        <f t="shared" si="1"/>
        <v>36.1</v>
      </c>
      <c r="K22" s="19">
        <f>IFERROR(Ohj.lask.[[#This Row],[Painotetut opiskelija-vuodet]]/Ohj.lask.[[#Totals],[Painotetut opiskelija-vuodet]],0)</f>
        <v>1.7908513786827173E-4</v>
      </c>
      <c r="L22" s="20">
        <f>ROUND(IFERROR('1.1 Jakotaulu'!L$10*Ohj.lask.[[#This Row],[%-osuus 1]],0),0)</f>
        <v>213057</v>
      </c>
      <c r="M22" s="349">
        <f>IFERROR(ROUND(VLOOKUP($A22,'2.2 Tutk. ja osien pain. pist.'!$A:$Q,COLUMN('2.2 Tutk. ja osien pain. pist.'!P:P),FALSE),1),0)</f>
        <v>2130.1</v>
      </c>
      <c r="N22" s="19">
        <f>IFERROR(Ohj.lask.[[#This Row],[Painotetut pisteet 2]]/Ohj.lask.[[#Totals],[Painotetut pisteet 2]],0)</f>
        <v>1.3612245937120668E-4</v>
      </c>
      <c r="O22" s="26">
        <f>ROUND(IFERROR('1.1 Jakotaulu'!K$11*Ohj.lask.[[#This Row],[%-osuus 2]],0),0)</f>
        <v>50403</v>
      </c>
      <c r="P22" s="350">
        <f>IFERROR(ROUND(VLOOKUP($A22,'2.3 Työll. ja jatko-opisk.'!$A:$K,COLUMN('2.3 Työll. ja jatko-opisk.'!I:I),FALSE),1),0)</f>
        <v>39.5</v>
      </c>
      <c r="Q22" s="19">
        <f>IFERROR(Ohj.lask.[[#This Row],[Painotetut pisteet 3]]/Ohj.lask.[[#Totals],[Painotetut pisteet 3]],0)</f>
        <v>2.085216186767799E-4</v>
      </c>
      <c r="R22" s="20">
        <f>ROUND(IFERROR('1.1 Jakotaulu'!L$13*Ohj.lask.[[#This Row],[%-osuus 3]],0),0)</f>
        <v>28954</v>
      </c>
      <c r="S22" s="349">
        <f>IFERROR(ROUND(VLOOKUP($A22,'2.4 Aloittaneet palaute'!$A:$K,COLUMN('2.4 Aloittaneet palaute'!J:J),FALSE),1),0)</f>
        <v>61.1</v>
      </c>
      <c r="T22" s="23">
        <f>IFERROR(Ohj.lask.[[#This Row],[Painotetut pisteet 4]]/Ohj.lask.[[#Totals],[Painotetut pisteet 4]],0)</f>
        <v>4.9074854654898547E-5</v>
      </c>
      <c r="U22" s="26">
        <f>ROUND(IFERROR('1.1 Jakotaulu'!M$15*Ohj.lask.[[#This Row],[%-osuus 4]],0),0)</f>
        <v>568</v>
      </c>
      <c r="V22" s="85">
        <f>IFERROR(ROUND(VLOOKUP($A22,'2.5 Päättäneet palaute'!$A:$AC,COLUMN('2.5 Päättäneet palaute'!AB:AB),FALSE),1),0)</f>
        <v>919</v>
      </c>
      <c r="W22" s="23">
        <f>IFERROR(Ohj.lask.[[#This Row],[Painotetut pisteet 5]]/Ohj.lask.[[#Totals],[Painotetut pisteet 5]],0)</f>
        <v>1.3877783809437458E-4</v>
      </c>
      <c r="X22" s="20">
        <f>ROUND(IFERROR('1.1 Jakotaulu'!M$16*Ohj.lask.[[#This Row],[%-osuus 5]],0),0)</f>
        <v>4817</v>
      </c>
      <c r="Y22" s="22">
        <f>IFERROR(Ohj.lask.[[#This Row],[Jaettava € 6]]/Ohj.lask.[[#Totals],[Jaettava € 6]],"")</f>
        <v>1.7064769702753149E-4</v>
      </c>
      <c r="Z22" s="26">
        <f>IFERROR(Ohj.lask.[[#This Row],[Jaettava € 1]]+Ohj.lask.[[#This Row],[Jaettava € 2]]+Ohj.lask.[[#This Row],[Jaettava € 3]]+Ohj.lask.[[#This Row],[Jaettava € 4]]+Ohj.lask.[[#This Row],[Jaettava € 5]],"")</f>
        <v>297799</v>
      </c>
      <c r="AA22" s="20">
        <v>0</v>
      </c>
      <c r="AB22" s="20">
        <v>0</v>
      </c>
      <c r="AC22" s="21">
        <v>0</v>
      </c>
      <c r="AD22" s="20">
        <v>0</v>
      </c>
      <c r="AE22" s="21">
        <v>0</v>
      </c>
      <c r="AF22" s="20">
        <v>0</v>
      </c>
      <c r="AG22" s="21">
        <v>0</v>
      </c>
      <c r="AH22" s="20">
        <v>0</v>
      </c>
      <c r="AI22" s="21">
        <v>0</v>
      </c>
      <c r="AJ22" s="26">
        <v>0</v>
      </c>
      <c r="AK22" s="20">
        <v>0</v>
      </c>
      <c r="AL22" s="20">
        <v>0</v>
      </c>
      <c r="AM22" s="21">
        <v>0</v>
      </c>
      <c r="AN22" s="136">
        <v>0</v>
      </c>
      <c r="AO22" s="20">
        <f>Ohj.lask.[[#This Row],[Jaettava € 1]]+Ohj.lask.[[#This Row],[Päätös 7, €]]</f>
        <v>213057</v>
      </c>
      <c r="AP22" s="119">
        <f>Ohj.lask.[[#This Row],[Jaettava € 2]]</f>
        <v>50403</v>
      </c>
      <c r="AQ22" s="20">
        <f>Ohj.lask.[[#This Row],[Jaettava € 3]]+Ohj.lask.[[#This Row],[Jaettava € 4]]+Ohj.lask.[[#This Row],[Jaettava € 5]]</f>
        <v>34339</v>
      </c>
      <c r="AR22" s="45">
        <f>Ohj.lask.[[#This Row],[Jaettava € 6]]+Ohj.lask.[[#This Row],[Päätös 7, €]]</f>
        <v>297799</v>
      </c>
      <c r="AS22" s="45">
        <f>ROUND(IFERROR(VLOOKUP(Ohj.lask.[[#This Row],[Y-tunnus]],'3.1 Alv vahvistettu'!A:Y,COLUMN(C:C),FALSE),0),0)</f>
        <v>0</v>
      </c>
      <c r="AT22" s="26">
        <f>Ohj.lask.[[#This Row],[Perus-, suoritus- ja vaikuttavuusrahoitus yhteensä, €]]+Ohj.lask.[[#This Row],[Alv-korvaus, €]]</f>
        <v>297799</v>
      </c>
    </row>
    <row r="23" spans="1:46" ht="12.75" x14ac:dyDescent="0.2">
      <c r="A23" s="147" t="s">
        <v>393</v>
      </c>
      <c r="B23" s="17" t="s">
        <v>153</v>
      </c>
      <c r="C23" s="17" t="s">
        <v>249</v>
      </c>
      <c r="D23" s="17" t="s">
        <v>423</v>
      </c>
      <c r="E23" s="17" t="s">
        <v>663</v>
      </c>
      <c r="F23" s="128">
        <v>29</v>
      </c>
      <c r="G23" s="135">
        <v>0</v>
      </c>
      <c r="H23" s="44">
        <f t="shared" si="0"/>
        <v>29</v>
      </c>
      <c r="I23" s="18">
        <f>IFERROR(VLOOKUP($A23,'2.1 Toteut. op.vuodet'!$A:$Q,COLUMN('2.1 Toteut. op.vuodet'!Q:Q),FALSE),0)</f>
        <v>0.7622999999999982</v>
      </c>
      <c r="J23" s="85">
        <f t="shared" si="1"/>
        <v>22.1</v>
      </c>
      <c r="K23" s="19">
        <f>IFERROR(Ohj.lask.[[#This Row],[Painotetut opiskelija-vuodet]]/Ohj.lask.[[#Totals],[Painotetut opiskelija-vuodet]],0)</f>
        <v>1.0963383786395583E-4</v>
      </c>
      <c r="L23" s="20">
        <f>ROUND(IFERROR('1.1 Jakotaulu'!L$10*Ohj.lask.[[#This Row],[%-osuus 1]],0),0)</f>
        <v>130431</v>
      </c>
      <c r="M23" s="349">
        <f>IFERROR(ROUND(VLOOKUP($A23,'2.2 Tutk. ja osien pain. pist.'!$A:$Q,COLUMN('2.2 Tutk. ja osien pain. pist.'!P:P),FALSE),1),0)</f>
        <v>4153.8</v>
      </c>
      <c r="N23" s="19">
        <f>IFERROR(Ohj.lask.[[#This Row],[Painotetut pisteet 2]]/Ohj.lask.[[#Totals],[Painotetut pisteet 2]],0)</f>
        <v>2.6544550572091377E-4</v>
      </c>
      <c r="O23" s="26">
        <f>ROUND(IFERROR('1.1 Jakotaulu'!K$11*Ohj.lask.[[#This Row],[%-osuus 2]],0),0)</f>
        <v>98288</v>
      </c>
      <c r="P23" s="350">
        <f>IFERROR(ROUND(VLOOKUP($A23,'2.3 Työll. ja jatko-opisk.'!$A:$K,COLUMN('2.3 Työll. ja jatko-opisk.'!I:I),FALSE),1),0)</f>
        <v>41</v>
      </c>
      <c r="Q23" s="19">
        <f>IFERROR(Ohj.lask.[[#This Row],[Painotetut pisteet 3]]/Ohj.lask.[[#Totals],[Painotetut pisteet 3]],0)</f>
        <v>2.164401611581766E-4</v>
      </c>
      <c r="R23" s="20">
        <f>ROUND(IFERROR('1.1 Jakotaulu'!L$13*Ohj.lask.[[#This Row],[%-osuus 3]],0),0)</f>
        <v>30054</v>
      </c>
      <c r="S23" s="349">
        <f>IFERROR(ROUND(VLOOKUP($A23,'2.4 Aloittaneet palaute'!$A:$K,COLUMN('2.4 Aloittaneet palaute'!J:J),FALSE),1),0)</f>
        <v>0</v>
      </c>
      <c r="T23" s="23">
        <f>IFERROR(Ohj.lask.[[#This Row],[Painotetut pisteet 4]]/Ohj.lask.[[#Totals],[Painotetut pisteet 4]],0)</f>
        <v>0</v>
      </c>
      <c r="U23" s="26">
        <f>ROUND(IFERROR('1.1 Jakotaulu'!M$15*Ohj.lask.[[#This Row],[%-osuus 4]],0),0)</f>
        <v>0</v>
      </c>
      <c r="V23" s="85">
        <f>IFERROR(ROUND(VLOOKUP($A23,'2.5 Päättäneet palaute'!$A:$AC,COLUMN('2.5 Päättäneet palaute'!AB:AB),FALSE),1),0)</f>
        <v>7735.7</v>
      </c>
      <c r="W23" s="23">
        <f>IFERROR(Ohj.lask.[[#This Row],[Painotetut pisteet 5]]/Ohj.lask.[[#Totals],[Painotetut pisteet 5]],0)</f>
        <v>1.168165094827697E-3</v>
      </c>
      <c r="X23" s="20">
        <f>ROUND(IFERROR('1.1 Jakotaulu'!M$16*Ohj.lask.[[#This Row],[%-osuus 5]],0),0)</f>
        <v>40551</v>
      </c>
      <c r="Y23" s="22">
        <f>IFERROR(Ohj.lask.[[#This Row],[Jaettava € 6]]/Ohj.lask.[[#Totals],[Jaettava € 6]],"")</f>
        <v>1.7152156745008825E-4</v>
      </c>
      <c r="Z23" s="26">
        <f>IFERROR(Ohj.lask.[[#This Row],[Jaettava € 1]]+Ohj.lask.[[#This Row],[Jaettava € 2]]+Ohj.lask.[[#This Row],[Jaettava € 3]]+Ohj.lask.[[#This Row],[Jaettava € 4]]+Ohj.lask.[[#This Row],[Jaettava € 5]],"")</f>
        <v>299324</v>
      </c>
      <c r="AA23" s="20">
        <v>0</v>
      </c>
      <c r="AB23" s="20">
        <v>0</v>
      </c>
      <c r="AC23" s="21">
        <v>0</v>
      </c>
      <c r="AD23" s="20">
        <v>0</v>
      </c>
      <c r="AE23" s="21">
        <v>0</v>
      </c>
      <c r="AF23" s="20">
        <v>0</v>
      </c>
      <c r="AG23" s="21">
        <v>0</v>
      </c>
      <c r="AH23" s="20">
        <v>0</v>
      </c>
      <c r="AI23" s="21">
        <v>0</v>
      </c>
      <c r="AJ23" s="26">
        <v>0</v>
      </c>
      <c r="AK23" s="20">
        <v>0</v>
      </c>
      <c r="AL23" s="20">
        <v>0</v>
      </c>
      <c r="AM23" s="21">
        <v>0</v>
      </c>
      <c r="AN23" s="136">
        <v>0</v>
      </c>
      <c r="AO23" s="20">
        <f>Ohj.lask.[[#This Row],[Jaettava € 1]]+Ohj.lask.[[#This Row],[Päätös 7, €]]</f>
        <v>130431</v>
      </c>
      <c r="AP23" s="119">
        <f>Ohj.lask.[[#This Row],[Jaettava € 2]]</f>
        <v>98288</v>
      </c>
      <c r="AQ23" s="20">
        <f>Ohj.lask.[[#This Row],[Jaettava € 3]]+Ohj.lask.[[#This Row],[Jaettava € 4]]+Ohj.lask.[[#This Row],[Jaettava € 5]]</f>
        <v>70605</v>
      </c>
      <c r="AR23" s="45">
        <f>Ohj.lask.[[#This Row],[Jaettava € 6]]+Ohj.lask.[[#This Row],[Päätös 7, €]]</f>
        <v>299324</v>
      </c>
      <c r="AS23" s="45">
        <f>ROUND(IFERROR(VLOOKUP(Ohj.lask.[[#This Row],[Y-tunnus]],'3.1 Alv vahvistettu'!A:Y,COLUMN(C:C),FALSE),0),0)</f>
        <v>0</v>
      </c>
      <c r="AT23" s="26">
        <f>Ohj.lask.[[#This Row],[Perus-, suoritus- ja vaikuttavuusrahoitus yhteensä, €]]+Ohj.lask.[[#This Row],[Alv-korvaus, €]]</f>
        <v>299324</v>
      </c>
    </row>
    <row r="24" spans="1:46" ht="12.75" x14ac:dyDescent="0.2">
      <c r="A24" s="147" t="s">
        <v>392</v>
      </c>
      <c r="B24" s="17" t="s">
        <v>36</v>
      </c>
      <c r="C24" s="17" t="s">
        <v>246</v>
      </c>
      <c r="D24" s="17" t="s">
        <v>423</v>
      </c>
      <c r="E24" s="17" t="s">
        <v>663</v>
      </c>
      <c r="F24" s="128">
        <v>120</v>
      </c>
      <c r="G24" s="135">
        <v>5</v>
      </c>
      <c r="H24" s="44">
        <f t="shared" si="0"/>
        <v>125</v>
      </c>
      <c r="I24" s="18">
        <f>IFERROR(VLOOKUP($A24,'2.1 Toteut. op.vuodet'!$A:$Q,COLUMN('2.1 Toteut. op.vuodet'!Q:Q),FALSE),0)</f>
        <v>1.0027688700889028</v>
      </c>
      <c r="J24" s="85">
        <f t="shared" si="1"/>
        <v>125.3</v>
      </c>
      <c r="K24" s="19">
        <f>IFERROR(Ohj.lask.[[#This Row],[Painotetut opiskelija-vuodet]]/Ohj.lask.[[#Totals],[Painotetut opiskelija-vuodet]],0)</f>
        <v>6.2158913503862728E-4</v>
      </c>
      <c r="L24" s="20">
        <f>ROUND(IFERROR('1.1 Jakotaulu'!L$10*Ohj.lask.[[#This Row],[%-osuus 1]],0),0)</f>
        <v>739501</v>
      </c>
      <c r="M24" s="349">
        <f>IFERROR(ROUND(VLOOKUP($A24,'2.2 Tutk. ja osien pain. pist.'!$A:$Q,COLUMN('2.2 Tutk. ja osien pain. pist.'!P:P),FALSE),1),0)</f>
        <v>9331.9</v>
      </c>
      <c r="N24" s="19">
        <f>IFERROR(Ohj.lask.[[#This Row],[Painotetut pisteet 2]]/Ohj.lask.[[#Totals],[Painotetut pisteet 2]],0)</f>
        <v>5.9634814262530568E-4</v>
      </c>
      <c r="O24" s="26">
        <f>ROUND(IFERROR('1.1 Jakotaulu'!K$11*Ohj.lask.[[#This Row],[%-osuus 2]],0),0)</f>
        <v>220814</v>
      </c>
      <c r="P24" s="350">
        <f>IFERROR(ROUND(VLOOKUP($A24,'2.3 Työll. ja jatko-opisk.'!$A:$K,COLUMN('2.3 Työll. ja jatko-opisk.'!I:I),FALSE),1),0)</f>
        <v>154.19999999999999</v>
      </c>
      <c r="Q24" s="19">
        <f>IFERROR(Ohj.lask.[[#This Row],[Painotetut pisteet 3]]/Ohj.lask.[[#Totals],[Painotetut pisteet 3]],0)</f>
        <v>8.1402616708758121E-4</v>
      </c>
      <c r="R24" s="20">
        <f>ROUND(IFERROR('1.1 Jakotaulu'!L$13*Ohj.lask.[[#This Row],[%-osuus 3]],0),0)</f>
        <v>113031</v>
      </c>
      <c r="S24" s="349">
        <f>IFERROR(ROUND(VLOOKUP($A24,'2.4 Aloittaneet palaute'!$A:$K,COLUMN('2.4 Aloittaneet palaute'!J:J),FALSE),1),0)</f>
        <v>1257.7</v>
      </c>
      <c r="T24" s="23">
        <f>IFERROR(Ohj.lask.[[#This Row],[Painotetut pisteet 4]]/Ohj.lask.[[#Totals],[Painotetut pisteet 4]],0)</f>
        <v>1.0101709443447774E-3</v>
      </c>
      <c r="U24" s="26">
        <f>ROUND(IFERROR('1.1 Jakotaulu'!M$15*Ohj.lask.[[#This Row],[%-osuus 4]],0),0)</f>
        <v>11689</v>
      </c>
      <c r="V24" s="85">
        <f>IFERROR(ROUND(VLOOKUP($A24,'2.5 Päättäneet palaute'!$A:$AC,COLUMN('2.5 Päättäneet palaute'!AB:AB),FALSE),1),0)</f>
        <v>8193.2000000000007</v>
      </c>
      <c r="W24" s="23">
        <f>IFERROR(Ohj.lask.[[#This Row],[Painotetut pisteet 5]]/Ohj.lask.[[#Totals],[Painotetut pisteet 5]],0)</f>
        <v>1.2372519946407291E-3</v>
      </c>
      <c r="X24" s="20">
        <f>ROUND(IFERROR('1.1 Jakotaulu'!M$16*Ohj.lask.[[#This Row],[%-osuus 5]],0),0)</f>
        <v>42949</v>
      </c>
      <c r="Y24" s="22">
        <f>IFERROR(Ohj.lask.[[#This Row],[Jaettava € 6]]/Ohj.lask.[[#Totals],[Jaettava € 6]],"")</f>
        <v>6.4636842932280856E-4</v>
      </c>
      <c r="Z24" s="26">
        <f>IFERROR(Ohj.lask.[[#This Row],[Jaettava € 1]]+Ohj.lask.[[#This Row],[Jaettava € 2]]+Ohj.lask.[[#This Row],[Jaettava € 3]]+Ohj.lask.[[#This Row],[Jaettava € 4]]+Ohj.lask.[[#This Row],[Jaettava € 5]],"")</f>
        <v>1127984</v>
      </c>
      <c r="AA24" s="20">
        <v>0</v>
      </c>
      <c r="AB24" s="20">
        <v>0</v>
      </c>
      <c r="AC24" s="21">
        <v>48442</v>
      </c>
      <c r="AD24" s="20">
        <v>0</v>
      </c>
      <c r="AE24" s="21">
        <v>0</v>
      </c>
      <c r="AF24" s="20">
        <v>0</v>
      </c>
      <c r="AG24" s="21">
        <v>0</v>
      </c>
      <c r="AH24" s="20">
        <v>0</v>
      </c>
      <c r="AI24" s="21">
        <v>0</v>
      </c>
      <c r="AJ24" s="26">
        <v>0</v>
      </c>
      <c r="AK24" s="20">
        <v>0</v>
      </c>
      <c r="AL24" s="20">
        <v>0</v>
      </c>
      <c r="AM24" s="21">
        <v>48442</v>
      </c>
      <c r="AN24" s="136">
        <v>0</v>
      </c>
      <c r="AO24" s="20">
        <f>Ohj.lask.[[#This Row],[Jaettava € 1]]+Ohj.lask.[[#This Row],[Päätös 7, €]]</f>
        <v>739501</v>
      </c>
      <c r="AP24" s="119">
        <f>Ohj.lask.[[#This Row],[Jaettava € 2]]</f>
        <v>220814</v>
      </c>
      <c r="AQ24" s="20">
        <f>Ohj.lask.[[#This Row],[Jaettava € 3]]+Ohj.lask.[[#This Row],[Jaettava € 4]]+Ohj.lask.[[#This Row],[Jaettava € 5]]</f>
        <v>167669</v>
      </c>
      <c r="AR24" s="45">
        <f>Ohj.lask.[[#This Row],[Jaettava € 6]]+Ohj.lask.[[#This Row],[Päätös 7, €]]</f>
        <v>1127984</v>
      </c>
      <c r="AS24" s="45">
        <f>ROUND(IFERROR(VLOOKUP(Ohj.lask.[[#This Row],[Y-tunnus]],'3.1 Alv vahvistettu'!A:Y,COLUMN(C:C),FALSE),0),0)</f>
        <v>69682</v>
      </c>
      <c r="AT24" s="26">
        <f>Ohj.lask.[[#This Row],[Perus-, suoritus- ja vaikuttavuusrahoitus yhteensä, €]]+Ohj.lask.[[#This Row],[Alv-korvaus, €]]</f>
        <v>1197666</v>
      </c>
    </row>
    <row r="25" spans="1:46" ht="12.75" x14ac:dyDescent="0.2">
      <c r="A25" s="147" t="s">
        <v>391</v>
      </c>
      <c r="B25" s="17" t="s">
        <v>37</v>
      </c>
      <c r="C25" s="17" t="s">
        <v>256</v>
      </c>
      <c r="D25" s="17" t="s">
        <v>423</v>
      </c>
      <c r="E25" s="17" t="s">
        <v>663</v>
      </c>
      <c r="F25" s="128">
        <v>183</v>
      </c>
      <c r="G25" s="135">
        <v>20</v>
      </c>
      <c r="H25" s="44">
        <f t="shared" si="0"/>
        <v>203</v>
      </c>
      <c r="I25" s="18">
        <f>IFERROR(VLOOKUP($A25,'2.1 Toteut. op.vuodet'!$A:$Q,COLUMN('2.1 Toteut. op.vuodet'!Q:Q),FALSE),0)</f>
        <v>1.6749634112184935</v>
      </c>
      <c r="J25" s="85">
        <f t="shared" si="1"/>
        <v>340</v>
      </c>
      <c r="K25" s="19">
        <f>IFERROR(Ohj.lask.[[#This Row],[Painotetut opiskelija-vuodet]]/Ohj.lask.[[#Totals],[Painotetut opiskelija-vuodet]],0)</f>
        <v>1.6866744286762434E-3</v>
      </c>
      <c r="L25" s="20">
        <f>ROUND(IFERROR('1.1 Jakotaulu'!L$10*Ohj.lask.[[#This Row],[%-osuus 1]],0),0)</f>
        <v>2006627</v>
      </c>
      <c r="M25" s="349">
        <f>IFERROR(ROUND(VLOOKUP($A25,'2.2 Tutk. ja osien pain. pist.'!$A:$Q,COLUMN('2.2 Tutk. ja osien pain. pist.'!P:P),FALSE),1),0)</f>
        <v>19664.8</v>
      </c>
      <c r="N25" s="19">
        <f>IFERROR(Ohj.lask.[[#This Row],[Painotetut pisteet 2]]/Ohj.lask.[[#Totals],[Painotetut pisteet 2]],0)</f>
        <v>1.2566644472291936E-3</v>
      </c>
      <c r="O25" s="26">
        <f>ROUND(IFERROR('1.1 Jakotaulu'!K$11*Ohj.lask.[[#This Row],[%-osuus 2]],0),0)</f>
        <v>465314</v>
      </c>
      <c r="P25" s="350">
        <f>IFERROR(ROUND(VLOOKUP($A25,'2.3 Työll. ja jatko-opisk.'!$A:$K,COLUMN('2.3 Työll. ja jatko-opisk.'!I:I),FALSE),1),0)</f>
        <v>156.5</v>
      </c>
      <c r="Q25" s="19">
        <f>IFERROR(Ohj.lask.[[#This Row],[Painotetut pisteet 3]]/Ohj.lask.[[#Totals],[Painotetut pisteet 3]],0)</f>
        <v>8.2616793222572288E-4</v>
      </c>
      <c r="R25" s="20">
        <f>ROUND(IFERROR('1.1 Jakotaulu'!L$13*Ohj.lask.[[#This Row],[%-osuus 3]],0),0)</f>
        <v>114717</v>
      </c>
      <c r="S25" s="349">
        <f>IFERROR(ROUND(VLOOKUP($A25,'2.4 Aloittaneet palaute'!$A:$K,COLUMN('2.4 Aloittaneet palaute'!J:J),FALSE),1),0)</f>
        <v>1764.9</v>
      </c>
      <c r="T25" s="23">
        <f>IFERROR(Ohj.lask.[[#This Row],[Painotetut pisteet 4]]/Ohj.lask.[[#Totals],[Painotetut pisteet 4]],0)</f>
        <v>1.4175484612181741E-3</v>
      </c>
      <c r="U25" s="26">
        <f>ROUND(IFERROR('1.1 Jakotaulu'!M$15*Ohj.lask.[[#This Row],[%-osuus 4]],0),0)</f>
        <v>16403</v>
      </c>
      <c r="V25" s="85">
        <f>IFERROR(ROUND(VLOOKUP($A25,'2.5 Päättäneet palaute'!$A:$AC,COLUMN('2.5 Päättäneet palaute'!AB:AB),FALSE),1),0)</f>
        <v>7851.6</v>
      </c>
      <c r="W25" s="23">
        <f>IFERROR(Ohj.lask.[[#This Row],[Painotetut pisteet 5]]/Ohj.lask.[[#Totals],[Painotetut pisteet 5]],0)</f>
        <v>1.1856671094469984E-3</v>
      </c>
      <c r="X25" s="20">
        <f>ROUND(IFERROR('1.1 Jakotaulu'!M$16*Ohj.lask.[[#This Row],[%-osuus 5]],0),0)</f>
        <v>41159</v>
      </c>
      <c r="Y25" s="22">
        <f>IFERROR(Ohj.lask.[[#This Row],[Jaettava € 6]]/Ohj.lask.[[#Totals],[Jaettava € 6]],"")</f>
        <v>1.5152168188413636E-3</v>
      </c>
      <c r="Z25" s="26">
        <f>IFERROR(Ohj.lask.[[#This Row],[Jaettava € 1]]+Ohj.lask.[[#This Row],[Jaettava € 2]]+Ohj.lask.[[#This Row],[Jaettava € 3]]+Ohj.lask.[[#This Row],[Jaettava € 4]]+Ohj.lask.[[#This Row],[Jaettava € 5]],"")</f>
        <v>2644220</v>
      </c>
      <c r="AA25" s="20">
        <v>0</v>
      </c>
      <c r="AB25" s="20">
        <v>0</v>
      </c>
      <c r="AC25" s="21">
        <v>300000</v>
      </c>
      <c r="AD25" s="20">
        <v>0</v>
      </c>
      <c r="AE25" s="21">
        <v>0</v>
      </c>
      <c r="AF25" s="20">
        <v>80000</v>
      </c>
      <c r="AG25" s="21">
        <v>0</v>
      </c>
      <c r="AH25" s="20">
        <v>0</v>
      </c>
      <c r="AI25" s="21">
        <v>0</v>
      </c>
      <c r="AJ25" s="26">
        <v>0</v>
      </c>
      <c r="AK25" s="20">
        <v>0</v>
      </c>
      <c r="AL25" s="20">
        <v>0</v>
      </c>
      <c r="AM25" s="21">
        <v>300000</v>
      </c>
      <c r="AN25" s="136">
        <v>80000</v>
      </c>
      <c r="AO25" s="20">
        <f>Ohj.lask.[[#This Row],[Jaettava € 1]]+Ohj.lask.[[#This Row],[Päätös 7, €]]</f>
        <v>2086627</v>
      </c>
      <c r="AP25" s="119">
        <f>Ohj.lask.[[#This Row],[Jaettava € 2]]</f>
        <v>465314</v>
      </c>
      <c r="AQ25" s="20">
        <f>Ohj.lask.[[#This Row],[Jaettava € 3]]+Ohj.lask.[[#This Row],[Jaettava € 4]]+Ohj.lask.[[#This Row],[Jaettava € 5]]</f>
        <v>172279</v>
      </c>
      <c r="AR25" s="45">
        <f>Ohj.lask.[[#This Row],[Jaettava € 6]]+Ohj.lask.[[#This Row],[Päätös 7, €]]</f>
        <v>2724220</v>
      </c>
      <c r="AS25" s="45">
        <f>ROUND(IFERROR(VLOOKUP(Ohj.lask.[[#This Row],[Y-tunnus]],'3.1 Alv vahvistettu'!A:Y,COLUMN(C:C),FALSE),0),0)</f>
        <v>217386</v>
      </c>
      <c r="AT25" s="26">
        <f>Ohj.lask.[[#This Row],[Perus-, suoritus- ja vaikuttavuusrahoitus yhteensä, €]]+Ohj.lask.[[#This Row],[Alv-korvaus, €]]</f>
        <v>2941606</v>
      </c>
    </row>
    <row r="26" spans="1:46" ht="12.75" x14ac:dyDescent="0.2">
      <c r="A26" s="147" t="s">
        <v>390</v>
      </c>
      <c r="B26" s="17" t="s">
        <v>209</v>
      </c>
      <c r="C26" s="113" t="s">
        <v>238</v>
      </c>
      <c r="D26" s="113" t="s">
        <v>423</v>
      </c>
      <c r="E26" s="113" t="s">
        <v>663</v>
      </c>
      <c r="F26" s="127">
        <v>11</v>
      </c>
      <c r="G26" s="135">
        <v>14</v>
      </c>
      <c r="H26" s="44">
        <f t="shared" si="0"/>
        <v>25</v>
      </c>
      <c r="I26" s="18">
        <f>IFERROR(VLOOKUP($A26,'2.1 Toteut. op.vuodet'!$A:$Q,COLUMN('2.1 Toteut. op.vuodet'!Q:Q),FALSE),0)</f>
        <v>0.53900000000000048</v>
      </c>
      <c r="J26" s="85">
        <f t="shared" si="1"/>
        <v>13.5</v>
      </c>
      <c r="K26" s="19">
        <f>IFERROR(Ohj.lask.[[#This Row],[Painotetut opiskelija-vuodet]]/Ohj.lask.[[#Totals],[Painotetut opiskelija-vuodet]],0)</f>
        <v>6.6970896432733183E-5</v>
      </c>
      <c r="L26" s="20">
        <f>ROUND(IFERROR('1.1 Jakotaulu'!L$10*Ohj.lask.[[#This Row],[%-osuus 1]],0),0)</f>
        <v>79675</v>
      </c>
      <c r="M26" s="349">
        <f>IFERROR(ROUND(VLOOKUP($A26,'2.2 Tutk. ja osien pain. pist.'!$A:$Q,COLUMN('2.2 Tutk. ja osien pain. pist.'!P:P),FALSE),1),0)</f>
        <v>260.3</v>
      </c>
      <c r="N26" s="19">
        <f>IFERROR(Ohj.lask.[[#This Row],[Painotetut pisteet 2]]/Ohj.lask.[[#Totals],[Painotetut pisteet 2]],0)</f>
        <v>1.6634278284740202E-5</v>
      </c>
      <c r="O26" s="26">
        <f>ROUND(IFERROR('1.1 Jakotaulu'!K$11*Ohj.lask.[[#This Row],[%-osuus 2]],0),0)</f>
        <v>6159</v>
      </c>
      <c r="P26" s="350">
        <f>IFERROR(ROUND(VLOOKUP($A26,'2.3 Työll. ja jatko-opisk.'!$A:$K,COLUMN('2.3 Työll. ja jatko-opisk.'!I:I),FALSE),1),0)</f>
        <v>15.6</v>
      </c>
      <c r="Q26" s="23">
        <f>IFERROR(Ohj.lask.[[#This Row],[Painotetut pisteet 3]]/Ohj.lask.[[#Totals],[Painotetut pisteet 3]],0)</f>
        <v>8.2352841806525732E-5</v>
      </c>
      <c r="R26" s="20">
        <f>ROUND(IFERROR('1.1 Jakotaulu'!L$13*Ohj.lask.[[#This Row],[%-osuus 3]],0),0)</f>
        <v>11435</v>
      </c>
      <c r="S26" s="349">
        <f>IFERROR(ROUND(VLOOKUP($A26,'2.4 Aloittaneet palaute'!$A:$K,COLUMN('2.4 Aloittaneet palaute'!J:J),FALSE),1),0)</f>
        <v>142.6</v>
      </c>
      <c r="T26" s="23">
        <f>IFERROR(Ohj.lask.[[#This Row],[Painotetut pisteet 4]]/Ohj.lask.[[#Totals],[Painotetut pisteet 4]],0)</f>
        <v>1.1453476716511508E-4</v>
      </c>
      <c r="U26" s="26">
        <f>ROUND(IFERROR('1.1 Jakotaulu'!M$15*Ohj.lask.[[#This Row],[%-osuus 4]],0),0)</f>
        <v>1325</v>
      </c>
      <c r="V26" s="85">
        <f>IFERROR(ROUND(VLOOKUP($A26,'2.5 Päättäneet palaute'!$A:$AC,COLUMN('2.5 Päättäneet palaute'!AB:AB),FALSE),1),0)</f>
        <v>0</v>
      </c>
      <c r="W26" s="23">
        <f>IFERROR(Ohj.lask.[[#This Row],[Painotetut pisteet 5]]/Ohj.lask.[[#Totals],[Painotetut pisteet 5]],0)</f>
        <v>0</v>
      </c>
      <c r="X26" s="20">
        <f>ROUND(IFERROR('1.1 Jakotaulu'!M$16*Ohj.lask.[[#This Row],[%-osuus 5]],0),0)</f>
        <v>0</v>
      </c>
      <c r="Y26" s="22">
        <f>IFERROR(Ohj.lask.[[#This Row],[Jaettava € 6]]/Ohj.lask.[[#Totals],[Jaettava € 6]],"")</f>
        <v>5.6497298650205136E-5</v>
      </c>
      <c r="Z26" s="26">
        <f>IFERROR(Ohj.lask.[[#This Row],[Jaettava € 1]]+Ohj.lask.[[#This Row],[Jaettava € 2]]+Ohj.lask.[[#This Row],[Jaettava € 3]]+Ohj.lask.[[#This Row],[Jaettava € 4]]+Ohj.lask.[[#This Row],[Jaettava € 5]],"")</f>
        <v>98594</v>
      </c>
      <c r="AA26" s="20">
        <v>0</v>
      </c>
      <c r="AB26" s="20">
        <v>0</v>
      </c>
      <c r="AC26" s="21">
        <v>0</v>
      </c>
      <c r="AD26" s="20">
        <v>0</v>
      </c>
      <c r="AE26" s="21">
        <v>0</v>
      </c>
      <c r="AF26" s="20">
        <v>0</v>
      </c>
      <c r="AG26" s="21">
        <v>0</v>
      </c>
      <c r="AH26" s="20">
        <v>0</v>
      </c>
      <c r="AI26" s="21">
        <v>0</v>
      </c>
      <c r="AJ26" s="26">
        <v>0</v>
      </c>
      <c r="AK26" s="20">
        <v>0</v>
      </c>
      <c r="AL26" s="20">
        <v>0</v>
      </c>
      <c r="AM26" s="21">
        <v>0</v>
      </c>
      <c r="AN26" s="136">
        <v>0</v>
      </c>
      <c r="AO26" s="20">
        <f>Ohj.lask.[[#This Row],[Jaettava € 1]]+Ohj.lask.[[#This Row],[Päätös 7, €]]</f>
        <v>79675</v>
      </c>
      <c r="AP26" s="119">
        <f>Ohj.lask.[[#This Row],[Jaettava € 2]]</f>
        <v>6159</v>
      </c>
      <c r="AQ26" s="20">
        <f>Ohj.lask.[[#This Row],[Jaettava € 3]]+Ohj.lask.[[#This Row],[Jaettava € 4]]+Ohj.lask.[[#This Row],[Jaettava € 5]]</f>
        <v>12760</v>
      </c>
      <c r="AR26" s="45">
        <f>Ohj.lask.[[#This Row],[Jaettava € 6]]+Ohj.lask.[[#This Row],[Päätös 7, €]]</f>
        <v>98594</v>
      </c>
      <c r="AS26" s="45">
        <f>ROUND(IFERROR(VLOOKUP(Ohj.lask.[[#This Row],[Y-tunnus]],'3.1 Alv vahvistettu'!A:Y,COLUMN(C:C),FALSE),0),0)</f>
        <v>4366</v>
      </c>
      <c r="AT26" s="26">
        <f>Ohj.lask.[[#This Row],[Perus-, suoritus- ja vaikuttavuusrahoitus yhteensä, €]]+Ohj.lask.[[#This Row],[Alv-korvaus, €]]</f>
        <v>102960</v>
      </c>
    </row>
    <row r="27" spans="1:46" ht="12.75" x14ac:dyDescent="0.2">
      <c r="A27" s="147" t="s">
        <v>389</v>
      </c>
      <c r="B27" s="17" t="s">
        <v>38</v>
      </c>
      <c r="C27" s="17" t="s">
        <v>238</v>
      </c>
      <c r="D27" s="17" t="s">
        <v>424</v>
      </c>
      <c r="E27" s="17" t="s">
        <v>665</v>
      </c>
      <c r="F27" s="128">
        <v>8947</v>
      </c>
      <c r="G27" s="135">
        <v>1029</v>
      </c>
      <c r="H27" s="44">
        <f t="shared" si="0"/>
        <v>9976</v>
      </c>
      <c r="I27" s="18">
        <f>IFERROR(VLOOKUP($A27,'2.1 Toteut. op.vuodet'!$A:$Q,COLUMN('2.1 Toteut. op.vuodet'!Q:Q),FALSE),0)</f>
        <v>1.0388655750218561</v>
      </c>
      <c r="J27" s="85">
        <f t="shared" si="1"/>
        <v>10363.700000000001</v>
      </c>
      <c r="K27" s="19">
        <f>IFERROR(Ohj.lask.[[#This Row],[Painotetut opiskelija-vuodet]]/Ohj.lask.[[#Totals],[Painotetut opiskelija-vuodet]],0)</f>
        <v>5.141231698962348E-2</v>
      </c>
      <c r="L27" s="20">
        <f>ROUND(IFERROR('1.1 Jakotaulu'!L$10*Ohj.lask.[[#This Row],[%-osuus 1]],0),0)</f>
        <v>61164951</v>
      </c>
      <c r="M27" s="349">
        <f>IFERROR(ROUND(VLOOKUP($A27,'2.2 Tutk. ja osien pain. pist.'!$A:$Q,COLUMN('2.2 Tutk. ja osien pain. pist.'!P:P),FALSE),1),0)</f>
        <v>734578.1</v>
      </c>
      <c r="N27" s="19">
        <f>IFERROR(Ohj.lask.[[#This Row],[Painotetut pisteet 2]]/Ohj.lask.[[#Totals],[Painotetut pisteet 2]],0)</f>
        <v>4.6942668218500634E-2</v>
      </c>
      <c r="O27" s="26">
        <f>ROUND(IFERROR('1.1 Jakotaulu'!K$11*Ohj.lask.[[#This Row],[%-osuus 2]],0),0)</f>
        <v>17381790</v>
      </c>
      <c r="P27" s="350">
        <f>IFERROR(ROUND(VLOOKUP($A27,'2.3 Työll. ja jatko-opisk.'!$A:$K,COLUMN('2.3 Työll. ja jatko-opisk.'!I:I),FALSE),1),0)</f>
        <v>9235.7999999999993</v>
      </c>
      <c r="Q27" s="19">
        <f>IFERROR(Ohj.lask.[[#This Row],[Painotetut pisteet 3]]/Ohj.lask.[[#Totals],[Painotetut pisteet 3]],0)</f>
        <v>4.8756049766455783E-2</v>
      </c>
      <c r="R27" s="20">
        <f>ROUND(IFERROR('1.1 Jakotaulu'!L$13*Ohj.lask.[[#This Row],[%-osuus 3]],0),0)</f>
        <v>6769966</v>
      </c>
      <c r="S27" s="349">
        <f>IFERROR(ROUND(VLOOKUP($A27,'2.4 Aloittaneet palaute'!$A:$K,COLUMN('2.4 Aloittaneet palaute'!J:J),FALSE),1),0)</f>
        <v>32858.699999999997</v>
      </c>
      <c r="T27" s="23">
        <f>IFERROR(Ohj.lask.[[#This Row],[Painotetut pisteet 4]]/Ohj.lask.[[#Totals],[Painotetut pisteet 4]],0)</f>
        <v>2.6391750026987147E-2</v>
      </c>
      <c r="U27" s="26">
        <f>ROUND(IFERROR('1.1 Jakotaulu'!M$15*Ohj.lask.[[#This Row],[%-osuus 4]],0),0)</f>
        <v>305383</v>
      </c>
      <c r="V27" s="85">
        <f>IFERROR(ROUND(VLOOKUP($A27,'2.5 Päättäneet palaute'!$A:$AC,COLUMN('2.5 Päättäneet palaute'!AB:AB),FALSE),1),0)</f>
        <v>118950.9</v>
      </c>
      <c r="W27" s="23">
        <f>IFERROR(Ohj.lask.[[#This Row],[Painotetut pisteet 5]]/Ohj.lask.[[#Totals],[Painotetut pisteet 5]],0)</f>
        <v>1.7962729860043679E-2</v>
      </c>
      <c r="X27" s="20">
        <f>ROUND(IFERROR('1.1 Jakotaulu'!M$16*Ohj.lask.[[#This Row],[%-osuus 5]],0),0)</f>
        <v>623549</v>
      </c>
      <c r="Y27" s="22">
        <f>IFERROR(Ohj.lask.[[#This Row],[Jaettava € 6]]/Ohj.lask.[[#Totals],[Jaettava € 6]],"")</f>
        <v>4.9421319997776533E-2</v>
      </c>
      <c r="Z27" s="26">
        <f>IFERROR(Ohj.lask.[[#This Row],[Jaettava € 1]]+Ohj.lask.[[#This Row],[Jaettava € 2]]+Ohj.lask.[[#This Row],[Jaettava € 3]]+Ohj.lask.[[#This Row],[Jaettava € 4]]+Ohj.lask.[[#This Row],[Jaettava € 5]],"")</f>
        <v>86245639</v>
      </c>
      <c r="AA27" s="20">
        <v>525000</v>
      </c>
      <c r="AB27" s="20">
        <v>0</v>
      </c>
      <c r="AC27" s="21">
        <v>0</v>
      </c>
      <c r="AD27" s="20">
        <v>0</v>
      </c>
      <c r="AE27" s="21">
        <v>0</v>
      </c>
      <c r="AF27" s="20">
        <v>0</v>
      </c>
      <c r="AG27" s="21">
        <v>0</v>
      </c>
      <c r="AH27" s="20">
        <v>250000</v>
      </c>
      <c r="AI27" s="21">
        <v>570000</v>
      </c>
      <c r="AJ27" s="26">
        <v>140000</v>
      </c>
      <c r="AK27" s="20">
        <v>75000</v>
      </c>
      <c r="AL27" s="20">
        <v>35000</v>
      </c>
      <c r="AM27" s="21">
        <v>1170000</v>
      </c>
      <c r="AN27" s="136">
        <v>425000</v>
      </c>
      <c r="AO27" s="20">
        <f>Ohj.lask.[[#This Row],[Jaettava € 1]]+Ohj.lask.[[#This Row],[Päätös 7, €]]</f>
        <v>61589951</v>
      </c>
      <c r="AP27" s="119">
        <f>Ohj.lask.[[#This Row],[Jaettava € 2]]</f>
        <v>17381790</v>
      </c>
      <c r="AQ27" s="20">
        <f>Ohj.lask.[[#This Row],[Jaettava € 3]]+Ohj.lask.[[#This Row],[Jaettava € 4]]+Ohj.lask.[[#This Row],[Jaettava € 5]]</f>
        <v>7698898</v>
      </c>
      <c r="AR27" s="45">
        <f>Ohj.lask.[[#This Row],[Jaettava € 6]]+Ohj.lask.[[#This Row],[Päätös 7, €]]</f>
        <v>86670639</v>
      </c>
      <c r="AS27" s="45">
        <f>ROUND(IFERROR(VLOOKUP(Ohj.lask.[[#This Row],[Y-tunnus]],'3.1 Alv vahvistettu'!A:Y,COLUMN(C:C),FALSE),0),0)</f>
        <v>0</v>
      </c>
      <c r="AT27" s="26">
        <f>Ohj.lask.[[#This Row],[Perus-, suoritus- ja vaikuttavuusrahoitus yhteensä, €]]+Ohj.lask.[[#This Row],[Alv-korvaus, €]]</f>
        <v>86670639</v>
      </c>
    </row>
    <row r="28" spans="1:46" ht="12.75" x14ac:dyDescent="0.2">
      <c r="A28" s="147" t="s">
        <v>385</v>
      </c>
      <c r="B28" s="17" t="s">
        <v>39</v>
      </c>
      <c r="C28" s="17" t="s">
        <v>238</v>
      </c>
      <c r="D28" s="17" t="s">
        <v>423</v>
      </c>
      <c r="E28" s="17" t="s">
        <v>663</v>
      </c>
      <c r="F28" s="128">
        <v>59</v>
      </c>
      <c r="G28" s="135">
        <v>5</v>
      </c>
      <c r="H28" s="44">
        <f t="shared" si="0"/>
        <v>64</v>
      </c>
      <c r="I28" s="18">
        <f>IFERROR(VLOOKUP($A28,'2.1 Toteut. op.vuodet'!$A:$Q,COLUMN('2.1 Toteut. op.vuodet'!Q:Q),FALSE),0)</f>
        <v>1.5924203644456822</v>
      </c>
      <c r="J28" s="85">
        <f t="shared" si="1"/>
        <v>101.9</v>
      </c>
      <c r="K28" s="19">
        <f>IFERROR(Ohj.lask.[[#This Row],[Painotetut opiskelija-vuodet]]/Ohj.lask.[[#Totals],[Painotetut opiskelija-vuodet]],0)</f>
        <v>5.0550624788855644E-4</v>
      </c>
      <c r="L28" s="20">
        <f>ROUND(IFERROR('1.1 Jakotaulu'!L$10*Ohj.lask.[[#This Row],[%-osuus 1]],0),0)</f>
        <v>601398</v>
      </c>
      <c r="M28" s="349">
        <f>IFERROR(ROUND(VLOOKUP($A28,'2.2 Tutk. ja osien pain. pist.'!$A:$Q,COLUMN('2.2 Tutk. ja osien pain. pist.'!P:P),FALSE),1),0)</f>
        <v>12594.1</v>
      </c>
      <c r="N28" s="19">
        <f>IFERROR(Ohj.lask.[[#This Row],[Painotetut pisteet 2]]/Ohj.lask.[[#Totals],[Painotetut pisteet 2]],0)</f>
        <v>8.0481661216229956E-4</v>
      </c>
      <c r="O28" s="26">
        <f>ROUND(IFERROR('1.1 Jakotaulu'!K$11*Ohj.lask.[[#This Row],[%-osuus 2]],0),0)</f>
        <v>298005</v>
      </c>
      <c r="P28" s="350">
        <f>IFERROR(ROUND(VLOOKUP($A28,'2.3 Työll. ja jatko-opisk.'!$A:$K,COLUMN('2.3 Työll. ja jatko-opisk.'!I:I),FALSE),1),0)</f>
        <v>93.4</v>
      </c>
      <c r="Q28" s="19">
        <f>IFERROR(Ohj.lask.[[#This Row],[Painotetut pisteet 3]]/Ohj.lask.[[#Totals],[Painotetut pisteet 3]],0)</f>
        <v>4.9306124517496815E-4</v>
      </c>
      <c r="R28" s="20">
        <f>ROUND(IFERROR('1.1 Jakotaulu'!L$13*Ohj.lask.[[#This Row],[%-osuus 3]],0),0)</f>
        <v>68463</v>
      </c>
      <c r="S28" s="349">
        <f>IFERROR(ROUND(VLOOKUP($A28,'2.4 Aloittaneet palaute'!$A:$K,COLUMN('2.4 Aloittaneet palaute'!J:J),FALSE),1),0)</f>
        <v>584.29999999999995</v>
      </c>
      <c r="T28" s="23">
        <f>IFERROR(Ohj.lask.[[#This Row],[Painotetut pisteet 4]]/Ohj.lask.[[#Totals],[Painotetut pisteet 4]],0)</f>
        <v>4.6930339729717212E-4</v>
      </c>
      <c r="U28" s="26">
        <f>ROUND(IFERROR('1.1 Jakotaulu'!M$15*Ohj.lask.[[#This Row],[%-osuus 4]],0),0)</f>
        <v>5430</v>
      </c>
      <c r="V28" s="85">
        <f>IFERROR(ROUND(VLOOKUP($A28,'2.5 Päättäneet palaute'!$A:$AC,COLUMN('2.5 Päättäneet palaute'!AB:AB),FALSE),1),0)</f>
        <v>2910.5</v>
      </c>
      <c r="W28" s="23">
        <f>IFERROR(Ohj.lask.[[#This Row],[Painotetut pisteet 5]]/Ohj.lask.[[#Totals],[Painotetut pisteet 5]],0)</f>
        <v>4.3951349050454545E-4</v>
      </c>
      <c r="X28" s="20">
        <f>ROUND(IFERROR('1.1 Jakotaulu'!M$16*Ohj.lask.[[#This Row],[%-osuus 5]],0),0)</f>
        <v>15257</v>
      </c>
      <c r="Y28" s="22">
        <f>IFERROR(Ohj.lask.[[#This Row],[Jaettava € 6]]/Ohj.lask.[[#Totals],[Jaettava € 6]],"")</f>
        <v>5.6647031333099615E-4</v>
      </c>
      <c r="Z28" s="26">
        <f>IFERROR(Ohj.lask.[[#This Row],[Jaettava € 1]]+Ohj.lask.[[#This Row],[Jaettava € 2]]+Ohj.lask.[[#This Row],[Jaettava € 3]]+Ohj.lask.[[#This Row],[Jaettava € 4]]+Ohj.lask.[[#This Row],[Jaettava € 5]],"")</f>
        <v>988553</v>
      </c>
      <c r="AA28" s="20">
        <v>0</v>
      </c>
      <c r="AB28" s="20">
        <v>0</v>
      </c>
      <c r="AC28" s="21">
        <v>0</v>
      </c>
      <c r="AD28" s="20">
        <v>0</v>
      </c>
      <c r="AE28" s="21">
        <v>0</v>
      </c>
      <c r="AF28" s="20">
        <v>0</v>
      </c>
      <c r="AG28" s="21">
        <v>0</v>
      </c>
      <c r="AH28" s="20">
        <v>0</v>
      </c>
      <c r="AI28" s="21">
        <v>0</v>
      </c>
      <c r="AJ28" s="26">
        <v>0</v>
      </c>
      <c r="AK28" s="20">
        <v>0</v>
      </c>
      <c r="AL28" s="20">
        <v>0</v>
      </c>
      <c r="AM28" s="21">
        <v>0</v>
      </c>
      <c r="AN28" s="136">
        <v>0</v>
      </c>
      <c r="AO28" s="20">
        <f>Ohj.lask.[[#This Row],[Jaettava € 1]]+Ohj.lask.[[#This Row],[Päätös 7, €]]</f>
        <v>601398</v>
      </c>
      <c r="AP28" s="119">
        <f>Ohj.lask.[[#This Row],[Jaettava € 2]]</f>
        <v>298005</v>
      </c>
      <c r="AQ28" s="20">
        <f>Ohj.lask.[[#This Row],[Jaettava € 3]]+Ohj.lask.[[#This Row],[Jaettava € 4]]+Ohj.lask.[[#This Row],[Jaettava € 5]]</f>
        <v>89150</v>
      </c>
      <c r="AR28" s="45">
        <f>Ohj.lask.[[#This Row],[Jaettava € 6]]+Ohj.lask.[[#This Row],[Päätös 7, €]]</f>
        <v>988553</v>
      </c>
      <c r="AS28" s="45">
        <f>ROUND(IFERROR(VLOOKUP(Ohj.lask.[[#This Row],[Y-tunnus]],'3.1 Alv vahvistettu'!A:Y,COLUMN(C:C),FALSE),0),0)</f>
        <v>23778</v>
      </c>
      <c r="AT28" s="26">
        <f>Ohj.lask.[[#This Row],[Perus-, suoritus- ja vaikuttavuusrahoitus yhteensä, €]]+Ohj.lask.[[#This Row],[Alv-korvaus, €]]</f>
        <v>1012331</v>
      </c>
    </row>
    <row r="29" spans="1:46" ht="12.75" x14ac:dyDescent="0.2">
      <c r="A29" s="147" t="s">
        <v>388</v>
      </c>
      <c r="B29" s="17" t="s">
        <v>40</v>
      </c>
      <c r="C29" s="17" t="s">
        <v>238</v>
      </c>
      <c r="D29" s="17" t="s">
        <v>423</v>
      </c>
      <c r="E29" s="17" t="s">
        <v>663</v>
      </c>
      <c r="F29" s="128">
        <v>1890</v>
      </c>
      <c r="G29" s="135">
        <v>200</v>
      </c>
      <c r="H29" s="44">
        <f t="shared" si="0"/>
        <v>2090</v>
      </c>
      <c r="I29" s="18">
        <f>IFERROR(VLOOKUP($A29,'2.1 Toteut. op.vuodet'!$A:$Q,COLUMN('2.1 Toteut. op.vuodet'!Q:Q),FALSE),0)</f>
        <v>0.82195354304156587</v>
      </c>
      <c r="J29" s="85">
        <f t="shared" si="1"/>
        <v>1717.9</v>
      </c>
      <c r="K29" s="19">
        <f>IFERROR(Ohj.lask.[[#This Row],[Painotetut opiskelija-vuodet]]/Ohj.lask.[[#Totals],[Painotetut opiskelija-vuodet]],0)</f>
        <v>8.5221705912438776E-3</v>
      </c>
      <c r="L29" s="20">
        <f>ROUND(IFERROR('1.1 Jakotaulu'!L$10*Ohj.lask.[[#This Row],[%-osuus 1]],0),0)</f>
        <v>10138779</v>
      </c>
      <c r="M29" s="349">
        <f>IFERROR(ROUND(VLOOKUP($A29,'2.2 Tutk. ja osien pain. pist.'!$A:$Q,COLUMN('2.2 Tutk. ja osien pain. pist.'!P:P),FALSE),1),0)</f>
        <v>125288.3</v>
      </c>
      <c r="N29" s="19">
        <f>IFERROR(Ohj.lask.[[#This Row],[Painotetut pisteet 2]]/Ohj.lask.[[#Totals],[Painotetut pisteet 2]],0)</f>
        <v>8.0064558126085889E-3</v>
      </c>
      <c r="O29" s="26">
        <f>ROUND(IFERROR('1.1 Jakotaulu'!K$11*Ohj.lask.[[#This Row],[%-osuus 2]],0),0)</f>
        <v>2964606</v>
      </c>
      <c r="P29" s="350">
        <f>IFERROR(ROUND(VLOOKUP($A29,'2.3 Työll. ja jatko-opisk.'!$A:$K,COLUMN('2.3 Työll. ja jatko-opisk.'!I:I),FALSE),1),0)</f>
        <v>1754.7</v>
      </c>
      <c r="Q29" s="19">
        <f>IFERROR(Ohj.lask.[[#This Row],[Painotetut pisteet 3]]/Ohj.lask.[[#Totals],[Painotetut pisteet 3]],0)</f>
        <v>9.2631109947378647E-3</v>
      </c>
      <c r="R29" s="20">
        <f>ROUND(IFERROR('1.1 Jakotaulu'!L$13*Ohj.lask.[[#This Row],[%-osuus 3]],0),0)</f>
        <v>1286219</v>
      </c>
      <c r="S29" s="349">
        <f>IFERROR(ROUND(VLOOKUP($A29,'2.4 Aloittaneet palaute'!$A:$K,COLUMN('2.4 Aloittaneet palaute'!J:J),FALSE),1),0)</f>
        <v>17876.599999999999</v>
      </c>
      <c r="T29" s="23">
        <f>IFERROR(Ohj.lask.[[#This Row],[Painotetut pisteet 4]]/Ohj.lask.[[#Totals],[Painotetut pisteet 4]],0)</f>
        <v>1.4358290453744014E-2</v>
      </c>
      <c r="U29" s="26">
        <f>ROUND(IFERROR('1.1 Jakotaulu'!M$15*Ohj.lask.[[#This Row],[%-osuus 4]],0),0)</f>
        <v>166142</v>
      </c>
      <c r="V29" s="85">
        <f>IFERROR(ROUND(VLOOKUP($A29,'2.5 Päättäneet palaute'!$A:$AC,COLUMN('2.5 Päättäneet palaute'!AB:AB),FALSE),1),0)</f>
        <v>37869.9</v>
      </c>
      <c r="W29" s="23">
        <f>IFERROR(Ohj.lask.[[#This Row],[Painotetut pisteet 5]]/Ohj.lask.[[#Totals],[Painotetut pisteet 5]],0)</f>
        <v>5.7187190977694849E-3</v>
      </c>
      <c r="X29" s="20">
        <f>ROUND(IFERROR('1.1 Jakotaulu'!M$16*Ohj.lask.[[#This Row],[%-osuus 5]],0),0)</f>
        <v>198517</v>
      </c>
      <c r="Y29" s="22">
        <f>IFERROR(Ohj.lask.[[#This Row],[Jaettava € 6]]/Ohj.lask.[[#Totals],[Jaettava € 6]],"")</f>
        <v>8.4546321589008613E-3</v>
      </c>
      <c r="Z29" s="26">
        <f>IFERROR(Ohj.lask.[[#This Row],[Jaettava € 1]]+Ohj.lask.[[#This Row],[Jaettava € 2]]+Ohj.lask.[[#This Row],[Jaettava € 3]]+Ohj.lask.[[#This Row],[Jaettava € 4]]+Ohj.lask.[[#This Row],[Jaettava € 5]],"")</f>
        <v>14754263</v>
      </c>
      <c r="AA29" s="20">
        <v>0</v>
      </c>
      <c r="AB29" s="20">
        <v>0</v>
      </c>
      <c r="AC29" s="21">
        <v>600000</v>
      </c>
      <c r="AD29" s="20">
        <v>0</v>
      </c>
      <c r="AE29" s="21">
        <v>0</v>
      </c>
      <c r="AF29" s="20">
        <v>0</v>
      </c>
      <c r="AG29" s="21">
        <v>0</v>
      </c>
      <c r="AH29" s="20">
        <v>0</v>
      </c>
      <c r="AI29" s="21">
        <v>0</v>
      </c>
      <c r="AJ29" s="26">
        <v>0</v>
      </c>
      <c r="AK29" s="20">
        <v>0</v>
      </c>
      <c r="AL29" s="20">
        <v>0</v>
      </c>
      <c r="AM29" s="21">
        <v>600000</v>
      </c>
      <c r="AN29" s="136">
        <v>0</v>
      </c>
      <c r="AO29" s="20">
        <f>Ohj.lask.[[#This Row],[Jaettava € 1]]+Ohj.lask.[[#This Row],[Päätös 7, €]]</f>
        <v>10138779</v>
      </c>
      <c r="AP29" s="119">
        <f>Ohj.lask.[[#This Row],[Jaettava € 2]]</f>
        <v>2964606</v>
      </c>
      <c r="AQ29" s="20">
        <f>Ohj.lask.[[#This Row],[Jaettava € 3]]+Ohj.lask.[[#This Row],[Jaettava € 4]]+Ohj.lask.[[#This Row],[Jaettava € 5]]</f>
        <v>1650878</v>
      </c>
      <c r="AR29" s="45">
        <f>Ohj.lask.[[#This Row],[Jaettava € 6]]+Ohj.lask.[[#This Row],[Päätös 7, €]]</f>
        <v>14754263</v>
      </c>
      <c r="AS29" s="45">
        <f>ROUND(IFERROR(VLOOKUP(Ohj.lask.[[#This Row],[Y-tunnus]],'3.1 Alv vahvistettu'!A:Y,COLUMN(C:C),FALSE),0),0)</f>
        <v>1190790</v>
      </c>
      <c r="AT29" s="26">
        <f>Ohj.lask.[[#This Row],[Perus-, suoritus- ja vaikuttavuusrahoitus yhteensä, €]]+Ohj.lask.[[#This Row],[Alv-korvaus, €]]</f>
        <v>15945053</v>
      </c>
    </row>
    <row r="30" spans="1:46" ht="12.75" x14ac:dyDescent="0.2">
      <c r="A30" s="147" t="s">
        <v>387</v>
      </c>
      <c r="B30" s="17" t="s">
        <v>41</v>
      </c>
      <c r="C30" s="17" t="s">
        <v>238</v>
      </c>
      <c r="D30" s="17" t="s">
        <v>423</v>
      </c>
      <c r="E30" s="17" t="s">
        <v>663</v>
      </c>
      <c r="F30" s="128">
        <v>1462</v>
      </c>
      <c r="G30" s="135">
        <v>102</v>
      </c>
      <c r="H30" s="44">
        <f t="shared" si="0"/>
        <v>1564</v>
      </c>
      <c r="I30" s="18">
        <f>IFERROR(VLOOKUP($A30,'2.1 Toteut. op.vuodet'!$A:$Q,COLUMN('2.1 Toteut. op.vuodet'!Q:Q),FALSE),0)</f>
        <v>4.7251124161443894</v>
      </c>
      <c r="J30" s="85">
        <f t="shared" si="1"/>
        <v>7390.1</v>
      </c>
      <c r="K30" s="19">
        <f>IFERROR(Ohj.lask.[[#This Row],[Painotetut opiskelija-vuodet]]/Ohj.lask.[[#Totals],[Painotetut opiskelija-vuodet]],0)</f>
        <v>3.6660860868706784E-2</v>
      </c>
      <c r="L30" s="20">
        <f>ROUND(IFERROR('1.1 Jakotaulu'!L$10*Ohj.lask.[[#This Row],[%-osuus 1]],0),0)</f>
        <v>43615225</v>
      </c>
      <c r="M30" s="349">
        <f>IFERROR(ROUND(VLOOKUP($A30,'2.2 Tutk. ja osien pain. pist.'!$A:$Q,COLUMN('2.2 Tutk. ja osien pain. pist.'!P:P),FALSE),1),0)</f>
        <v>338767.6</v>
      </c>
      <c r="N30" s="19">
        <f>IFERROR(Ohj.lask.[[#This Row],[Painotetut pisteet 2]]/Ohj.lask.[[#Totals],[Painotetut pisteet 2]],0)</f>
        <v>2.1648692017877658E-2</v>
      </c>
      <c r="O30" s="26">
        <f>ROUND(IFERROR('1.1 Jakotaulu'!K$11*Ohj.lask.[[#This Row],[%-osuus 2]],0),0)</f>
        <v>8016013</v>
      </c>
      <c r="P30" s="350">
        <f>IFERROR(ROUND(VLOOKUP($A30,'2.3 Työll. ja jatko-opisk.'!$A:$K,COLUMN('2.3 Työll. ja jatko-opisk.'!I:I),FALSE),1),0)</f>
        <v>666</v>
      </c>
      <c r="Q30" s="19">
        <f>IFERROR(Ohj.lask.[[#This Row],[Painotetut pisteet 3]]/Ohj.lask.[[#Totals],[Painotetut pisteet 3]],0)</f>
        <v>3.5158328617401367E-3</v>
      </c>
      <c r="R30" s="20">
        <f>ROUND(IFERROR('1.1 Jakotaulu'!L$13*Ohj.lask.[[#This Row],[%-osuus 3]],0),0)</f>
        <v>488187</v>
      </c>
      <c r="S30" s="349">
        <f>IFERROR(ROUND(VLOOKUP($A30,'2.4 Aloittaneet palaute'!$A:$K,COLUMN('2.4 Aloittaneet palaute'!J:J),FALSE),1),0)</f>
        <v>10852.7</v>
      </c>
      <c r="T30" s="23">
        <f>IFERROR(Ohj.lask.[[#This Row],[Painotetut pisteet 4]]/Ohj.lask.[[#Totals],[Painotetut pisteet 4]],0)</f>
        <v>8.7167704601181246E-3</v>
      </c>
      <c r="U30" s="26">
        <f>ROUND(IFERROR('1.1 Jakotaulu'!M$15*Ohj.lask.[[#This Row],[%-osuus 4]],0),0)</f>
        <v>100863</v>
      </c>
      <c r="V30" s="85">
        <f>IFERROR(ROUND(VLOOKUP($A30,'2.5 Päättäneet palaute'!$A:$AC,COLUMN('2.5 Päättäneet palaute'!AB:AB),FALSE),1),0)</f>
        <v>60058.9</v>
      </c>
      <c r="W30" s="23">
        <f>IFERROR(Ohj.lask.[[#This Row],[Painotetut pisteet 5]]/Ohj.lask.[[#Totals],[Painotetut pisteet 5]],0)</f>
        <v>9.0694714911058044E-3</v>
      </c>
      <c r="X30" s="20">
        <f>ROUND(IFERROR('1.1 Jakotaulu'!M$16*Ohj.lask.[[#This Row],[%-osuus 5]],0),0)</f>
        <v>314833</v>
      </c>
      <c r="Y30" s="22">
        <f>IFERROR(Ohj.lask.[[#This Row],[Jaettava € 6]]/Ohj.lask.[[#Totals],[Jaettava € 6]],"")</f>
        <v>3.0104189106453367E-2</v>
      </c>
      <c r="Z30" s="26">
        <f>IFERROR(Ohj.lask.[[#This Row],[Jaettava € 1]]+Ohj.lask.[[#This Row],[Jaettava € 2]]+Ohj.lask.[[#This Row],[Jaettava € 3]]+Ohj.lask.[[#This Row],[Jaettava € 4]]+Ohj.lask.[[#This Row],[Jaettava € 5]],"")</f>
        <v>52535121</v>
      </c>
      <c r="AA30" s="20">
        <v>0</v>
      </c>
      <c r="AB30" s="20">
        <v>0</v>
      </c>
      <c r="AC30" s="21">
        <v>0</v>
      </c>
      <c r="AD30" s="20">
        <v>0</v>
      </c>
      <c r="AE30" s="21">
        <v>0</v>
      </c>
      <c r="AF30" s="20">
        <v>0</v>
      </c>
      <c r="AG30" s="21">
        <v>0</v>
      </c>
      <c r="AH30" s="20">
        <v>0</v>
      </c>
      <c r="AI30" s="21">
        <v>80000</v>
      </c>
      <c r="AJ30" s="26">
        <v>80000</v>
      </c>
      <c r="AK30" s="20">
        <v>0</v>
      </c>
      <c r="AL30" s="20">
        <v>0</v>
      </c>
      <c r="AM30" s="21">
        <v>80000</v>
      </c>
      <c r="AN30" s="136">
        <v>80000</v>
      </c>
      <c r="AO30" s="20">
        <f>Ohj.lask.[[#This Row],[Jaettava € 1]]+Ohj.lask.[[#This Row],[Päätös 7, €]]</f>
        <v>43695225</v>
      </c>
      <c r="AP30" s="119">
        <f>Ohj.lask.[[#This Row],[Jaettava € 2]]</f>
        <v>8016013</v>
      </c>
      <c r="AQ30" s="20">
        <f>Ohj.lask.[[#This Row],[Jaettava € 3]]+Ohj.lask.[[#This Row],[Jaettava € 4]]+Ohj.lask.[[#This Row],[Jaettava € 5]]</f>
        <v>903883</v>
      </c>
      <c r="AR30" s="45">
        <f>Ohj.lask.[[#This Row],[Jaettava € 6]]+Ohj.lask.[[#This Row],[Päätös 7, €]]</f>
        <v>52615121</v>
      </c>
      <c r="AS30" s="45">
        <f>ROUND(IFERROR(VLOOKUP(Ohj.lask.[[#This Row],[Y-tunnus]],'3.1 Alv vahvistettu'!A:Y,COLUMN(C:C),FALSE),0),0)</f>
        <v>2247545</v>
      </c>
      <c r="AT30" s="26">
        <f>Ohj.lask.[[#This Row],[Perus-, suoritus- ja vaikuttavuusrahoitus yhteensä, €]]+Ohj.lask.[[#This Row],[Alv-korvaus, €]]</f>
        <v>54862666</v>
      </c>
    </row>
    <row r="31" spans="1:46" ht="12.75" x14ac:dyDescent="0.2">
      <c r="A31" s="147" t="s">
        <v>386</v>
      </c>
      <c r="B31" s="17" t="s">
        <v>42</v>
      </c>
      <c r="C31" s="17" t="s">
        <v>334</v>
      </c>
      <c r="D31" s="17" t="s">
        <v>423</v>
      </c>
      <c r="E31" s="17" t="s">
        <v>663</v>
      </c>
      <c r="F31" s="128">
        <v>310</v>
      </c>
      <c r="G31" s="135">
        <v>12</v>
      </c>
      <c r="H31" s="44">
        <f t="shared" si="0"/>
        <v>322</v>
      </c>
      <c r="I31" s="18">
        <f>IFERROR(VLOOKUP($A31,'2.1 Toteut. op.vuodet'!$A:$Q,COLUMN('2.1 Toteut. op.vuodet'!Q:Q),FALSE),0)</f>
        <v>1.525299597971344</v>
      </c>
      <c r="J31" s="85">
        <f t="shared" si="1"/>
        <v>491.1</v>
      </c>
      <c r="K31" s="19">
        <f>IFERROR(Ohj.lask.[[#This Row],[Painotetut opiskelija-vuodet]]/Ohj.lask.[[#Totals],[Painotetut opiskelija-vuodet]],0)</f>
        <v>2.4362523880085388E-3</v>
      </c>
      <c r="L31" s="20">
        <f>ROUND(IFERROR('1.1 Jakotaulu'!L$10*Ohj.lask.[[#This Row],[%-osuus 1]],0),0)</f>
        <v>2898396</v>
      </c>
      <c r="M31" s="349">
        <f>IFERROR(ROUND(VLOOKUP($A31,'2.2 Tutk. ja osien pain. pist.'!$A:$Q,COLUMN('2.2 Tutk. ja osien pain. pist.'!P:P),FALSE),1),0)</f>
        <v>22149.5</v>
      </c>
      <c r="N31" s="19">
        <f>IFERROR(Ohj.lask.[[#This Row],[Painotetut pisteet 2]]/Ohj.lask.[[#Totals],[Painotetut pisteet 2]],0)</f>
        <v>1.4154473563882178E-3</v>
      </c>
      <c r="O31" s="26">
        <f>ROUND(IFERROR('1.1 Jakotaulu'!K$11*Ohj.lask.[[#This Row],[%-osuus 2]],0),0)</f>
        <v>524108</v>
      </c>
      <c r="P31" s="350">
        <f>IFERROR(ROUND(VLOOKUP($A31,'2.3 Työll. ja jatko-opisk.'!$A:$K,COLUMN('2.3 Työll. ja jatko-opisk.'!I:I),FALSE),1),0)</f>
        <v>334</v>
      </c>
      <c r="Q31" s="19">
        <f>IFERROR(Ohj.lask.[[#This Row],[Painotetut pisteet 3]]/Ohj.lask.[[#Totals],[Painotetut pisteet 3]],0)</f>
        <v>1.7631954591909996E-3</v>
      </c>
      <c r="R31" s="20">
        <f>ROUND(IFERROR('1.1 Jakotaulu'!L$13*Ohj.lask.[[#This Row],[%-osuus 3]],0),0)</f>
        <v>244827</v>
      </c>
      <c r="S31" s="349">
        <f>IFERROR(ROUND(VLOOKUP($A31,'2.4 Aloittaneet palaute'!$A:$K,COLUMN('2.4 Aloittaneet palaute'!J:J),FALSE),1),0)</f>
        <v>1070.0999999999999</v>
      </c>
      <c r="T31" s="23">
        <f>IFERROR(Ohj.lask.[[#This Row],[Painotetut pisteet 4]]/Ohj.lask.[[#Totals],[Painotetut pisteet 4]],0)</f>
        <v>8.5949266720469601E-4</v>
      </c>
      <c r="U31" s="26">
        <f>ROUND(IFERROR('1.1 Jakotaulu'!M$15*Ohj.lask.[[#This Row],[%-osuus 4]],0),0)</f>
        <v>9945</v>
      </c>
      <c r="V31" s="85">
        <f>IFERROR(ROUND(VLOOKUP($A31,'2.5 Päättäneet palaute'!$A:$AC,COLUMN('2.5 Päättäneet palaute'!AB:AB),FALSE),1),0)</f>
        <v>4080.7</v>
      </c>
      <c r="W31" s="23">
        <f>IFERROR(Ohj.lask.[[#This Row],[Painotetut pisteet 5]]/Ohj.lask.[[#Totals],[Painotetut pisteet 5]],0)</f>
        <v>6.1622494440882953E-4</v>
      </c>
      <c r="X31" s="20">
        <f>ROUND(IFERROR('1.1 Jakotaulu'!M$16*Ohj.lask.[[#This Row],[%-osuus 5]],0),0)</f>
        <v>21391</v>
      </c>
      <c r="Y31" s="22">
        <f>IFERROR(Ohj.lask.[[#This Row],[Jaettava € 6]]/Ohj.lask.[[#Totals],[Jaettava € 6]],"")</f>
        <v>2.1194463568438068E-3</v>
      </c>
      <c r="Z31" s="26">
        <f>IFERROR(Ohj.lask.[[#This Row],[Jaettava € 1]]+Ohj.lask.[[#This Row],[Jaettava € 2]]+Ohj.lask.[[#This Row],[Jaettava € 3]]+Ohj.lask.[[#This Row],[Jaettava € 4]]+Ohj.lask.[[#This Row],[Jaettava € 5]],"")</f>
        <v>3698667</v>
      </c>
      <c r="AA31" s="20">
        <v>120000</v>
      </c>
      <c r="AB31" s="20">
        <v>0</v>
      </c>
      <c r="AC31" s="21">
        <v>0</v>
      </c>
      <c r="AD31" s="20">
        <v>0</v>
      </c>
      <c r="AE31" s="21">
        <v>0</v>
      </c>
      <c r="AF31" s="20">
        <v>120000</v>
      </c>
      <c r="AG31" s="21">
        <v>0</v>
      </c>
      <c r="AH31" s="20">
        <v>0</v>
      </c>
      <c r="AI31" s="21">
        <v>37000</v>
      </c>
      <c r="AJ31" s="26">
        <v>0</v>
      </c>
      <c r="AK31" s="20">
        <v>0</v>
      </c>
      <c r="AL31" s="20">
        <v>0</v>
      </c>
      <c r="AM31" s="21">
        <v>157000</v>
      </c>
      <c r="AN31" s="136">
        <v>120000</v>
      </c>
      <c r="AO31" s="20">
        <f>Ohj.lask.[[#This Row],[Jaettava € 1]]+Ohj.lask.[[#This Row],[Päätös 7, €]]</f>
        <v>3018396</v>
      </c>
      <c r="AP31" s="119">
        <f>Ohj.lask.[[#This Row],[Jaettava € 2]]</f>
        <v>524108</v>
      </c>
      <c r="AQ31" s="20">
        <f>Ohj.lask.[[#This Row],[Jaettava € 3]]+Ohj.lask.[[#This Row],[Jaettava € 4]]+Ohj.lask.[[#This Row],[Jaettava € 5]]</f>
        <v>276163</v>
      </c>
      <c r="AR31" s="45">
        <f>Ohj.lask.[[#This Row],[Jaettava € 6]]+Ohj.lask.[[#This Row],[Päätös 7, €]]</f>
        <v>3818667</v>
      </c>
      <c r="AS31" s="45">
        <f>ROUND(IFERROR(VLOOKUP(Ohj.lask.[[#This Row],[Y-tunnus]],'3.1 Alv vahvistettu'!A:Y,COLUMN(C:C),FALSE),0),0)</f>
        <v>281161</v>
      </c>
      <c r="AT31" s="26">
        <f>Ohj.lask.[[#This Row],[Perus-, suoritus- ja vaikuttavuusrahoitus yhteensä, €]]+Ohj.lask.[[#This Row],[Alv-korvaus, €]]</f>
        <v>4099828</v>
      </c>
    </row>
    <row r="32" spans="1:46" ht="12.75" x14ac:dyDescent="0.2">
      <c r="A32" s="147" t="s">
        <v>383</v>
      </c>
      <c r="B32" s="17" t="s">
        <v>43</v>
      </c>
      <c r="C32" s="17" t="s">
        <v>238</v>
      </c>
      <c r="D32" s="17" t="s">
        <v>423</v>
      </c>
      <c r="E32" s="17" t="s">
        <v>663</v>
      </c>
      <c r="F32" s="128">
        <v>3141</v>
      </c>
      <c r="G32" s="135">
        <v>320</v>
      </c>
      <c r="H32" s="44">
        <f t="shared" si="0"/>
        <v>3461</v>
      </c>
      <c r="I32" s="18">
        <f>IFERROR(VLOOKUP($A32,'2.1 Toteut. op.vuodet'!$A:$Q,COLUMN('2.1 Toteut. op.vuodet'!Q:Q),FALSE),0)</f>
        <v>1.057127426343125</v>
      </c>
      <c r="J32" s="85">
        <f t="shared" si="1"/>
        <v>3658.7</v>
      </c>
      <c r="K32" s="19">
        <f>IFERROR(Ohj.lask.[[#This Row],[Painotetut opiskelija-vuodet]]/Ohj.lask.[[#Totals],[Painotetut opiskelija-vuodet]],0)</f>
        <v>1.8150105094699328E-2</v>
      </c>
      <c r="L32" s="20">
        <f>ROUND(IFERROR('1.1 Jakotaulu'!L$10*Ohj.lask.[[#This Row],[%-osuus 1]],0),0)</f>
        <v>21593080</v>
      </c>
      <c r="M32" s="349">
        <f>IFERROR(ROUND(VLOOKUP($A32,'2.2 Tutk. ja osien pain. pist.'!$A:$Q,COLUMN('2.2 Tutk. ja osien pain. pist.'!P:P),FALSE),1),0)</f>
        <v>304685.59999999998</v>
      </c>
      <c r="N32" s="19">
        <f>IFERROR(Ohj.lask.[[#This Row],[Painotetut pisteet 2]]/Ohj.lask.[[#Totals],[Painotetut pisteet 2]],0)</f>
        <v>1.947070710623526E-2</v>
      </c>
      <c r="O32" s="26">
        <f>ROUND(IFERROR('1.1 Jakotaulu'!K$11*Ohj.lask.[[#This Row],[%-osuus 2]],0),0)</f>
        <v>7209555</v>
      </c>
      <c r="P32" s="350">
        <f>IFERROR(ROUND(VLOOKUP($A32,'2.3 Työll. ja jatko-opisk.'!$A:$K,COLUMN('2.3 Työll. ja jatko-opisk.'!I:I),FALSE),1),0)</f>
        <v>3343.3</v>
      </c>
      <c r="Q32" s="19">
        <f>IFERROR(Ohj.lask.[[#This Row],[Painotetut pisteet 3]]/Ohj.lask.[[#Totals],[Painotetut pisteet 3]],0)</f>
        <v>1.7649375385369068E-2</v>
      </c>
      <c r="R32" s="20">
        <f>ROUND(IFERROR('1.1 Jakotaulu'!L$13*Ohj.lask.[[#This Row],[%-osuus 3]],0),0)</f>
        <v>2450684</v>
      </c>
      <c r="S32" s="349">
        <f>IFERROR(ROUND(VLOOKUP($A32,'2.4 Aloittaneet palaute'!$A:$K,COLUMN('2.4 Aloittaneet palaute'!J:J),FALSE),1),0)</f>
        <v>31886.5</v>
      </c>
      <c r="T32" s="23">
        <f>IFERROR(Ohj.lask.[[#This Row],[Painotetut pisteet 4]]/Ohj.lask.[[#Totals],[Painotetut pisteet 4]],0)</f>
        <v>2.5610889573705768E-2</v>
      </c>
      <c r="U32" s="26">
        <f>ROUND(IFERROR('1.1 Jakotaulu'!M$15*Ohj.lask.[[#This Row],[%-osuus 4]],0),0)</f>
        <v>296348</v>
      </c>
      <c r="V32" s="85">
        <f>IFERROR(ROUND(VLOOKUP($A32,'2.5 Päättäneet palaute'!$A:$AC,COLUMN('2.5 Päättäneet palaute'!AB:AB),FALSE),1),0)</f>
        <v>186797.7</v>
      </c>
      <c r="W32" s="23">
        <f>IFERROR(Ohj.lask.[[#This Row],[Painotetut pisteet 5]]/Ohj.lask.[[#Totals],[Painotetut pisteet 5]],0)</f>
        <v>2.8208249147988636E-2</v>
      </c>
      <c r="X32" s="20">
        <f>ROUND(IFERROR('1.1 Jakotaulu'!M$16*Ohj.lask.[[#This Row],[%-osuus 5]],0),0)</f>
        <v>979206</v>
      </c>
      <c r="Y32" s="22">
        <f>IFERROR(Ohj.lask.[[#This Row],[Jaettava € 6]]/Ohj.lask.[[#Totals],[Jaettava € 6]],"")</f>
        <v>1.8640013110692275E-2</v>
      </c>
      <c r="Z32" s="26">
        <f>IFERROR(Ohj.lask.[[#This Row],[Jaettava € 1]]+Ohj.lask.[[#This Row],[Jaettava € 2]]+Ohj.lask.[[#This Row],[Jaettava € 3]]+Ohj.lask.[[#This Row],[Jaettava € 4]]+Ohj.lask.[[#This Row],[Jaettava € 5]],"")</f>
        <v>32528873</v>
      </c>
      <c r="AA32" s="20">
        <v>0</v>
      </c>
      <c r="AB32" s="20">
        <v>0</v>
      </c>
      <c r="AC32" s="21">
        <v>0</v>
      </c>
      <c r="AD32" s="20">
        <v>0</v>
      </c>
      <c r="AE32" s="21">
        <v>0</v>
      </c>
      <c r="AF32" s="20">
        <v>0</v>
      </c>
      <c r="AG32" s="21">
        <v>0</v>
      </c>
      <c r="AH32" s="20">
        <v>0</v>
      </c>
      <c r="AI32" s="21">
        <v>100000</v>
      </c>
      <c r="AJ32" s="26">
        <v>100000</v>
      </c>
      <c r="AK32" s="20">
        <v>50000</v>
      </c>
      <c r="AL32" s="20">
        <v>0</v>
      </c>
      <c r="AM32" s="21">
        <v>150000</v>
      </c>
      <c r="AN32" s="136">
        <v>100000</v>
      </c>
      <c r="AO32" s="20">
        <f>Ohj.lask.[[#This Row],[Jaettava € 1]]+Ohj.lask.[[#This Row],[Päätös 7, €]]</f>
        <v>21693080</v>
      </c>
      <c r="AP32" s="119">
        <f>Ohj.lask.[[#This Row],[Jaettava € 2]]</f>
        <v>7209555</v>
      </c>
      <c r="AQ32" s="20">
        <f>Ohj.lask.[[#This Row],[Jaettava € 3]]+Ohj.lask.[[#This Row],[Jaettava € 4]]+Ohj.lask.[[#This Row],[Jaettava € 5]]</f>
        <v>3726238</v>
      </c>
      <c r="AR32" s="45">
        <f>Ohj.lask.[[#This Row],[Jaettava € 6]]+Ohj.lask.[[#This Row],[Päätös 7, €]]</f>
        <v>32628873</v>
      </c>
      <c r="AS32" s="45">
        <f>ROUND(IFERROR(VLOOKUP(Ohj.lask.[[#This Row],[Y-tunnus]],'3.1 Alv vahvistettu'!A:Y,COLUMN(C:C),FALSE),0),0)</f>
        <v>1652191</v>
      </c>
      <c r="AT32" s="26">
        <f>Ohj.lask.[[#This Row],[Perus-, suoritus- ja vaikuttavuusrahoitus yhteensä, €]]+Ohj.lask.[[#This Row],[Alv-korvaus, €]]</f>
        <v>34281064</v>
      </c>
    </row>
    <row r="33" spans="1:46" ht="12.75" x14ac:dyDescent="0.2">
      <c r="A33" s="147" t="s">
        <v>382</v>
      </c>
      <c r="B33" s="17" t="s">
        <v>44</v>
      </c>
      <c r="C33" s="17" t="s">
        <v>334</v>
      </c>
      <c r="D33" s="17" t="s">
        <v>423</v>
      </c>
      <c r="E33" s="17" t="s">
        <v>663</v>
      </c>
      <c r="F33" s="128">
        <v>456</v>
      </c>
      <c r="G33" s="135">
        <v>45</v>
      </c>
      <c r="H33" s="44">
        <f t="shared" si="0"/>
        <v>501</v>
      </c>
      <c r="I33" s="18">
        <f>IFERROR(VLOOKUP($A33,'2.1 Toteut. op.vuodet'!$A:$Q,COLUMN('2.1 Toteut. op.vuodet'!Q:Q),FALSE),0)</f>
        <v>1.3093749023928536</v>
      </c>
      <c r="J33" s="85">
        <f t="shared" si="1"/>
        <v>656</v>
      </c>
      <c r="K33" s="19">
        <f>IFERROR(Ohj.lask.[[#This Row],[Painotetut opiskelija-vuodet]]/Ohj.lask.[[#Totals],[Painotetut opiskelija-vuodet]],0)</f>
        <v>3.2542894859165163E-3</v>
      </c>
      <c r="L33" s="20">
        <f>ROUND(IFERROR('1.1 Jakotaulu'!L$10*Ohj.lask.[[#This Row],[%-osuus 1]],0),0)</f>
        <v>3871610</v>
      </c>
      <c r="M33" s="349">
        <f>IFERROR(ROUND(VLOOKUP($A33,'2.2 Tutk. ja osien pain. pist.'!$A:$Q,COLUMN('2.2 Tutk. ja osien pain. pist.'!P:P),FALSE),1),0)</f>
        <v>55449.8</v>
      </c>
      <c r="N33" s="19">
        <f>IFERROR(Ohj.lask.[[#This Row],[Painotetut pisteet 2]]/Ohj.lask.[[#Totals],[Painotetut pisteet 2]],0)</f>
        <v>3.5434783097702161E-3</v>
      </c>
      <c r="O33" s="26">
        <f>ROUND(IFERROR('1.1 Jakotaulu'!K$11*Ohj.lask.[[#This Row],[%-osuus 2]],0),0)</f>
        <v>1312069</v>
      </c>
      <c r="P33" s="350">
        <f>IFERROR(ROUND(VLOOKUP($A33,'2.3 Työll. ja jatko-opisk.'!$A:$K,COLUMN('2.3 Työll. ja jatko-opisk.'!I:I),FALSE),1),0)</f>
        <v>541</v>
      </c>
      <c r="Q33" s="19">
        <f>IFERROR(Ohj.lask.[[#This Row],[Painotetut pisteet 3]]/Ohj.lask.[[#Totals],[Painotetut pisteet 3]],0)</f>
        <v>2.855954321623745E-3</v>
      </c>
      <c r="R33" s="20">
        <f>ROUND(IFERROR('1.1 Jakotaulu'!L$13*Ohj.lask.[[#This Row],[%-osuus 3]],0),0)</f>
        <v>396560</v>
      </c>
      <c r="S33" s="349">
        <f>IFERROR(ROUND(VLOOKUP($A33,'2.4 Aloittaneet palaute'!$A:$K,COLUMN('2.4 Aloittaneet palaute'!J:J),FALSE),1),0)</f>
        <v>4241.2</v>
      </c>
      <c r="T33" s="23">
        <f>IFERROR(Ohj.lask.[[#This Row],[Painotetut pisteet 4]]/Ohj.lask.[[#Totals],[Painotetut pisteet 4]],0)</f>
        <v>3.4064856556850357E-3</v>
      </c>
      <c r="U33" s="26">
        <f>ROUND(IFERROR('1.1 Jakotaulu'!M$15*Ohj.lask.[[#This Row],[%-osuus 4]],0),0)</f>
        <v>39417</v>
      </c>
      <c r="V33" s="85">
        <f>IFERROR(ROUND(VLOOKUP($A33,'2.5 Päättäneet palaute'!$A:$AC,COLUMN('2.5 Päättäneet palaute'!AB:AB),FALSE),1),0)</f>
        <v>33531.300000000003</v>
      </c>
      <c r="W33" s="23">
        <f>IFERROR(Ohj.lask.[[#This Row],[Painotetut pisteet 5]]/Ohj.lask.[[#Totals],[Painotetut pisteet 5]],0)</f>
        <v>5.0635487731163255E-3</v>
      </c>
      <c r="X33" s="20">
        <f>ROUND(IFERROR('1.1 Jakotaulu'!M$16*Ohj.lask.[[#This Row],[%-osuus 5]],0),0)</f>
        <v>175773</v>
      </c>
      <c r="Y33" s="22">
        <f>IFERROR(Ohj.lask.[[#This Row],[Jaettava € 6]]/Ohj.lask.[[#Totals],[Jaettava € 6]],"")</f>
        <v>3.3209534354936374E-3</v>
      </c>
      <c r="Z33" s="26">
        <f>IFERROR(Ohj.lask.[[#This Row],[Jaettava € 1]]+Ohj.lask.[[#This Row],[Jaettava € 2]]+Ohj.lask.[[#This Row],[Jaettava € 3]]+Ohj.lask.[[#This Row],[Jaettava € 4]]+Ohj.lask.[[#This Row],[Jaettava € 5]],"")</f>
        <v>5795429</v>
      </c>
      <c r="AA33" s="20">
        <v>0</v>
      </c>
      <c r="AB33" s="20">
        <v>0</v>
      </c>
      <c r="AC33" s="21">
        <v>0</v>
      </c>
      <c r="AD33" s="20">
        <v>0</v>
      </c>
      <c r="AE33" s="21">
        <v>0</v>
      </c>
      <c r="AF33" s="20">
        <v>0</v>
      </c>
      <c r="AG33" s="21">
        <v>0</v>
      </c>
      <c r="AH33" s="20">
        <v>0</v>
      </c>
      <c r="AI33" s="21">
        <v>120000</v>
      </c>
      <c r="AJ33" s="26">
        <v>0</v>
      </c>
      <c r="AK33" s="20">
        <v>0</v>
      </c>
      <c r="AL33" s="20">
        <v>0</v>
      </c>
      <c r="AM33" s="21">
        <v>120000</v>
      </c>
      <c r="AN33" s="136">
        <v>0</v>
      </c>
      <c r="AO33" s="20">
        <f>Ohj.lask.[[#This Row],[Jaettava € 1]]+Ohj.lask.[[#This Row],[Päätös 7, €]]</f>
        <v>3871610</v>
      </c>
      <c r="AP33" s="119">
        <f>Ohj.lask.[[#This Row],[Jaettava € 2]]</f>
        <v>1312069</v>
      </c>
      <c r="AQ33" s="20">
        <f>Ohj.lask.[[#This Row],[Jaettava € 3]]+Ohj.lask.[[#This Row],[Jaettava € 4]]+Ohj.lask.[[#This Row],[Jaettava € 5]]</f>
        <v>611750</v>
      </c>
      <c r="AR33" s="45">
        <f>Ohj.lask.[[#This Row],[Jaettava € 6]]+Ohj.lask.[[#This Row],[Päätös 7, €]]</f>
        <v>5795429</v>
      </c>
      <c r="AS33" s="45">
        <f>ROUND(IFERROR(VLOOKUP(Ohj.lask.[[#This Row],[Y-tunnus]],'3.1 Alv vahvistettu'!A:Y,COLUMN(C:C),FALSE),0),0)</f>
        <v>410320</v>
      </c>
      <c r="AT33" s="26">
        <f>Ohj.lask.[[#This Row],[Perus-, suoritus- ja vaikuttavuusrahoitus yhteensä, €]]+Ohj.lask.[[#This Row],[Alv-korvaus, €]]</f>
        <v>6205749</v>
      </c>
    </row>
    <row r="34" spans="1:46" ht="12.75" x14ac:dyDescent="0.2">
      <c r="A34" s="147" t="s">
        <v>381</v>
      </c>
      <c r="B34" s="17" t="s">
        <v>45</v>
      </c>
      <c r="C34" s="17" t="s">
        <v>238</v>
      </c>
      <c r="D34" s="17" t="s">
        <v>423</v>
      </c>
      <c r="E34" s="17" t="s">
        <v>663</v>
      </c>
      <c r="F34" s="128">
        <v>893</v>
      </c>
      <c r="G34" s="135">
        <v>36</v>
      </c>
      <c r="H34" s="44">
        <f t="shared" si="0"/>
        <v>929</v>
      </c>
      <c r="I34" s="18">
        <f>IFERROR(VLOOKUP($A34,'2.1 Toteut. op.vuodet'!$A:$Q,COLUMN('2.1 Toteut. op.vuodet'!Q:Q),FALSE),0)</f>
        <v>4.5162243273450953</v>
      </c>
      <c r="J34" s="85">
        <f t="shared" si="1"/>
        <v>4195.6000000000004</v>
      </c>
      <c r="K34" s="19">
        <f>IFERROR(Ohj.lask.[[#This Row],[Painotetut opiskelija-vuodet]]/Ohj.lask.[[#Totals],[Painotetut opiskelija-vuodet]],0)</f>
        <v>2.0813562449864844E-2</v>
      </c>
      <c r="L34" s="20">
        <f>ROUND(IFERROR('1.1 Jakotaulu'!L$10*Ohj.lask.[[#This Row],[%-osuus 1]],0),0)</f>
        <v>24761781</v>
      </c>
      <c r="M34" s="349">
        <f>IFERROR(ROUND(VLOOKUP($A34,'2.2 Tutk. ja osien pain. pist.'!$A:$Q,COLUMN('2.2 Tutk. ja osien pain. pist.'!P:P),FALSE),1),0)</f>
        <v>175306.6</v>
      </c>
      <c r="N34" s="19">
        <f>IFERROR(Ohj.lask.[[#This Row],[Painotetut pisteet 2]]/Ohj.lask.[[#Totals],[Painotetut pisteet 2]],0)</f>
        <v>1.1202838146567947E-2</v>
      </c>
      <c r="O34" s="26">
        <f>ROUND(IFERROR('1.1 Jakotaulu'!K$11*Ohj.lask.[[#This Row],[%-osuus 2]],0),0)</f>
        <v>4148153</v>
      </c>
      <c r="P34" s="350">
        <f>IFERROR(ROUND(VLOOKUP($A34,'2.3 Työll. ja jatko-opisk.'!$A:$K,COLUMN('2.3 Työll. ja jatko-opisk.'!I:I),FALSE),1),0)</f>
        <v>488.4</v>
      </c>
      <c r="Q34" s="19">
        <f>IFERROR(Ohj.lask.[[#This Row],[Painotetut pisteet 3]]/Ohj.lask.[[#Totals],[Painotetut pisteet 3]],0)</f>
        <v>2.5782774319427671E-3</v>
      </c>
      <c r="R34" s="20">
        <f>ROUND(IFERROR('1.1 Jakotaulu'!L$13*Ohj.lask.[[#This Row],[%-osuus 3]],0),0)</f>
        <v>358004</v>
      </c>
      <c r="S34" s="349">
        <f>IFERROR(ROUND(VLOOKUP($A34,'2.4 Aloittaneet palaute'!$A:$K,COLUMN('2.4 Aloittaneet palaute'!J:J),FALSE),1),0)</f>
        <v>7126</v>
      </c>
      <c r="T34" s="23">
        <f>IFERROR(Ohj.lask.[[#This Row],[Painotetut pisteet 4]]/Ohj.lask.[[#Totals],[Painotetut pisteet 4]],0)</f>
        <v>5.7235256018135358E-3</v>
      </c>
      <c r="U34" s="26">
        <f>ROUND(IFERROR('1.1 Jakotaulu'!M$15*Ohj.lask.[[#This Row],[%-osuus 4]],0),0)</f>
        <v>66228</v>
      </c>
      <c r="V34" s="85">
        <f>IFERROR(ROUND(VLOOKUP($A34,'2.5 Päättäneet palaute'!$A:$AC,COLUMN('2.5 Päättäneet palaute'!AB:AB),FALSE),1),0)</f>
        <v>19407</v>
      </c>
      <c r="W34" s="23">
        <f>IFERROR(Ohj.lask.[[#This Row],[Painotetut pisteet 5]]/Ohj.lask.[[#Totals],[Painotetut pisteet 5]],0)</f>
        <v>2.9306436386262544E-3</v>
      </c>
      <c r="X34" s="20">
        <f>ROUND(IFERROR('1.1 Jakotaulu'!M$16*Ohj.lask.[[#This Row],[%-osuus 5]],0),0)</f>
        <v>101733</v>
      </c>
      <c r="Y34" s="22">
        <f>IFERROR(Ohj.lask.[[#This Row],[Jaettava € 6]]/Ohj.lask.[[#Totals],[Jaettava € 6]],"")</f>
        <v>1.6867646883585965E-2</v>
      </c>
      <c r="Z34" s="26">
        <f>IFERROR(Ohj.lask.[[#This Row],[Jaettava € 1]]+Ohj.lask.[[#This Row],[Jaettava € 2]]+Ohj.lask.[[#This Row],[Jaettava € 3]]+Ohj.lask.[[#This Row],[Jaettava € 4]]+Ohj.lask.[[#This Row],[Jaettava € 5]],"")</f>
        <v>29435899</v>
      </c>
      <c r="AA34" s="20">
        <v>0</v>
      </c>
      <c r="AB34" s="20">
        <v>0</v>
      </c>
      <c r="AC34" s="21">
        <v>0</v>
      </c>
      <c r="AD34" s="20">
        <v>0</v>
      </c>
      <c r="AE34" s="21">
        <v>0</v>
      </c>
      <c r="AF34" s="20">
        <v>0</v>
      </c>
      <c r="AG34" s="21">
        <v>0</v>
      </c>
      <c r="AH34" s="20">
        <v>0</v>
      </c>
      <c r="AI34" s="21">
        <v>84000</v>
      </c>
      <c r="AJ34" s="26">
        <v>70000</v>
      </c>
      <c r="AK34" s="20">
        <v>0</v>
      </c>
      <c r="AL34" s="20">
        <v>0</v>
      </c>
      <c r="AM34" s="21">
        <v>84000</v>
      </c>
      <c r="AN34" s="136">
        <v>70000</v>
      </c>
      <c r="AO34" s="20">
        <f>Ohj.lask.[[#This Row],[Jaettava € 1]]+Ohj.lask.[[#This Row],[Päätös 7, €]]</f>
        <v>24831781</v>
      </c>
      <c r="AP34" s="119">
        <f>Ohj.lask.[[#This Row],[Jaettava € 2]]</f>
        <v>4148153</v>
      </c>
      <c r="AQ34" s="20">
        <f>Ohj.lask.[[#This Row],[Jaettava € 3]]+Ohj.lask.[[#This Row],[Jaettava € 4]]+Ohj.lask.[[#This Row],[Jaettava € 5]]</f>
        <v>525965</v>
      </c>
      <c r="AR34" s="45">
        <f>Ohj.lask.[[#This Row],[Jaettava € 6]]+Ohj.lask.[[#This Row],[Päätös 7, €]]</f>
        <v>29505899</v>
      </c>
      <c r="AS34" s="45">
        <f>ROUND(IFERROR(VLOOKUP(Ohj.lask.[[#This Row],[Y-tunnus]],'3.1 Alv vahvistettu'!A:Y,COLUMN(C:C),FALSE),0),0)</f>
        <v>1247566</v>
      </c>
      <c r="AT34" s="26">
        <f>Ohj.lask.[[#This Row],[Perus-, suoritus- ja vaikuttavuusrahoitus yhteensä, €]]+Ohj.lask.[[#This Row],[Alv-korvaus, €]]</f>
        <v>30753465</v>
      </c>
    </row>
    <row r="35" spans="1:46" ht="12.75" x14ac:dyDescent="0.2">
      <c r="A35" s="147" t="s">
        <v>380</v>
      </c>
      <c r="B35" s="17" t="s">
        <v>46</v>
      </c>
      <c r="C35" s="17" t="s">
        <v>272</v>
      </c>
      <c r="D35" s="17" t="s">
        <v>423</v>
      </c>
      <c r="E35" s="17" t="s">
        <v>663</v>
      </c>
      <c r="F35" s="128">
        <v>36</v>
      </c>
      <c r="G35" s="135">
        <v>8</v>
      </c>
      <c r="H35" s="44">
        <f t="shared" si="0"/>
        <v>44</v>
      </c>
      <c r="I35" s="18">
        <f>IFERROR(VLOOKUP($A35,'2.1 Toteut. op.vuodet'!$A:$Q,COLUMN('2.1 Toteut. op.vuodet'!Q:Q),FALSE),0)</f>
        <v>1.2573112408177276</v>
      </c>
      <c r="J35" s="85">
        <f t="shared" si="1"/>
        <v>55.3</v>
      </c>
      <c r="K35" s="19">
        <f>IFERROR(Ohj.lask.[[#This Row],[Painotetut opiskelija-vuodet]]/Ohj.lask.[[#Totals],[Painotetut opiskelija-vuodet]],0)</f>
        <v>2.743326350170478E-4</v>
      </c>
      <c r="L35" s="20">
        <f>ROUND(IFERROR('1.1 Jakotaulu'!L$10*Ohj.lask.[[#This Row],[%-osuus 1]],0),0)</f>
        <v>326372</v>
      </c>
      <c r="M35" s="349">
        <f>IFERROR(ROUND(VLOOKUP($A35,'2.2 Tutk. ja osien pain. pist.'!$A:$Q,COLUMN('2.2 Tutk. ja osien pain. pist.'!P:P),FALSE),1),0)</f>
        <v>6122.2</v>
      </c>
      <c r="N35" s="19">
        <f>IFERROR(Ohj.lask.[[#This Row],[Painotetut pisteet 2]]/Ohj.lask.[[#Totals],[Painotetut pisteet 2]],0)</f>
        <v>3.9123464661865718E-4</v>
      </c>
      <c r="O35" s="26">
        <f>ROUND(IFERROR('1.1 Jakotaulu'!K$11*Ohj.lask.[[#This Row],[%-osuus 2]],0),0)</f>
        <v>144865</v>
      </c>
      <c r="P35" s="350">
        <f>IFERROR(ROUND(VLOOKUP($A35,'2.3 Työll. ja jatko-opisk.'!$A:$K,COLUMN('2.3 Työll. ja jatko-opisk.'!I:I),FALSE),1),0)</f>
        <v>32.1</v>
      </c>
      <c r="Q35" s="19">
        <f>IFERROR(Ohj.lask.[[#This Row],[Painotetut pisteet 3]]/Ohj.lask.[[#Totals],[Painotetut pisteet 3]],0)</f>
        <v>1.6945680910188948E-4</v>
      </c>
      <c r="R35" s="20">
        <f>ROUND(IFERROR('1.1 Jakotaulu'!L$13*Ohj.lask.[[#This Row],[%-osuus 3]],0),0)</f>
        <v>23530</v>
      </c>
      <c r="S35" s="349">
        <f>IFERROR(ROUND(VLOOKUP($A35,'2.4 Aloittaneet palaute'!$A:$K,COLUMN('2.4 Aloittaneet palaute'!J:J),FALSE),1),0)</f>
        <v>743.6</v>
      </c>
      <c r="T35" s="23">
        <f>IFERROR(Ohj.lask.[[#This Row],[Painotetut pisteet 4]]/Ohj.lask.[[#Totals],[Painotetut pisteet 4]],0)</f>
        <v>5.9725142260855246E-4</v>
      </c>
      <c r="U35" s="26">
        <f>ROUND(IFERROR('1.1 Jakotaulu'!M$15*Ohj.lask.[[#This Row],[%-osuus 4]],0),0)</f>
        <v>6911</v>
      </c>
      <c r="V35" s="85">
        <f>IFERROR(ROUND(VLOOKUP($A35,'2.5 Päättäneet palaute'!$A:$AC,COLUMN('2.5 Päättäneet palaute'!AB:AB),FALSE),1),0)</f>
        <v>4757.3</v>
      </c>
      <c r="W35" s="23">
        <f>IFERROR(Ohj.lask.[[#This Row],[Painotetut pisteet 5]]/Ohj.lask.[[#Totals],[Painotetut pisteet 5]],0)</f>
        <v>7.1839805132357807E-4</v>
      </c>
      <c r="X35" s="20">
        <f>ROUND(IFERROR('1.1 Jakotaulu'!M$16*Ohj.lask.[[#This Row],[%-osuus 5]],0),0)</f>
        <v>24938</v>
      </c>
      <c r="Y35" s="22">
        <f>IFERROR(Ohj.lask.[[#This Row],[Jaettava € 6]]/Ohj.lask.[[#Totals],[Jaettava € 6]],"")</f>
        <v>3.0176665340666192E-4</v>
      </c>
      <c r="Z35" s="26">
        <f>IFERROR(Ohj.lask.[[#This Row],[Jaettava € 1]]+Ohj.lask.[[#This Row],[Jaettava € 2]]+Ohj.lask.[[#This Row],[Jaettava € 3]]+Ohj.lask.[[#This Row],[Jaettava € 4]]+Ohj.lask.[[#This Row],[Jaettava € 5]],"")</f>
        <v>526616</v>
      </c>
      <c r="AA35" s="20">
        <v>0</v>
      </c>
      <c r="AB35" s="20">
        <v>0</v>
      </c>
      <c r="AC35" s="21">
        <v>0</v>
      </c>
      <c r="AD35" s="20">
        <v>0</v>
      </c>
      <c r="AE35" s="21">
        <v>75000</v>
      </c>
      <c r="AF35" s="20">
        <v>0</v>
      </c>
      <c r="AG35" s="21">
        <v>0</v>
      </c>
      <c r="AH35" s="20">
        <v>0</v>
      </c>
      <c r="AI35" s="21">
        <v>10000</v>
      </c>
      <c r="AJ35" s="26">
        <v>10000</v>
      </c>
      <c r="AK35" s="20">
        <v>0</v>
      </c>
      <c r="AL35" s="20">
        <v>0</v>
      </c>
      <c r="AM35" s="21">
        <v>85000</v>
      </c>
      <c r="AN35" s="136">
        <v>10000</v>
      </c>
      <c r="AO35" s="20">
        <f>Ohj.lask.[[#This Row],[Jaettava € 1]]+Ohj.lask.[[#This Row],[Päätös 7, €]]</f>
        <v>336372</v>
      </c>
      <c r="AP35" s="119">
        <f>Ohj.lask.[[#This Row],[Jaettava € 2]]</f>
        <v>144865</v>
      </c>
      <c r="AQ35" s="20">
        <f>Ohj.lask.[[#This Row],[Jaettava € 3]]+Ohj.lask.[[#This Row],[Jaettava € 4]]+Ohj.lask.[[#This Row],[Jaettava € 5]]</f>
        <v>55379</v>
      </c>
      <c r="AR35" s="45">
        <f>Ohj.lask.[[#This Row],[Jaettava € 6]]+Ohj.lask.[[#This Row],[Päätös 7, €]]</f>
        <v>536616</v>
      </c>
      <c r="AS35" s="45">
        <f>ROUND(IFERROR(VLOOKUP(Ohj.lask.[[#This Row],[Y-tunnus]],'3.1 Alv vahvistettu'!A:Y,COLUMN(C:C),FALSE),0),0)</f>
        <v>30815</v>
      </c>
      <c r="AT35" s="26">
        <f>Ohj.lask.[[#This Row],[Perus-, suoritus- ja vaikuttavuusrahoitus yhteensä, €]]+Ohj.lask.[[#This Row],[Alv-korvaus, €]]</f>
        <v>567431</v>
      </c>
    </row>
    <row r="36" spans="1:46" ht="12.75" x14ac:dyDescent="0.2">
      <c r="A36" s="147" t="s">
        <v>379</v>
      </c>
      <c r="B36" s="17" t="s">
        <v>47</v>
      </c>
      <c r="C36" s="113" t="s">
        <v>272</v>
      </c>
      <c r="D36" s="113" t="s">
        <v>422</v>
      </c>
      <c r="E36" s="113" t="s">
        <v>663</v>
      </c>
      <c r="F36" s="127">
        <v>1361</v>
      </c>
      <c r="G36" s="135">
        <v>114</v>
      </c>
      <c r="H36" s="44">
        <f t="shared" si="0"/>
        <v>1475</v>
      </c>
      <c r="I36" s="18">
        <f>IFERROR(VLOOKUP($A36,'2.1 Toteut. op.vuodet'!$A:$Q,COLUMN('2.1 Toteut. op.vuodet'!Q:Q),FALSE),0)</f>
        <v>1.0293229030684732</v>
      </c>
      <c r="J36" s="85">
        <f t="shared" si="1"/>
        <v>1518.3</v>
      </c>
      <c r="K36" s="19">
        <f>IFERROR(Ohj.lask.[[#This Row],[Painotetut opiskelija-vuodet]]/Ohj.lask.[[#Totals],[Painotetut opiskelija-vuodet]],0)</f>
        <v>7.5319934854680588E-3</v>
      </c>
      <c r="L36" s="20">
        <f>ROUND(IFERROR('1.1 Jakotaulu'!L$10*Ohj.lask.[[#This Row],[%-osuus 1]],0),0)</f>
        <v>8960771</v>
      </c>
      <c r="M36" s="349">
        <f>IFERROR(ROUND(VLOOKUP($A36,'2.2 Tutk. ja osien pain. pist.'!$A:$Q,COLUMN('2.2 Tutk. ja osien pain. pist.'!P:P),FALSE),1),0)</f>
        <v>152302.20000000001</v>
      </c>
      <c r="N36" s="19">
        <f>IFERROR(Ohj.lask.[[#This Row],[Painotetut pisteet 2]]/Ohj.lask.[[#Totals],[Painotetut pisteet 2]],0)</f>
        <v>9.7327590402541651E-3</v>
      </c>
      <c r="O36" s="26">
        <f>ROUND(IFERROR('1.1 Jakotaulu'!K$11*Ohj.lask.[[#This Row],[%-osuus 2]],0),0)</f>
        <v>3603817</v>
      </c>
      <c r="P36" s="350">
        <f>IFERROR(ROUND(VLOOKUP($A36,'2.3 Työll. ja jatko-opisk.'!$A:$K,COLUMN('2.3 Työll. ja jatko-opisk.'!I:I),FALSE),1),0)</f>
        <v>2422.6999999999998</v>
      </c>
      <c r="Q36" s="23">
        <f>IFERROR(Ohj.lask.[[#This Row],[Painotetut pisteet 3]]/Ohj.lask.[[#Totals],[Painotetut pisteet 3]],0)</f>
        <v>1.2789501913119863E-2</v>
      </c>
      <c r="R36" s="20">
        <f>ROUND(IFERROR('1.1 Jakotaulu'!L$13*Ohj.lask.[[#This Row],[%-osuus 3]],0),0)</f>
        <v>1775872</v>
      </c>
      <c r="S36" s="349">
        <f>IFERROR(ROUND(VLOOKUP($A36,'2.4 Aloittaneet palaute'!$A:$K,COLUMN('2.4 Aloittaneet palaute'!J:J),FALSE),1),0)</f>
        <v>8761.1</v>
      </c>
      <c r="T36" s="23">
        <f>IFERROR(Ohj.lask.[[#This Row],[Painotetut pisteet 4]]/Ohj.lask.[[#Totals],[Painotetut pisteet 4]],0)</f>
        <v>7.0368201164816959E-3</v>
      </c>
      <c r="U36" s="26">
        <f>ROUND(IFERROR('1.1 Jakotaulu'!M$15*Ohj.lask.[[#This Row],[%-osuus 4]],0),0)</f>
        <v>81424</v>
      </c>
      <c r="V36" s="85">
        <f>IFERROR(ROUND(VLOOKUP($A36,'2.5 Päättäneet palaute'!$A:$AC,COLUMN('2.5 Päättäneet palaute'!AB:AB),FALSE),1),0)</f>
        <v>34789.699999999997</v>
      </c>
      <c r="W36" s="23">
        <f>IFERROR(Ohj.lask.[[#This Row],[Painotetut pisteet 5]]/Ohj.lask.[[#Totals],[Painotetut pisteet 5]],0)</f>
        <v>5.2535792752468587E-3</v>
      </c>
      <c r="X36" s="20">
        <f>ROUND(IFERROR('1.1 Jakotaulu'!M$16*Ohj.lask.[[#This Row],[%-osuus 5]],0),0)</f>
        <v>182370</v>
      </c>
      <c r="Y36" s="22">
        <f>IFERROR(Ohj.lask.[[#This Row],[Jaettava € 6]]/Ohj.lask.[[#Totals],[Jaettava € 6]],"")</f>
        <v>8.3686725338403233E-3</v>
      </c>
      <c r="Z36" s="26">
        <f>IFERROR(Ohj.lask.[[#This Row],[Jaettava € 1]]+Ohj.lask.[[#This Row],[Jaettava € 2]]+Ohj.lask.[[#This Row],[Jaettava € 3]]+Ohj.lask.[[#This Row],[Jaettava € 4]]+Ohj.lask.[[#This Row],[Jaettava € 5]],"")</f>
        <v>14604254</v>
      </c>
      <c r="AA36" s="20">
        <v>300000</v>
      </c>
      <c r="AB36" s="20">
        <v>0</v>
      </c>
      <c r="AC36" s="21">
        <v>0</v>
      </c>
      <c r="AD36" s="20">
        <v>0</v>
      </c>
      <c r="AE36" s="21">
        <v>0</v>
      </c>
      <c r="AF36" s="20">
        <v>0</v>
      </c>
      <c r="AG36" s="21">
        <v>0</v>
      </c>
      <c r="AH36" s="20">
        <v>0</v>
      </c>
      <c r="AI36" s="21">
        <v>120000</v>
      </c>
      <c r="AJ36" s="26">
        <v>90000</v>
      </c>
      <c r="AK36" s="20">
        <v>0</v>
      </c>
      <c r="AL36" s="20">
        <v>0</v>
      </c>
      <c r="AM36" s="21">
        <v>420000</v>
      </c>
      <c r="AN36" s="136">
        <v>90000</v>
      </c>
      <c r="AO36" s="20">
        <f>Ohj.lask.[[#This Row],[Jaettava € 1]]+Ohj.lask.[[#This Row],[Päätös 7, €]]</f>
        <v>9050771</v>
      </c>
      <c r="AP36" s="119">
        <f>Ohj.lask.[[#This Row],[Jaettava € 2]]</f>
        <v>3603817</v>
      </c>
      <c r="AQ36" s="20">
        <f>Ohj.lask.[[#This Row],[Jaettava € 3]]+Ohj.lask.[[#This Row],[Jaettava € 4]]+Ohj.lask.[[#This Row],[Jaettava € 5]]</f>
        <v>2039666</v>
      </c>
      <c r="AR36" s="45">
        <f>Ohj.lask.[[#This Row],[Jaettava € 6]]+Ohj.lask.[[#This Row],[Päätös 7, €]]</f>
        <v>14694254</v>
      </c>
      <c r="AS36" s="45">
        <f>ROUND(IFERROR(VLOOKUP(Ohj.lask.[[#This Row],[Y-tunnus]],'3.1 Alv vahvistettu'!A:Y,COLUMN(C:C),FALSE),0),0)</f>
        <v>0</v>
      </c>
      <c r="AT36" s="26">
        <f>Ohj.lask.[[#This Row],[Perus-, suoritus- ja vaikuttavuusrahoitus yhteensä, €]]+Ohj.lask.[[#This Row],[Alv-korvaus, €]]</f>
        <v>14694254</v>
      </c>
    </row>
    <row r="37" spans="1:46" ht="12.75" x14ac:dyDescent="0.2">
      <c r="A37" s="147" t="s">
        <v>378</v>
      </c>
      <c r="B37" s="17" t="s">
        <v>48</v>
      </c>
      <c r="C37" s="17" t="s">
        <v>317</v>
      </c>
      <c r="D37" s="17" t="s">
        <v>423</v>
      </c>
      <c r="E37" s="17" t="s">
        <v>663</v>
      </c>
      <c r="F37" s="128">
        <v>64</v>
      </c>
      <c r="G37" s="135">
        <v>16</v>
      </c>
      <c r="H37" s="44">
        <f t="shared" si="0"/>
        <v>80</v>
      </c>
      <c r="I37" s="18">
        <f>IFERROR(VLOOKUP($A37,'2.1 Toteut. op.vuodet'!$A:$Q,COLUMN('2.1 Toteut. op.vuodet'!Q:Q),FALSE),0)</f>
        <v>0.78925916616991454</v>
      </c>
      <c r="J37" s="85">
        <f t="shared" si="1"/>
        <v>63.1</v>
      </c>
      <c r="K37" s="19">
        <f>IFERROR(Ohj.lask.[[#This Row],[Painotetut opiskelija-vuodet]]/Ohj.lask.[[#Totals],[Painotetut opiskelija-vuodet]],0)</f>
        <v>3.1302693073373812E-4</v>
      </c>
      <c r="L37" s="20">
        <f>ROUND(IFERROR('1.1 Jakotaulu'!L$10*Ohj.lask.[[#This Row],[%-osuus 1]],0),0)</f>
        <v>372406</v>
      </c>
      <c r="M37" s="349">
        <f>IFERROR(ROUND(VLOOKUP($A37,'2.2 Tutk. ja osien pain. pist.'!$A:$Q,COLUMN('2.2 Tutk. ja osien pain. pist.'!P:P),FALSE),1),0)</f>
        <v>5537.7</v>
      </c>
      <c r="N37" s="19">
        <f>IFERROR(Ohj.lask.[[#This Row],[Painotetut pisteet 2]]/Ohj.lask.[[#Totals],[Painotetut pisteet 2]],0)</f>
        <v>3.5388260798081372E-4</v>
      </c>
      <c r="O37" s="26">
        <f>ROUND(IFERROR('1.1 Jakotaulu'!K$11*Ohj.lask.[[#This Row],[%-osuus 2]],0),0)</f>
        <v>131035</v>
      </c>
      <c r="P37" s="350">
        <f>IFERROR(ROUND(VLOOKUP($A37,'2.3 Työll. ja jatko-opisk.'!$A:$K,COLUMN('2.3 Työll. ja jatko-opisk.'!I:I),FALSE),1),0)</f>
        <v>103.3</v>
      </c>
      <c r="Q37" s="19">
        <f>IFERROR(Ohj.lask.[[#This Row],[Painotetut pisteet 3]]/Ohj.lask.[[#Totals],[Painotetut pisteet 3]],0)</f>
        <v>5.4532362555218634E-4</v>
      </c>
      <c r="R37" s="20">
        <f>ROUND(IFERROR('1.1 Jakotaulu'!L$13*Ohj.lask.[[#This Row],[%-osuus 3]],0),0)</f>
        <v>75720</v>
      </c>
      <c r="S37" s="349">
        <f>IFERROR(ROUND(VLOOKUP($A37,'2.4 Aloittaneet palaute'!$A:$K,COLUMN('2.4 Aloittaneet palaute'!J:J),FALSE),1),0)</f>
        <v>1425</v>
      </c>
      <c r="T37" s="23">
        <f>IFERROR(Ohj.lask.[[#This Row],[Painotetut pisteet 4]]/Ohj.lask.[[#Totals],[Painotetut pisteet 4]],0)</f>
        <v>1.1445444825405962E-3</v>
      </c>
      <c r="U37" s="26">
        <f>ROUND(IFERROR('1.1 Jakotaulu'!M$15*Ohj.lask.[[#This Row],[%-osuus 4]],0),0)</f>
        <v>13244</v>
      </c>
      <c r="V37" s="85">
        <f>IFERROR(ROUND(VLOOKUP($A37,'2.5 Päättäneet palaute'!$A:$AC,COLUMN('2.5 Päättäneet palaute'!AB:AB),FALSE),1),0)</f>
        <v>9498.2000000000007</v>
      </c>
      <c r="W37" s="23">
        <f>IFERROR(Ohj.lask.[[#This Row],[Painotetut pisteet 5]]/Ohj.lask.[[#Totals],[Painotetut pisteet 5]],0)</f>
        <v>1.4343195449270825E-3</v>
      </c>
      <c r="X37" s="20">
        <f>ROUND(IFERROR('1.1 Jakotaulu'!M$16*Ohj.lask.[[#This Row],[%-osuus 5]],0),0)</f>
        <v>49790</v>
      </c>
      <c r="Y37" s="22">
        <f>IFERROR(Ohj.lask.[[#This Row],[Jaettava € 6]]/Ohj.lask.[[#Totals],[Jaettava € 6]],"")</f>
        <v>3.6799686295990107E-4</v>
      </c>
      <c r="Z37" s="26">
        <f>IFERROR(Ohj.lask.[[#This Row],[Jaettava € 1]]+Ohj.lask.[[#This Row],[Jaettava € 2]]+Ohj.lask.[[#This Row],[Jaettava € 3]]+Ohj.lask.[[#This Row],[Jaettava € 4]]+Ohj.lask.[[#This Row],[Jaettava € 5]],"")</f>
        <v>642195</v>
      </c>
      <c r="AA37" s="20">
        <v>0</v>
      </c>
      <c r="AB37" s="20">
        <v>0</v>
      </c>
      <c r="AC37" s="21">
        <v>50000</v>
      </c>
      <c r="AD37" s="20">
        <v>0</v>
      </c>
      <c r="AE37" s="21">
        <v>0</v>
      </c>
      <c r="AF37" s="20">
        <v>0</v>
      </c>
      <c r="AG37" s="21">
        <v>0</v>
      </c>
      <c r="AH37" s="20">
        <v>0</v>
      </c>
      <c r="AI37" s="21">
        <v>15000</v>
      </c>
      <c r="AJ37" s="26">
        <v>10000</v>
      </c>
      <c r="AK37" s="20">
        <v>0</v>
      </c>
      <c r="AL37" s="20">
        <v>0</v>
      </c>
      <c r="AM37" s="21">
        <v>65000</v>
      </c>
      <c r="AN37" s="136">
        <v>10000</v>
      </c>
      <c r="AO37" s="20">
        <f>Ohj.lask.[[#This Row],[Jaettava € 1]]+Ohj.lask.[[#This Row],[Päätös 7, €]]</f>
        <v>382406</v>
      </c>
      <c r="AP37" s="119">
        <f>Ohj.lask.[[#This Row],[Jaettava € 2]]</f>
        <v>131035</v>
      </c>
      <c r="AQ37" s="20">
        <f>Ohj.lask.[[#This Row],[Jaettava € 3]]+Ohj.lask.[[#This Row],[Jaettava € 4]]+Ohj.lask.[[#This Row],[Jaettava € 5]]</f>
        <v>138754</v>
      </c>
      <c r="AR37" s="45">
        <f>Ohj.lask.[[#This Row],[Jaettava € 6]]+Ohj.lask.[[#This Row],[Päätös 7, €]]</f>
        <v>652195</v>
      </c>
      <c r="AS37" s="45">
        <f>ROUND(IFERROR(VLOOKUP(Ohj.lask.[[#This Row],[Y-tunnus]],'3.1 Alv vahvistettu'!A:Y,COLUMN(C:C),FALSE),0),0)</f>
        <v>21708</v>
      </c>
      <c r="AT37" s="26">
        <f>Ohj.lask.[[#This Row],[Perus-, suoritus- ja vaikuttavuusrahoitus yhteensä, €]]+Ohj.lask.[[#This Row],[Alv-korvaus, €]]</f>
        <v>673903</v>
      </c>
    </row>
    <row r="38" spans="1:46" ht="12.75" x14ac:dyDescent="0.2">
      <c r="A38" s="147" t="s">
        <v>375</v>
      </c>
      <c r="B38" s="17" t="s">
        <v>49</v>
      </c>
      <c r="C38" s="17" t="s">
        <v>317</v>
      </c>
      <c r="D38" s="17" t="s">
        <v>424</v>
      </c>
      <c r="E38" s="17" t="s">
        <v>663</v>
      </c>
      <c r="F38" s="128">
        <v>68</v>
      </c>
      <c r="G38" s="135">
        <v>0</v>
      </c>
      <c r="H38" s="44">
        <f t="shared" ref="H38:H69" si="2">IFERROR(F38+G38,0)</f>
        <v>68</v>
      </c>
      <c r="I38" s="18">
        <f>IFERROR(VLOOKUP($A38,'2.1 Toteut. op.vuodet'!$A:$Q,COLUMN('2.1 Toteut. op.vuodet'!Q:Q),FALSE),0)</f>
        <v>1.5900000000000012</v>
      </c>
      <c r="J38" s="85">
        <f t="shared" ref="J38:J69" si="3">IFERROR(ROUND(H38*I38,1),0)</f>
        <v>108.1</v>
      </c>
      <c r="K38" s="19">
        <f>IFERROR(Ohj.lask.[[#This Row],[Painotetut opiskelija-vuodet]]/Ohj.lask.[[#Totals],[Painotetut opiskelija-vuodet]],0)</f>
        <v>5.3626325217618199E-4</v>
      </c>
      <c r="L38" s="20">
        <f>ROUND(IFERROR('1.1 Jakotaulu'!L$10*Ohj.lask.[[#This Row],[%-osuus 1]],0),0)</f>
        <v>637989</v>
      </c>
      <c r="M38" s="349">
        <f>IFERROR(ROUND(VLOOKUP($A38,'2.2 Tutk. ja osien pain. pist.'!$A:$Q,COLUMN('2.2 Tutk. ja osien pain. pist.'!P:P),FALSE),1),0)</f>
        <v>10782.2</v>
      </c>
      <c r="N38" s="19">
        <f>IFERROR(Ohj.lask.[[#This Row],[Painotetut pisteet 2]]/Ohj.lask.[[#Totals],[Painotetut pisteet 2]],0)</f>
        <v>6.8902848759787099E-4</v>
      </c>
      <c r="O38" s="26">
        <f>ROUND(IFERROR('1.1 Jakotaulu'!K$11*Ohj.lask.[[#This Row],[%-osuus 2]],0),0)</f>
        <v>255131</v>
      </c>
      <c r="P38" s="350">
        <f>IFERROR(ROUND(VLOOKUP($A38,'2.3 Työll. ja jatko-opisk.'!$A:$K,COLUMN('2.3 Työll. ja jatko-opisk.'!I:I),FALSE),1),0)</f>
        <v>95.7</v>
      </c>
      <c r="Q38" s="19">
        <f>IFERROR(Ohj.lask.[[#This Row],[Painotetut pisteet 3]]/Ohj.lask.[[#Totals],[Painotetut pisteet 3]],0)</f>
        <v>5.0520301031310982E-4</v>
      </c>
      <c r="R38" s="20">
        <f>ROUND(IFERROR('1.1 Jakotaulu'!L$13*Ohj.lask.[[#This Row],[%-osuus 3]],0),0)</f>
        <v>70149</v>
      </c>
      <c r="S38" s="349">
        <f>IFERROR(ROUND(VLOOKUP($A38,'2.4 Aloittaneet palaute'!$A:$K,COLUMN('2.4 Aloittaneet palaute'!J:J),FALSE),1),0)</f>
        <v>385.4</v>
      </c>
      <c r="T38" s="19">
        <f>IFERROR(Ohj.lask.[[#This Row],[Painotetut pisteet 4]]/Ohj.lask.[[#Totals],[Painotetut pisteet 4]],0)</f>
        <v>3.0954908320782155E-4</v>
      </c>
      <c r="U38" s="26">
        <f>ROUND(IFERROR('1.1 Jakotaulu'!M$15*Ohj.lask.[[#This Row],[%-osuus 4]],0),0)</f>
        <v>3582</v>
      </c>
      <c r="V38" s="85">
        <f>IFERROR(ROUND(VLOOKUP($A38,'2.5 Päättäneet palaute'!$A:$AC,COLUMN('2.5 Päättäneet palaute'!AB:AB),FALSE),1),0)</f>
        <v>2920.3</v>
      </c>
      <c r="W38" s="19">
        <f>IFERROR(Ohj.lask.[[#This Row],[Painotetut pisteet 5]]/Ohj.lask.[[#Totals],[Painotetut pisteet 5]],0)</f>
        <v>4.4099338475190659E-4</v>
      </c>
      <c r="X38" s="20">
        <f>ROUND(IFERROR('1.1 Jakotaulu'!M$16*Ohj.lask.[[#This Row],[%-osuus 5]],0),0)</f>
        <v>15308</v>
      </c>
      <c r="Y38" s="22">
        <f>IFERROR(Ohj.lask.[[#This Row],[Jaettava € 6]]/Ohj.lask.[[#Totals],[Jaettava € 6]],"")</f>
        <v>5.628063608838958E-4</v>
      </c>
      <c r="Z38" s="26">
        <f>IFERROR(Ohj.lask.[[#This Row],[Jaettava € 1]]+Ohj.lask.[[#This Row],[Jaettava € 2]]+Ohj.lask.[[#This Row],[Jaettava € 3]]+Ohj.lask.[[#This Row],[Jaettava € 4]]+Ohj.lask.[[#This Row],[Jaettava € 5]],"")</f>
        <v>982159</v>
      </c>
      <c r="AA38" s="20">
        <v>0</v>
      </c>
      <c r="AB38" s="20">
        <v>0</v>
      </c>
      <c r="AC38" s="21">
        <v>0</v>
      </c>
      <c r="AD38" s="20">
        <v>0</v>
      </c>
      <c r="AE38" s="21">
        <v>0</v>
      </c>
      <c r="AF38" s="20">
        <v>0</v>
      </c>
      <c r="AG38" s="21">
        <v>0</v>
      </c>
      <c r="AH38" s="20">
        <v>0</v>
      </c>
      <c r="AI38" s="21">
        <v>0</v>
      </c>
      <c r="AJ38" s="26">
        <v>0</v>
      </c>
      <c r="AK38" s="20">
        <v>0</v>
      </c>
      <c r="AL38" s="20">
        <v>0</v>
      </c>
      <c r="AM38" s="21">
        <v>0</v>
      </c>
      <c r="AN38" s="136">
        <v>0</v>
      </c>
      <c r="AO38" s="20">
        <f>Ohj.lask.[[#This Row],[Jaettava € 1]]+Ohj.lask.[[#This Row],[Päätös 7, €]]</f>
        <v>637989</v>
      </c>
      <c r="AP38" s="119">
        <f>Ohj.lask.[[#This Row],[Jaettava € 2]]</f>
        <v>255131</v>
      </c>
      <c r="AQ38" s="20">
        <f>Ohj.lask.[[#This Row],[Jaettava € 3]]+Ohj.lask.[[#This Row],[Jaettava € 4]]+Ohj.lask.[[#This Row],[Jaettava € 5]]</f>
        <v>89039</v>
      </c>
      <c r="AR38" s="45">
        <f>Ohj.lask.[[#This Row],[Jaettava € 6]]+Ohj.lask.[[#This Row],[Päätös 7, €]]</f>
        <v>982159</v>
      </c>
      <c r="AS38" s="45">
        <f>ROUND(IFERROR(VLOOKUP(Ohj.lask.[[#This Row],[Y-tunnus]],'3.1 Alv vahvistettu'!A:Y,COLUMN(C:C),FALSE),0),0)</f>
        <v>0</v>
      </c>
      <c r="AT38" s="26">
        <f>Ohj.lask.[[#This Row],[Perus-, suoritus- ja vaikuttavuusrahoitus yhteensä, €]]+Ohj.lask.[[#This Row],[Alv-korvaus, €]]</f>
        <v>982159</v>
      </c>
    </row>
    <row r="39" spans="1:46" ht="12.75" x14ac:dyDescent="0.2">
      <c r="A39" s="147" t="s">
        <v>374</v>
      </c>
      <c r="B39" s="17" t="s">
        <v>50</v>
      </c>
      <c r="C39" s="17" t="s">
        <v>246</v>
      </c>
      <c r="D39" s="17" t="s">
        <v>422</v>
      </c>
      <c r="E39" s="17" t="s">
        <v>663</v>
      </c>
      <c r="F39" s="128">
        <v>3008</v>
      </c>
      <c r="G39" s="135">
        <v>0</v>
      </c>
      <c r="H39" s="44">
        <f t="shared" si="2"/>
        <v>3008</v>
      </c>
      <c r="I39" s="18">
        <f>IFERROR(VLOOKUP($A39,'2.1 Toteut. op.vuodet'!$A:$Q,COLUMN('2.1 Toteut. op.vuodet'!Q:Q),FALSE),0)</f>
        <v>1.1179393500928472</v>
      </c>
      <c r="J39" s="85">
        <f t="shared" si="3"/>
        <v>3362.8</v>
      </c>
      <c r="K39" s="19">
        <f>IFERROR(Ohj.lask.[[#This Row],[Painotetut opiskelija-vuodet]]/Ohj.lask.[[#Totals],[Painotetut opiskelija-vuodet]],0)</f>
        <v>1.6682202261036679E-2</v>
      </c>
      <c r="L39" s="20">
        <f>ROUND(IFERROR('1.1 Jakotaulu'!L$10*Ohj.lask.[[#This Row],[%-osuus 1]],0),0)</f>
        <v>19846724</v>
      </c>
      <c r="M39" s="349">
        <f>IFERROR(ROUND(VLOOKUP($A39,'2.2 Tutk. ja osien pain. pist.'!$A:$Q,COLUMN('2.2 Tutk. ja osien pain. pist.'!P:P),FALSE),1),0)</f>
        <v>252375.4</v>
      </c>
      <c r="N39" s="19">
        <f>IFERROR(Ohj.lask.[[#This Row],[Painotetut pisteet 2]]/Ohj.lask.[[#Totals],[Painotetut pisteet 2]],0)</f>
        <v>1.6127862604005463E-2</v>
      </c>
      <c r="O39" s="26">
        <f>ROUND(IFERROR('1.1 Jakotaulu'!K$11*Ohj.lask.[[#This Row],[%-osuus 2]],0),0)</f>
        <v>5971777</v>
      </c>
      <c r="P39" s="350">
        <f>IFERROR(ROUND(VLOOKUP($A39,'2.3 Työll. ja jatko-opisk.'!$A:$K,COLUMN('2.3 Työll. ja jatko-opisk.'!I:I),FALSE),1),0)</f>
        <v>3221.5</v>
      </c>
      <c r="Q39" s="19">
        <f>IFERROR(Ohj.lask.[[#This Row],[Painotetut pisteet 3]]/Ohj.lask.[[#Totals],[Painotetut pisteet 3]],0)</f>
        <v>1.7006389735879656E-2</v>
      </c>
      <c r="R39" s="20">
        <f>ROUND(IFERROR('1.1 Jakotaulu'!L$13*Ohj.lask.[[#This Row],[%-osuus 3]],0),0)</f>
        <v>2361403</v>
      </c>
      <c r="S39" s="349">
        <f>IFERROR(ROUND(VLOOKUP($A39,'2.4 Aloittaneet palaute'!$A:$K,COLUMN('2.4 Aloittaneet palaute'!J:J),FALSE),1),0)</f>
        <v>18953.7</v>
      </c>
      <c r="T39" s="23">
        <f>IFERROR(Ohj.lask.[[#This Row],[Painotetut pisteet 4]]/Ohj.lask.[[#Totals],[Painotetut pisteet 4]],0)</f>
        <v>1.5223405444722594E-2</v>
      </c>
      <c r="U39" s="26">
        <f>ROUND(IFERROR('1.1 Jakotaulu'!M$15*Ohj.lask.[[#This Row],[%-osuus 4]],0),0)</f>
        <v>176152</v>
      </c>
      <c r="V39" s="85">
        <f>IFERROR(ROUND(VLOOKUP($A39,'2.5 Päättäneet palaute'!$A:$AC,COLUMN('2.5 Päättäneet palaute'!AB:AB),FALSE),1),0)</f>
        <v>80973</v>
      </c>
      <c r="W39" s="23">
        <f>IFERROR(Ohj.lask.[[#This Row],[Painotetut pisteet 5]]/Ohj.lask.[[#Totals],[Painotetut pisteet 5]],0)</f>
        <v>1.2227701723629808E-2</v>
      </c>
      <c r="X39" s="20">
        <f>ROUND(IFERROR('1.1 Jakotaulu'!M$16*Ohj.lask.[[#This Row],[%-osuus 5]],0),0)</f>
        <v>424466</v>
      </c>
      <c r="Y39" s="22">
        <f>IFERROR(Ohj.lask.[[#This Row],[Jaettava € 6]]/Ohj.lask.[[#Totals],[Jaettava € 6]],"")</f>
        <v>1.649209634199646E-2</v>
      </c>
      <c r="Z39" s="26">
        <f>IFERROR(Ohj.lask.[[#This Row],[Jaettava € 1]]+Ohj.lask.[[#This Row],[Jaettava € 2]]+Ohj.lask.[[#This Row],[Jaettava € 3]]+Ohj.lask.[[#This Row],[Jaettava € 4]]+Ohj.lask.[[#This Row],[Jaettava € 5]],"")</f>
        <v>28780522</v>
      </c>
      <c r="AA39" s="20">
        <v>0</v>
      </c>
      <c r="AB39" s="20">
        <v>0</v>
      </c>
      <c r="AC39" s="21">
        <v>0</v>
      </c>
      <c r="AD39" s="20">
        <v>0</v>
      </c>
      <c r="AE39" s="21">
        <v>0</v>
      </c>
      <c r="AF39" s="20">
        <v>0</v>
      </c>
      <c r="AG39" s="21">
        <v>0</v>
      </c>
      <c r="AH39" s="20">
        <v>0</v>
      </c>
      <c r="AI39" s="21">
        <v>0</v>
      </c>
      <c r="AJ39" s="26">
        <v>0</v>
      </c>
      <c r="AK39" s="20">
        <v>0</v>
      </c>
      <c r="AL39" s="20">
        <v>0</v>
      </c>
      <c r="AM39" s="21">
        <v>0</v>
      </c>
      <c r="AN39" s="136">
        <v>0</v>
      </c>
      <c r="AO39" s="20">
        <f>Ohj.lask.[[#This Row],[Jaettava € 1]]+Ohj.lask.[[#This Row],[Päätös 7, €]]</f>
        <v>19846724</v>
      </c>
      <c r="AP39" s="119">
        <f>Ohj.lask.[[#This Row],[Jaettava € 2]]</f>
        <v>5971777</v>
      </c>
      <c r="AQ39" s="20">
        <f>Ohj.lask.[[#This Row],[Jaettava € 3]]+Ohj.lask.[[#This Row],[Jaettava € 4]]+Ohj.lask.[[#This Row],[Jaettava € 5]]</f>
        <v>2962021</v>
      </c>
      <c r="AR39" s="45">
        <f>Ohj.lask.[[#This Row],[Jaettava € 6]]+Ohj.lask.[[#This Row],[Päätös 7, €]]</f>
        <v>28780522</v>
      </c>
      <c r="AS39" s="45">
        <f>ROUND(IFERROR(VLOOKUP(Ohj.lask.[[#This Row],[Y-tunnus]],'3.1 Alv vahvistettu'!A:Y,COLUMN(C:C),FALSE),0),0)</f>
        <v>0</v>
      </c>
      <c r="AT39" s="26">
        <f>Ohj.lask.[[#This Row],[Perus-, suoritus- ja vaikuttavuusrahoitus yhteensä, €]]+Ohj.lask.[[#This Row],[Alv-korvaus, €]]</f>
        <v>28780522</v>
      </c>
    </row>
    <row r="40" spans="1:46" ht="12.75" x14ac:dyDescent="0.2">
      <c r="A40" s="147" t="s">
        <v>373</v>
      </c>
      <c r="B40" s="17" t="s">
        <v>51</v>
      </c>
      <c r="C40" s="17" t="s">
        <v>238</v>
      </c>
      <c r="D40" s="17" t="s">
        <v>423</v>
      </c>
      <c r="E40" s="17" t="s">
        <v>663</v>
      </c>
      <c r="F40" s="128">
        <v>136</v>
      </c>
      <c r="G40" s="135">
        <v>7</v>
      </c>
      <c r="H40" s="44">
        <f t="shared" si="2"/>
        <v>143</v>
      </c>
      <c r="I40" s="18">
        <f>IFERROR(VLOOKUP($A40,'2.1 Toteut. op.vuodet'!$A:$Q,COLUMN('2.1 Toteut. op.vuodet'!Q:Q),FALSE),0)</f>
        <v>0.58446502828908209</v>
      </c>
      <c r="J40" s="85">
        <f t="shared" si="3"/>
        <v>83.6</v>
      </c>
      <c r="K40" s="19">
        <f>IFERROR(Ohj.lask.[[#This Row],[Painotetut opiskelija-vuodet]]/Ohj.lask.[[#Totals],[Painotetut opiskelija-vuodet]],0)</f>
        <v>4.1472347716862919E-4</v>
      </c>
      <c r="L40" s="20">
        <f>ROUND(IFERROR('1.1 Jakotaulu'!L$10*Ohj.lask.[[#This Row],[%-osuus 1]],0),0)</f>
        <v>493394</v>
      </c>
      <c r="M40" s="349">
        <f>IFERROR(ROUND(VLOOKUP($A40,'2.2 Tutk. ja osien pain. pist.'!$A:$Q,COLUMN('2.2 Tutk. ja osien pain. pist.'!P:P),FALSE),1),0)</f>
        <v>10324.6</v>
      </c>
      <c r="N40" s="19">
        <f>IFERROR(Ohj.lask.[[#This Row],[Painotetut pisteet 2]]/Ohj.lask.[[#Totals],[Painotetut pisteet 2]],0)</f>
        <v>6.5978589926480485E-4</v>
      </c>
      <c r="O40" s="26">
        <f>ROUND(IFERROR('1.1 Jakotaulu'!K$11*Ohj.lask.[[#This Row],[%-osuus 2]],0),0)</f>
        <v>244304</v>
      </c>
      <c r="P40" s="350">
        <f>IFERROR(ROUND(VLOOKUP($A40,'2.3 Työll. ja jatko-opisk.'!$A:$K,COLUMN('2.3 Työll. ja jatko-opisk.'!I:I),FALSE),1),0)</f>
        <v>274.3</v>
      </c>
      <c r="Q40" s="19">
        <f>IFERROR(Ohj.lask.[[#This Row],[Painotetut pisteet 3]]/Ohj.lask.[[#Totals],[Painotetut pisteet 3]],0)</f>
        <v>1.4480374684314107E-3</v>
      </c>
      <c r="R40" s="20">
        <f>ROUND(IFERROR('1.1 Jakotaulu'!L$13*Ohj.lask.[[#This Row],[%-osuus 3]],0),0)</f>
        <v>201066</v>
      </c>
      <c r="S40" s="349">
        <f>IFERROR(ROUND(VLOOKUP($A40,'2.4 Aloittaneet palaute'!$A:$K,COLUMN('2.4 Aloittaneet palaute'!J:J),FALSE),1),0)</f>
        <v>2672.5</v>
      </c>
      <c r="T40" s="23">
        <f>IFERROR(Ohj.lask.[[#This Row],[Painotetut pisteet 4]]/Ohj.lask.[[#Totals],[Painotetut pisteet 4]],0)</f>
        <v>2.1465228979577144E-3</v>
      </c>
      <c r="U40" s="26">
        <f>ROUND(IFERROR('1.1 Jakotaulu'!M$15*Ohj.lask.[[#This Row],[%-osuus 4]],0),0)</f>
        <v>24838</v>
      </c>
      <c r="V40" s="85">
        <f>IFERROR(ROUND(VLOOKUP($A40,'2.5 Päättäneet palaute'!$A:$AC,COLUMN('2.5 Päättäneet palaute'!AB:AB),FALSE),1),0)</f>
        <v>2209.6999999999998</v>
      </c>
      <c r="W40" s="23">
        <f>IFERROR(Ohj.lask.[[#This Row],[Painotetut pisteet 5]]/Ohj.lask.[[#Totals],[Painotetut pisteet 5]],0)</f>
        <v>3.336859508565174E-4</v>
      </c>
      <c r="X40" s="20">
        <f>ROUND(IFERROR('1.1 Jakotaulu'!M$16*Ohj.lask.[[#This Row],[%-osuus 5]],0),0)</f>
        <v>11583</v>
      </c>
      <c r="Y40" s="22">
        <f>IFERROR(Ohj.lask.[[#This Row],[Jaettava € 6]]/Ohj.lask.[[#Totals],[Jaettava € 6]],"")</f>
        <v>5.5881005116133122E-4</v>
      </c>
      <c r="Z40" s="26">
        <f>IFERROR(Ohj.lask.[[#This Row],[Jaettava € 1]]+Ohj.lask.[[#This Row],[Jaettava € 2]]+Ohj.lask.[[#This Row],[Jaettava € 3]]+Ohj.lask.[[#This Row],[Jaettava € 4]]+Ohj.lask.[[#This Row],[Jaettava € 5]],"")</f>
        <v>975185</v>
      </c>
      <c r="AA40" s="20">
        <v>0</v>
      </c>
      <c r="AB40" s="20">
        <v>0</v>
      </c>
      <c r="AC40" s="21">
        <v>200000</v>
      </c>
      <c r="AD40" s="20">
        <v>0</v>
      </c>
      <c r="AE40" s="21">
        <v>105000</v>
      </c>
      <c r="AF40" s="20">
        <v>0</v>
      </c>
      <c r="AG40" s="21">
        <v>0</v>
      </c>
      <c r="AH40" s="20">
        <v>0</v>
      </c>
      <c r="AI40" s="21">
        <v>60000</v>
      </c>
      <c r="AJ40" s="26">
        <v>0</v>
      </c>
      <c r="AK40" s="20">
        <v>0</v>
      </c>
      <c r="AL40" s="20">
        <v>0</v>
      </c>
      <c r="AM40" s="21">
        <v>365000</v>
      </c>
      <c r="AN40" s="136">
        <v>0</v>
      </c>
      <c r="AO40" s="20">
        <f>Ohj.lask.[[#This Row],[Jaettava € 1]]+Ohj.lask.[[#This Row],[Päätös 7, €]]</f>
        <v>493394</v>
      </c>
      <c r="AP40" s="119">
        <f>Ohj.lask.[[#This Row],[Jaettava € 2]]</f>
        <v>244304</v>
      </c>
      <c r="AQ40" s="20">
        <f>Ohj.lask.[[#This Row],[Jaettava € 3]]+Ohj.lask.[[#This Row],[Jaettava € 4]]+Ohj.lask.[[#This Row],[Jaettava € 5]]</f>
        <v>237487</v>
      </c>
      <c r="AR40" s="45">
        <f>Ohj.lask.[[#This Row],[Jaettava € 6]]+Ohj.lask.[[#This Row],[Päätös 7, €]]</f>
        <v>975185</v>
      </c>
      <c r="AS40" s="45">
        <f>ROUND(IFERROR(VLOOKUP(Ohj.lask.[[#This Row],[Y-tunnus]],'3.1 Alv vahvistettu'!A:Y,COLUMN(C:C),FALSE),0),0)</f>
        <v>39291</v>
      </c>
      <c r="AT40" s="26">
        <f>Ohj.lask.[[#This Row],[Perus-, suoritus- ja vaikuttavuusrahoitus yhteensä, €]]+Ohj.lask.[[#This Row],[Alv-korvaus, €]]</f>
        <v>1014476</v>
      </c>
    </row>
    <row r="41" spans="1:46" ht="12.75" x14ac:dyDescent="0.2">
      <c r="A41" s="147" t="s">
        <v>372</v>
      </c>
      <c r="B41" s="17" t="s">
        <v>52</v>
      </c>
      <c r="C41" s="113" t="s">
        <v>240</v>
      </c>
      <c r="D41" s="113" t="s">
        <v>422</v>
      </c>
      <c r="E41" s="113" t="s">
        <v>663</v>
      </c>
      <c r="F41" s="127">
        <v>6525</v>
      </c>
      <c r="G41" s="135">
        <v>266</v>
      </c>
      <c r="H41" s="44">
        <f t="shared" si="2"/>
        <v>6791</v>
      </c>
      <c r="I41" s="18">
        <f>IFERROR(VLOOKUP($A41,'2.1 Toteut. op.vuodet'!$A:$Q,COLUMN('2.1 Toteut. op.vuodet'!Q:Q),FALSE),0)</f>
        <v>1.059800400335791</v>
      </c>
      <c r="J41" s="85">
        <f t="shared" si="3"/>
        <v>7197.1</v>
      </c>
      <c r="K41" s="19">
        <f>IFERROR(Ohj.lask.[[#This Row],[Painotetut opiskelija-vuodet]]/Ohj.lask.[[#Totals],[Painotetut opiskelija-vuodet]],0)</f>
        <v>3.5703425090075853E-2</v>
      </c>
      <c r="L41" s="20">
        <f>ROUND(IFERROR('1.1 Jakotaulu'!L$10*Ohj.lask.[[#This Row],[%-osuus 1]],0),0)</f>
        <v>42476168</v>
      </c>
      <c r="M41" s="349">
        <f>IFERROR(ROUND(VLOOKUP($A41,'2.2 Tutk. ja osien pain. pist.'!$A:$Q,COLUMN('2.2 Tutk. ja osien pain. pist.'!P:P),FALSE),1),0)</f>
        <v>633109.6</v>
      </c>
      <c r="N41" s="19">
        <f>IFERROR(Ohj.lask.[[#This Row],[Painotetut pisteet 2]]/Ohj.lask.[[#Totals],[Painotetut pisteet 2]],0)</f>
        <v>4.0458399043951418E-2</v>
      </c>
      <c r="O41" s="26">
        <f>ROUND(IFERROR('1.1 Jakotaulu'!K$11*Ohj.lask.[[#This Row],[%-osuus 2]],0),0)</f>
        <v>14980815</v>
      </c>
      <c r="P41" s="350">
        <f>IFERROR(ROUND(VLOOKUP($A41,'2.3 Työll. ja jatko-opisk.'!$A:$K,COLUMN('2.3 Työll. ja jatko-opisk.'!I:I),FALSE),1),0)</f>
        <v>8638.2999999999993</v>
      </c>
      <c r="Q41" s="23">
        <f>IFERROR(Ohj.lask.[[#This Row],[Painotetut pisteet 3]]/Ohj.lask.[[#Totals],[Painotetut pisteet 3]],0)</f>
        <v>4.5601830344699432E-2</v>
      </c>
      <c r="R41" s="20">
        <f>ROUND(IFERROR('1.1 Jakotaulu'!L$13*Ohj.lask.[[#This Row],[%-osuus 3]],0),0)</f>
        <v>6331991</v>
      </c>
      <c r="S41" s="349">
        <f>IFERROR(ROUND(VLOOKUP($A41,'2.4 Aloittaneet palaute'!$A:$K,COLUMN('2.4 Aloittaneet palaute'!J:J),FALSE),1),0)</f>
        <v>49794.5</v>
      </c>
      <c r="T41" s="23">
        <f>IFERROR(Ohj.lask.[[#This Row],[Painotetut pisteet 4]]/Ohj.lask.[[#Totals],[Painotetut pisteet 4]],0)</f>
        <v>3.99944001655212E-2</v>
      </c>
      <c r="U41" s="26">
        <f>ROUND(IFERROR('1.1 Jakotaulu'!M$15*Ohj.lask.[[#This Row],[%-osuus 4]],0),0)</f>
        <v>462781</v>
      </c>
      <c r="V41" s="85">
        <f>IFERROR(ROUND(VLOOKUP($A41,'2.5 Päättäneet palaute'!$A:$AC,COLUMN('2.5 Päättäneet palaute'!AB:AB),FALSE),1),0)</f>
        <v>257103</v>
      </c>
      <c r="W41" s="23">
        <f>IFERROR(Ohj.lask.[[#This Row],[Painotetut pisteet 5]]/Ohj.lask.[[#Totals],[Painotetut pisteet 5]],0)</f>
        <v>3.8825025579519029E-2</v>
      </c>
      <c r="X41" s="20">
        <f>ROUND(IFERROR('1.1 Jakotaulu'!M$16*Ohj.lask.[[#This Row],[%-osuus 5]],0),0)</f>
        <v>1347751</v>
      </c>
      <c r="Y41" s="22">
        <f>IFERROR(Ohj.lask.[[#This Row],[Jaettava € 6]]/Ohj.lask.[[#Totals],[Jaettava € 6]],"")</f>
        <v>3.759047083785954E-2</v>
      </c>
      <c r="Z41" s="26">
        <f>IFERROR(Ohj.lask.[[#This Row],[Jaettava € 1]]+Ohj.lask.[[#This Row],[Jaettava € 2]]+Ohj.lask.[[#This Row],[Jaettava € 3]]+Ohj.lask.[[#This Row],[Jaettava € 4]]+Ohj.lask.[[#This Row],[Jaettava € 5]],"")</f>
        <v>65599506</v>
      </c>
      <c r="AA41" s="20">
        <v>550000</v>
      </c>
      <c r="AB41" s="20">
        <v>0</v>
      </c>
      <c r="AC41" s="21">
        <v>0</v>
      </c>
      <c r="AD41" s="20">
        <v>0</v>
      </c>
      <c r="AE41" s="21">
        <v>0</v>
      </c>
      <c r="AF41" s="20">
        <v>0</v>
      </c>
      <c r="AG41" s="21">
        <v>0</v>
      </c>
      <c r="AH41" s="20">
        <v>0</v>
      </c>
      <c r="AI41" s="21">
        <v>250000</v>
      </c>
      <c r="AJ41" s="26">
        <v>120000</v>
      </c>
      <c r="AK41" s="20">
        <v>100000</v>
      </c>
      <c r="AL41" s="20">
        <v>35000</v>
      </c>
      <c r="AM41" s="21">
        <v>900000</v>
      </c>
      <c r="AN41" s="136">
        <v>155000</v>
      </c>
      <c r="AO41" s="20">
        <f>Ohj.lask.[[#This Row],[Jaettava € 1]]+Ohj.lask.[[#This Row],[Päätös 7, €]]</f>
        <v>42631168</v>
      </c>
      <c r="AP41" s="119">
        <f>Ohj.lask.[[#This Row],[Jaettava € 2]]</f>
        <v>14980815</v>
      </c>
      <c r="AQ41" s="20">
        <f>Ohj.lask.[[#This Row],[Jaettava € 3]]+Ohj.lask.[[#This Row],[Jaettava € 4]]+Ohj.lask.[[#This Row],[Jaettava € 5]]</f>
        <v>8142523</v>
      </c>
      <c r="AR41" s="45">
        <f>Ohj.lask.[[#This Row],[Jaettava € 6]]+Ohj.lask.[[#This Row],[Päätös 7, €]]</f>
        <v>65754506</v>
      </c>
      <c r="AS41" s="45">
        <f>ROUND(IFERROR(VLOOKUP(Ohj.lask.[[#This Row],[Y-tunnus]],'3.1 Alv vahvistettu'!A:Y,COLUMN(C:C),FALSE),0),0)</f>
        <v>0</v>
      </c>
      <c r="AT41" s="26">
        <f>Ohj.lask.[[#This Row],[Perus-, suoritus- ja vaikuttavuusrahoitus yhteensä, €]]+Ohj.lask.[[#This Row],[Alv-korvaus, €]]</f>
        <v>65754506</v>
      </c>
    </row>
    <row r="42" spans="1:46" ht="12.75" x14ac:dyDescent="0.2">
      <c r="A42" s="147" t="s">
        <v>377</v>
      </c>
      <c r="B42" s="17" t="s">
        <v>53</v>
      </c>
      <c r="C42" s="113" t="s">
        <v>240</v>
      </c>
      <c r="D42" s="113" t="s">
        <v>423</v>
      </c>
      <c r="E42" s="113" t="s">
        <v>663</v>
      </c>
      <c r="F42" s="127">
        <v>166</v>
      </c>
      <c r="G42" s="135">
        <v>14</v>
      </c>
      <c r="H42" s="44">
        <f t="shared" si="2"/>
        <v>180</v>
      </c>
      <c r="I42" s="18">
        <f>IFERROR(VLOOKUP($A42,'2.1 Toteut. op.vuodet'!$A:$Q,COLUMN('2.1 Toteut. op.vuodet'!Q:Q),FALSE),0)</f>
        <v>1.0026861034897816</v>
      </c>
      <c r="J42" s="85">
        <f t="shared" si="3"/>
        <v>180.5</v>
      </c>
      <c r="K42" s="19">
        <f>IFERROR(Ohj.lask.[[#This Row],[Painotetut opiskelija-vuodet]]/Ohj.lask.[[#Totals],[Painotetut opiskelija-vuodet]],0)</f>
        <v>8.9542568934135856E-4</v>
      </c>
      <c r="L42" s="20">
        <f>ROUND(IFERROR('1.1 Jakotaulu'!L$10*Ohj.lask.[[#This Row],[%-osuus 1]],0),0)</f>
        <v>1065283</v>
      </c>
      <c r="M42" s="349">
        <f>IFERROR(ROUND(VLOOKUP($A42,'2.2 Tutk. ja osien pain. pist.'!$A:$Q,COLUMN('2.2 Tutk. ja osien pain. pist.'!P:P),FALSE),1),0)</f>
        <v>16875.900000000001</v>
      </c>
      <c r="N42" s="19">
        <f>IFERROR(Ohj.lask.[[#This Row],[Painotetut pisteet 2]]/Ohj.lask.[[#Totals],[Painotetut pisteet 2]],0)</f>
        <v>1.0784418628714835E-3</v>
      </c>
      <c r="O42" s="26">
        <f>ROUND(IFERROR('1.1 Jakotaulu'!K$11*Ohj.lask.[[#This Row],[%-osuus 2]],0),0)</f>
        <v>399322</v>
      </c>
      <c r="P42" s="350">
        <f>IFERROR(ROUND(VLOOKUP($A42,'2.3 Työll. ja jatko-opisk.'!$A:$K,COLUMN('2.3 Työll. ja jatko-opisk.'!I:I),FALSE),1),0)</f>
        <v>238.8</v>
      </c>
      <c r="Q42" s="23">
        <f>IFERROR(Ohj.lask.[[#This Row],[Painotetut pisteet 3]]/Ohj.lask.[[#Totals],[Painotetut pisteet 3]],0)</f>
        <v>1.2606319630383553E-3</v>
      </c>
      <c r="R42" s="20">
        <f>ROUND(IFERROR('1.1 Jakotaulu'!L$13*Ohj.lask.[[#This Row],[%-osuus 3]],0),0)</f>
        <v>175044</v>
      </c>
      <c r="S42" s="349">
        <f>IFERROR(ROUND(VLOOKUP($A42,'2.4 Aloittaneet palaute'!$A:$K,COLUMN('2.4 Aloittaneet palaute'!J:J),FALSE),1),0)</f>
        <v>2306.8000000000002</v>
      </c>
      <c r="T42" s="23">
        <f>IFERROR(Ohj.lask.[[#This Row],[Painotetut pisteet 4]]/Ohj.lask.[[#Totals],[Painotetut pisteet 4]],0)</f>
        <v>1.8527966402278227E-3</v>
      </c>
      <c r="U42" s="26">
        <f>ROUND(IFERROR('1.1 Jakotaulu'!M$15*Ohj.lask.[[#This Row],[%-osuus 4]],0),0)</f>
        <v>21439</v>
      </c>
      <c r="V42" s="85">
        <f>IFERROR(ROUND(VLOOKUP($A42,'2.5 Päättäneet palaute'!$A:$AC,COLUMN('2.5 Päättäneet palaute'!AB:AB),FALSE),1),0)</f>
        <v>6760.4</v>
      </c>
      <c r="W42" s="23">
        <f>IFERROR(Ohj.lask.[[#This Row],[Painotetut pisteet 5]]/Ohj.lask.[[#Totals],[Painotetut pisteet 5]],0)</f>
        <v>1.0208854152918498E-3</v>
      </c>
      <c r="X42" s="20">
        <f>ROUND(IFERROR('1.1 Jakotaulu'!M$16*Ohj.lask.[[#This Row],[%-osuus 5]],0),0)</f>
        <v>35438</v>
      </c>
      <c r="Y42" s="22">
        <f>IFERROR(Ohj.lask.[[#This Row],[Jaettava € 6]]/Ohj.lask.[[#Totals],[Jaettava € 6]],"")</f>
        <v>9.7215992950725112E-4</v>
      </c>
      <c r="Z42" s="26">
        <f>IFERROR(Ohj.lask.[[#This Row],[Jaettava € 1]]+Ohj.lask.[[#This Row],[Jaettava € 2]]+Ohj.lask.[[#This Row],[Jaettava € 3]]+Ohj.lask.[[#This Row],[Jaettava € 4]]+Ohj.lask.[[#This Row],[Jaettava € 5]],"")</f>
        <v>1696526</v>
      </c>
      <c r="AA42" s="20">
        <v>0</v>
      </c>
      <c r="AB42" s="20">
        <v>0</v>
      </c>
      <c r="AC42" s="21">
        <v>0</v>
      </c>
      <c r="AD42" s="20">
        <v>0</v>
      </c>
      <c r="AE42" s="21">
        <v>0</v>
      </c>
      <c r="AF42" s="20">
        <v>0</v>
      </c>
      <c r="AG42" s="21">
        <v>0</v>
      </c>
      <c r="AH42" s="20">
        <v>0</v>
      </c>
      <c r="AI42" s="21">
        <v>20000</v>
      </c>
      <c r="AJ42" s="26">
        <v>20000</v>
      </c>
      <c r="AK42" s="20">
        <v>0</v>
      </c>
      <c r="AL42" s="20">
        <v>0</v>
      </c>
      <c r="AM42" s="21">
        <v>20000</v>
      </c>
      <c r="AN42" s="136">
        <v>20000</v>
      </c>
      <c r="AO42" s="20">
        <f>Ohj.lask.[[#This Row],[Jaettava € 1]]+Ohj.lask.[[#This Row],[Päätös 7, €]]</f>
        <v>1085283</v>
      </c>
      <c r="AP42" s="119">
        <f>Ohj.lask.[[#This Row],[Jaettava € 2]]</f>
        <v>399322</v>
      </c>
      <c r="AQ42" s="20">
        <f>Ohj.lask.[[#This Row],[Jaettava € 3]]+Ohj.lask.[[#This Row],[Jaettava € 4]]+Ohj.lask.[[#This Row],[Jaettava € 5]]</f>
        <v>231921</v>
      </c>
      <c r="AR42" s="45">
        <f>Ohj.lask.[[#This Row],[Jaettava € 6]]+Ohj.lask.[[#This Row],[Päätös 7, €]]</f>
        <v>1716526</v>
      </c>
      <c r="AS42" s="45">
        <f>ROUND(IFERROR(VLOOKUP(Ohj.lask.[[#This Row],[Y-tunnus]],'3.1 Alv vahvistettu'!A:Y,COLUMN(C:C),FALSE),0),0)</f>
        <v>8663</v>
      </c>
      <c r="AT42" s="26">
        <f>Ohj.lask.[[#This Row],[Perus-, suoritus- ja vaikuttavuusrahoitus yhteensä, €]]+Ohj.lask.[[#This Row],[Alv-korvaus, €]]</f>
        <v>1725189</v>
      </c>
    </row>
    <row r="43" spans="1:46" ht="12.75" x14ac:dyDescent="0.2">
      <c r="A43" s="147" t="s">
        <v>376</v>
      </c>
      <c r="B43" s="17" t="s">
        <v>54</v>
      </c>
      <c r="C43" s="17" t="s">
        <v>240</v>
      </c>
      <c r="D43" s="17" t="s">
        <v>423</v>
      </c>
      <c r="E43" s="17" t="s">
        <v>663</v>
      </c>
      <c r="F43" s="128">
        <v>118</v>
      </c>
      <c r="G43" s="135">
        <v>7</v>
      </c>
      <c r="H43" s="44">
        <f t="shared" si="2"/>
        <v>125</v>
      </c>
      <c r="I43" s="18">
        <f>IFERROR(VLOOKUP($A43,'2.1 Toteut. op.vuodet'!$A:$Q,COLUMN('2.1 Toteut. op.vuodet'!Q:Q),FALSE),0)</f>
        <v>1.065797951717844</v>
      </c>
      <c r="J43" s="85">
        <f t="shared" si="3"/>
        <v>133.19999999999999</v>
      </c>
      <c r="K43" s="19">
        <f>IFERROR(Ohj.lask.[[#This Row],[Painotetut opiskelija-vuodet]]/Ohj.lask.[[#Totals],[Painotetut opiskelija-vuodet]],0)</f>
        <v>6.6077951146963413E-4</v>
      </c>
      <c r="L43" s="20">
        <f>ROUND(IFERROR('1.1 Jakotaulu'!L$10*Ohj.lask.[[#This Row],[%-osuus 1]],0),0)</f>
        <v>786126</v>
      </c>
      <c r="M43" s="349">
        <f>IFERROR(ROUND(VLOOKUP($A43,'2.2 Tutk. ja osien pain. pist.'!$A:$Q,COLUMN('2.2 Tutk. ja osien pain. pist.'!P:P),FALSE),1),0)</f>
        <v>14193.7</v>
      </c>
      <c r="N43" s="19">
        <f>IFERROR(Ohj.lask.[[#This Row],[Painotetut pisteet 2]]/Ohj.lask.[[#Totals],[Painotetut pisteet 2]],0)</f>
        <v>9.0703786281258936E-4</v>
      </c>
      <c r="O43" s="26">
        <f>ROUND(IFERROR('1.1 Jakotaulu'!K$11*Ohj.lask.[[#This Row],[%-osuus 2]],0),0)</f>
        <v>335855</v>
      </c>
      <c r="P43" s="350">
        <f>IFERROR(ROUND(VLOOKUP($A43,'2.3 Työll. ja jatko-opisk.'!$A:$K,COLUMN('2.3 Työll. ja jatko-opisk.'!I:I),FALSE),1),0)</f>
        <v>149.30000000000001</v>
      </c>
      <c r="Q43" s="19">
        <f>IFERROR(Ohj.lask.[[#This Row],[Painotetut pisteet 3]]/Ohj.lask.[[#Totals],[Painotetut pisteet 3]],0)</f>
        <v>7.8815892831501878E-4</v>
      </c>
      <c r="R43" s="20">
        <f>ROUND(IFERROR('1.1 Jakotaulu'!L$13*Ohj.lask.[[#This Row],[%-osuus 3]],0),0)</f>
        <v>109439</v>
      </c>
      <c r="S43" s="349">
        <f>IFERROR(ROUND(VLOOKUP($A43,'2.4 Aloittaneet palaute'!$A:$K,COLUMN('2.4 Aloittaneet palaute'!J:J),FALSE),1),0)</f>
        <v>1298.2</v>
      </c>
      <c r="T43" s="23">
        <f>IFERROR(Ohj.lask.[[#This Row],[Painotetut pisteet 4]]/Ohj.lask.[[#Totals],[Painotetut pisteet 4]],0)</f>
        <v>1.0427001033222469E-3</v>
      </c>
      <c r="U43" s="26">
        <f>ROUND(IFERROR('1.1 Jakotaulu'!M$15*Ohj.lask.[[#This Row],[%-osuus 4]],0),0)</f>
        <v>12065</v>
      </c>
      <c r="V43" s="85">
        <f>IFERROR(ROUND(VLOOKUP($A43,'2.5 Päättäneet palaute'!$A:$AC,COLUMN('2.5 Päättäneet palaute'!AB:AB),FALSE),1),0)</f>
        <v>7595.4</v>
      </c>
      <c r="W43" s="23">
        <f>IFERROR(Ohj.lask.[[#This Row],[Painotetut pisteet 5]]/Ohj.lask.[[#Totals],[Painotetut pisteet 5]],0)</f>
        <v>1.1469784455517005E-3</v>
      </c>
      <c r="X43" s="20">
        <f>ROUND(IFERROR('1.1 Jakotaulu'!M$16*Ohj.lask.[[#This Row],[%-osuus 5]],0),0)</f>
        <v>39816</v>
      </c>
      <c r="Y43" s="22">
        <f>IFERROR(Ohj.lask.[[#This Row],[Jaettava € 6]]/Ohj.lask.[[#Totals],[Jaettava € 6]],"")</f>
        <v>7.3536969648362884E-4</v>
      </c>
      <c r="Z43" s="26">
        <f>IFERROR(Ohj.lask.[[#This Row],[Jaettava € 1]]+Ohj.lask.[[#This Row],[Jaettava € 2]]+Ohj.lask.[[#This Row],[Jaettava € 3]]+Ohj.lask.[[#This Row],[Jaettava € 4]]+Ohj.lask.[[#This Row],[Jaettava € 5]],"")</f>
        <v>1283301</v>
      </c>
      <c r="AA43" s="20">
        <v>0</v>
      </c>
      <c r="AB43" s="20">
        <v>0</v>
      </c>
      <c r="AC43" s="21">
        <v>0</v>
      </c>
      <c r="AD43" s="20">
        <v>0</v>
      </c>
      <c r="AE43" s="21">
        <v>0</v>
      </c>
      <c r="AF43" s="20">
        <v>0</v>
      </c>
      <c r="AG43" s="21">
        <v>0</v>
      </c>
      <c r="AH43" s="20">
        <v>0</v>
      </c>
      <c r="AI43" s="21">
        <v>11500</v>
      </c>
      <c r="AJ43" s="26">
        <v>10000</v>
      </c>
      <c r="AK43" s="20">
        <v>0</v>
      </c>
      <c r="AL43" s="20">
        <v>0</v>
      </c>
      <c r="AM43" s="21">
        <v>11500</v>
      </c>
      <c r="AN43" s="136">
        <v>10000</v>
      </c>
      <c r="AO43" s="20">
        <f>Ohj.lask.[[#This Row],[Jaettava € 1]]+Ohj.lask.[[#This Row],[Päätös 7, €]]</f>
        <v>796126</v>
      </c>
      <c r="AP43" s="119">
        <f>Ohj.lask.[[#This Row],[Jaettava € 2]]</f>
        <v>335855</v>
      </c>
      <c r="AQ43" s="20">
        <f>Ohj.lask.[[#This Row],[Jaettava € 3]]+Ohj.lask.[[#This Row],[Jaettava € 4]]+Ohj.lask.[[#This Row],[Jaettava € 5]]</f>
        <v>161320</v>
      </c>
      <c r="AR43" s="45">
        <f>Ohj.lask.[[#This Row],[Jaettava € 6]]+Ohj.lask.[[#This Row],[Päätös 7, €]]</f>
        <v>1293301</v>
      </c>
      <c r="AS43" s="45">
        <f>ROUND(IFERROR(VLOOKUP(Ohj.lask.[[#This Row],[Y-tunnus]],'3.1 Alv vahvistettu'!A:Y,COLUMN(C:C),FALSE),0),0)</f>
        <v>69443</v>
      </c>
      <c r="AT43" s="26">
        <f>Ohj.lask.[[#This Row],[Perus-, suoritus- ja vaikuttavuusrahoitus yhteensä, €]]+Ohj.lask.[[#This Row],[Alv-korvaus, €]]</f>
        <v>1362744</v>
      </c>
    </row>
    <row r="44" spans="1:46" ht="12.75" x14ac:dyDescent="0.2">
      <c r="A44" s="147" t="s">
        <v>371</v>
      </c>
      <c r="B44" s="17" t="s">
        <v>55</v>
      </c>
      <c r="C44" s="17" t="s">
        <v>271</v>
      </c>
      <c r="D44" s="17" t="s">
        <v>422</v>
      </c>
      <c r="E44" s="17" t="s">
        <v>663</v>
      </c>
      <c r="F44" s="128">
        <v>555</v>
      </c>
      <c r="G44" s="135">
        <v>0</v>
      </c>
      <c r="H44" s="44">
        <f t="shared" si="2"/>
        <v>555</v>
      </c>
      <c r="I44" s="18">
        <f>IFERROR(VLOOKUP($A44,'2.1 Toteut. op.vuodet'!$A:$Q,COLUMN('2.1 Toteut. op.vuodet'!Q:Q),FALSE),0)</f>
        <v>1.0798512438936791</v>
      </c>
      <c r="J44" s="85">
        <f t="shared" si="3"/>
        <v>599.29999999999995</v>
      </c>
      <c r="K44" s="19">
        <f>IFERROR(Ohj.lask.[[#This Row],[Painotetut opiskelija-vuodet]]/Ohj.lask.[[#Totals],[Painotetut opiskelija-vuodet]],0)</f>
        <v>2.9730117208990369E-3</v>
      </c>
      <c r="L44" s="20">
        <f>ROUND(IFERROR('1.1 Jakotaulu'!L$10*Ohj.lask.[[#This Row],[%-osuus 1]],0),0)</f>
        <v>3536976</v>
      </c>
      <c r="M44" s="349">
        <f>IFERROR(ROUND(VLOOKUP($A44,'2.2 Tutk. ja osien pain. pist.'!$A:$Q,COLUMN('2.2 Tutk. ja osien pain. pist.'!P:P),FALSE),1),0)</f>
        <v>62511.5</v>
      </c>
      <c r="N44" s="19">
        <f>IFERROR(Ohj.lask.[[#This Row],[Painotetut pisteet 2]]/Ohj.lask.[[#Totals],[Painotetut pisteet 2]],0)</f>
        <v>3.9947510065176228E-3</v>
      </c>
      <c r="O44" s="26">
        <f>ROUND(IFERROR('1.1 Jakotaulu'!K$11*Ohj.lask.[[#This Row],[%-osuus 2]],0),0)</f>
        <v>1479164</v>
      </c>
      <c r="P44" s="350">
        <f>IFERROR(ROUND(VLOOKUP($A44,'2.3 Työll. ja jatko-opisk.'!$A:$K,COLUMN('2.3 Työll. ja jatko-opisk.'!I:I),FALSE),1),0)</f>
        <v>757.2</v>
      </c>
      <c r="Q44" s="19">
        <f>IFERROR(Ohj.lask.[[#This Row],[Painotetut pisteet 3]]/Ohj.lask.[[#Totals],[Painotetut pisteet 3]],0)</f>
        <v>3.9972802446090567E-3</v>
      </c>
      <c r="R44" s="20">
        <f>ROUND(IFERROR('1.1 Jakotaulu'!L$13*Ohj.lask.[[#This Row],[%-osuus 3]],0),0)</f>
        <v>555038</v>
      </c>
      <c r="S44" s="349">
        <f>IFERROR(ROUND(VLOOKUP($A44,'2.4 Aloittaneet palaute'!$A:$K,COLUMN('2.4 Aloittaneet palaute'!J:J),FALSE),1),0)</f>
        <v>3016.4</v>
      </c>
      <c r="T44" s="23">
        <f>IFERROR(Ohj.lask.[[#This Row],[Painotetut pisteet 4]]/Ohj.lask.[[#Totals],[Painotetut pisteet 4]],0)</f>
        <v>2.4227396330775116E-3</v>
      </c>
      <c r="U44" s="26">
        <f>ROUND(IFERROR('1.1 Jakotaulu'!M$15*Ohj.lask.[[#This Row],[%-osuus 4]],0),0)</f>
        <v>28034</v>
      </c>
      <c r="V44" s="85">
        <f>IFERROR(ROUND(VLOOKUP($A44,'2.5 Päättäneet palaute'!$A:$AC,COLUMN('2.5 Päättäneet palaute'!AB:AB),FALSE),1),0)</f>
        <v>41927.300000000003</v>
      </c>
      <c r="W44" s="23">
        <f>IFERROR(Ohj.lask.[[#This Row],[Painotetut pisteet 5]]/Ohj.lask.[[#Totals],[Painotetut pisteet 5]],0)</f>
        <v>6.3314255181004054E-3</v>
      </c>
      <c r="X44" s="20">
        <f>ROUND(IFERROR('1.1 Jakotaulu'!M$16*Ohj.lask.[[#This Row],[%-osuus 5]],0),0)</f>
        <v>219786</v>
      </c>
      <c r="Y44" s="22">
        <f>IFERROR(Ohj.lask.[[#This Row],[Jaettava € 6]]/Ohj.lask.[[#Totals],[Jaettava € 6]],"")</f>
        <v>3.3344591745029756E-3</v>
      </c>
      <c r="Z44" s="26">
        <f>IFERROR(Ohj.lask.[[#This Row],[Jaettava € 1]]+Ohj.lask.[[#This Row],[Jaettava € 2]]+Ohj.lask.[[#This Row],[Jaettava € 3]]+Ohj.lask.[[#This Row],[Jaettava € 4]]+Ohj.lask.[[#This Row],[Jaettava € 5]],"")</f>
        <v>5818998</v>
      </c>
      <c r="AA44" s="20">
        <v>0</v>
      </c>
      <c r="AB44" s="20">
        <v>0</v>
      </c>
      <c r="AC44" s="21">
        <v>0</v>
      </c>
      <c r="AD44" s="20">
        <v>0</v>
      </c>
      <c r="AE44" s="21">
        <v>0</v>
      </c>
      <c r="AF44" s="20">
        <v>0</v>
      </c>
      <c r="AG44" s="21">
        <v>0</v>
      </c>
      <c r="AH44" s="20">
        <v>0</v>
      </c>
      <c r="AI44" s="21">
        <v>0</v>
      </c>
      <c r="AJ44" s="26">
        <v>0</v>
      </c>
      <c r="AK44" s="20">
        <v>0</v>
      </c>
      <c r="AL44" s="20">
        <v>0</v>
      </c>
      <c r="AM44" s="21">
        <v>0</v>
      </c>
      <c r="AN44" s="136">
        <v>0</v>
      </c>
      <c r="AO44" s="20">
        <f>Ohj.lask.[[#This Row],[Jaettava € 1]]+Ohj.lask.[[#This Row],[Päätös 7, €]]</f>
        <v>3536976</v>
      </c>
      <c r="AP44" s="119">
        <f>Ohj.lask.[[#This Row],[Jaettava € 2]]</f>
        <v>1479164</v>
      </c>
      <c r="AQ44" s="20">
        <f>Ohj.lask.[[#This Row],[Jaettava € 3]]+Ohj.lask.[[#This Row],[Jaettava € 4]]+Ohj.lask.[[#This Row],[Jaettava € 5]]</f>
        <v>802858</v>
      </c>
      <c r="AR44" s="45">
        <f>Ohj.lask.[[#This Row],[Jaettava € 6]]+Ohj.lask.[[#This Row],[Päätös 7, €]]</f>
        <v>5818998</v>
      </c>
      <c r="AS44" s="45">
        <f>ROUND(IFERROR(VLOOKUP(Ohj.lask.[[#This Row],[Y-tunnus]],'3.1 Alv vahvistettu'!A:Y,COLUMN(C:C),FALSE),0),0)</f>
        <v>0</v>
      </c>
      <c r="AT44" s="26">
        <f>Ohj.lask.[[#This Row],[Perus-, suoritus- ja vaikuttavuusrahoitus yhteensä, €]]+Ohj.lask.[[#This Row],[Alv-korvaus, €]]</f>
        <v>5818998</v>
      </c>
    </row>
    <row r="45" spans="1:46" ht="12.75" x14ac:dyDescent="0.2">
      <c r="A45" s="147" t="s">
        <v>370</v>
      </c>
      <c r="B45" s="17" t="s">
        <v>56</v>
      </c>
      <c r="C45" s="17" t="s">
        <v>248</v>
      </c>
      <c r="D45" s="17" t="s">
        <v>424</v>
      </c>
      <c r="E45" s="17" t="s">
        <v>663</v>
      </c>
      <c r="F45" s="128">
        <v>2561</v>
      </c>
      <c r="G45" s="135">
        <v>263</v>
      </c>
      <c r="H45" s="44">
        <f t="shared" si="2"/>
        <v>2824</v>
      </c>
      <c r="I45" s="18">
        <f>IFERROR(VLOOKUP($A45,'2.1 Toteut. op.vuodet'!$A:$Q,COLUMN('2.1 Toteut. op.vuodet'!Q:Q),FALSE),0)</f>
        <v>1.0916580592127121</v>
      </c>
      <c r="J45" s="85">
        <f t="shared" si="3"/>
        <v>3082.8</v>
      </c>
      <c r="K45" s="19">
        <f>IFERROR(Ohj.lask.[[#This Row],[Painotetut opiskelija-vuodet]]/Ohj.lask.[[#Totals],[Painotetut opiskelija-vuodet]],0)</f>
        <v>1.5293176260950362E-2</v>
      </c>
      <c r="L45" s="20">
        <f>ROUND(IFERROR('1.1 Jakotaulu'!L$10*Ohj.lask.[[#This Row],[%-osuus 1]],0),0)</f>
        <v>18194208</v>
      </c>
      <c r="M45" s="349">
        <f>IFERROR(ROUND(VLOOKUP($A45,'2.2 Tutk. ja osien pain. pist.'!$A:$Q,COLUMN('2.2 Tutk. ja osien pain. pist.'!P:P),FALSE),1),0)</f>
        <v>251439.8</v>
      </c>
      <c r="N45" s="19">
        <f>IFERROR(Ohj.lask.[[#This Row],[Painotetut pisteet 2]]/Ohj.lask.[[#Totals],[Painotetut pisteet 2]],0)</f>
        <v>1.6068073780481824E-2</v>
      </c>
      <c r="O45" s="26">
        <f>ROUND(IFERROR('1.1 Jakotaulu'!K$11*Ohj.lask.[[#This Row],[%-osuus 2]],0),0)</f>
        <v>5949638</v>
      </c>
      <c r="P45" s="350">
        <f>IFERROR(ROUND(VLOOKUP($A45,'2.3 Työll. ja jatko-opisk.'!$A:$K,COLUMN('2.3 Työll. ja jatko-opisk.'!I:I),FALSE),1),0)</f>
        <v>3425.3</v>
      </c>
      <c r="Q45" s="19">
        <f>IFERROR(Ohj.lask.[[#This Row],[Painotetut pisteet 3]]/Ohj.lask.[[#Totals],[Painotetut pisteet 3]],0)</f>
        <v>1.8082255707685423E-2</v>
      </c>
      <c r="R45" s="20">
        <f>ROUND(IFERROR('1.1 Jakotaulu'!L$13*Ohj.lask.[[#This Row],[%-osuus 3]],0),0)</f>
        <v>2510791</v>
      </c>
      <c r="S45" s="349">
        <f>IFERROR(ROUND(VLOOKUP($A45,'2.4 Aloittaneet palaute'!$A:$K,COLUMN('2.4 Aloittaneet palaute'!J:J),FALSE),1),0)</f>
        <v>23991.5</v>
      </c>
      <c r="T45" s="23">
        <f>IFERROR(Ohj.lask.[[#This Row],[Painotetut pisteet 4]]/Ohj.lask.[[#Totals],[Painotetut pisteet 4]],0)</f>
        <v>1.9269711545875586E-2</v>
      </c>
      <c r="U45" s="26">
        <f>ROUND(IFERROR('1.1 Jakotaulu'!M$15*Ohj.lask.[[#This Row],[%-osuus 4]],0),0)</f>
        <v>222973</v>
      </c>
      <c r="V45" s="85">
        <f>IFERROR(ROUND(VLOOKUP($A45,'2.5 Päättäneet palaute'!$A:$AC,COLUMN('2.5 Päättäneet palaute'!AB:AB),FALSE),1),0)</f>
        <v>136394.79999999999</v>
      </c>
      <c r="W45" s="23">
        <f>IFERROR(Ohj.lask.[[#This Row],[Painotetut pisteet 5]]/Ohj.lask.[[#Totals],[Painotetut pisteet 5]],0)</f>
        <v>2.0596926519384769E-2</v>
      </c>
      <c r="X45" s="20">
        <f>ROUND(IFERROR('1.1 Jakotaulu'!M$16*Ohj.lask.[[#This Row],[%-osuus 5]],0),0)</f>
        <v>714991</v>
      </c>
      <c r="Y45" s="22">
        <f>IFERROR(Ohj.lask.[[#This Row],[Jaettava € 6]]/Ohj.lask.[[#Totals],[Jaettava € 6]],"")</f>
        <v>1.5811382226433138E-2</v>
      </c>
      <c r="Z45" s="26">
        <f>IFERROR(Ohj.lask.[[#This Row],[Jaettava € 1]]+Ohj.lask.[[#This Row],[Jaettava € 2]]+Ohj.lask.[[#This Row],[Jaettava € 3]]+Ohj.lask.[[#This Row],[Jaettava € 4]]+Ohj.lask.[[#This Row],[Jaettava € 5]],"")</f>
        <v>27592601</v>
      </c>
      <c r="AA45" s="20">
        <v>250000</v>
      </c>
      <c r="AB45" s="20">
        <v>0</v>
      </c>
      <c r="AC45" s="21">
        <v>0</v>
      </c>
      <c r="AD45" s="20">
        <v>0</v>
      </c>
      <c r="AE45" s="21">
        <v>0</v>
      </c>
      <c r="AF45" s="20">
        <v>0</v>
      </c>
      <c r="AG45" s="21">
        <v>0</v>
      </c>
      <c r="AH45" s="20">
        <v>0</v>
      </c>
      <c r="AI45" s="21">
        <v>50000</v>
      </c>
      <c r="AJ45" s="26">
        <v>0</v>
      </c>
      <c r="AK45" s="20">
        <v>0</v>
      </c>
      <c r="AL45" s="20">
        <v>0</v>
      </c>
      <c r="AM45" s="21">
        <v>300000</v>
      </c>
      <c r="AN45" s="136">
        <v>0</v>
      </c>
      <c r="AO45" s="20">
        <f>Ohj.lask.[[#This Row],[Jaettava € 1]]+Ohj.lask.[[#This Row],[Päätös 7, €]]</f>
        <v>18194208</v>
      </c>
      <c r="AP45" s="119">
        <f>Ohj.lask.[[#This Row],[Jaettava € 2]]</f>
        <v>5949638</v>
      </c>
      <c r="AQ45" s="20">
        <f>Ohj.lask.[[#This Row],[Jaettava € 3]]+Ohj.lask.[[#This Row],[Jaettava € 4]]+Ohj.lask.[[#This Row],[Jaettava € 5]]</f>
        <v>3448755</v>
      </c>
      <c r="AR45" s="45">
        <f>Ohj.lask.[[#This Row],[Jaettava € 6]]+Ohj.lask.[[#This Row],[Päätös 7, €]]</f>
        <v>27592601</v>
      </c>
      <c r="AS45" s="45">
        <f>ROUND(IFERROR(VLOOKUP(Ohj.lask.[[#This Row],[Y-tunnus]],'3.1 Alv vahvistettu'!A:Y,COLUMN(C:C),FALSE),0),0)</f>
        <v>0</v>
      </c>
      <c r="AT45" s="26">
        <f>Ohj.lask.[[#This Row],[Perus-, suoritus- ja vaikuttavuusrahoitus yhteensä, €]]+Ohj.lask.[[#This Row],[Alv-korvaus, €]]</f>
        <v>27592601</v>
      </c>
    </row>
    <row r="46" spans="1:46" ht="12.75" x14ac:dyDescent="0.2">
      <c r="A46" s="147" t="s">
        <v>369</v>
      </c>
      <c r="B46" s="17" t="s">
        <v>210</v>
      </c>
      <c r="C46" s="17" t="s">
        <v>246</v>
      </c>
      <c r="D46" s="17" t="s">
        <v>423</v>
      </c>
      <c r="E46" s="17" t="s">
        <v>663</v>
      </c>
      <c r="F46" s="128">
        <v>89</v>
      </c>
      <c r="G46" s="135">
        <v>9</v>
      </c>
      <c r="H46" s="44">
        <f t="shared" si="2"/>
        <v>98</v>
      </c>
      <c r="I46" s="18">
        <f>IFERROR(VLOOKUP($A46,'2.1 Toteut. op.vuodet'!$A:$Q,COLUMN('2.1 Toteut. op.vuodet'!Q:Q),FALSE),0)</f>
        <v>1.0342839278220728</v>
      </c>
      <c r="J46" s="85">
        <f t="shared" si="3"/>
        <v>101.4</v>
      </c>
      <c r="K46" s="19">
        <f>IFERROR(Ohj.lask.[[#This Row],[Painotetut opiskelija-vuodet]]/Ohj.lask.[[#Totals],[Painotetut opiskelija-vuodet]],0)</f>
        <v>5.030258443169738E-4</v>
      </c>
      <c r="L46" s="20">
        <f>ROUND(IFERROR('1.1 Jakotaulu'!L$10*Ohj.lask.[[#This Row],[%-osuus 1]],0),0)</f>
        <v>598447</v>
      </c>
      <c r="M46" s="349">
        <f>IFERROR(ROUND(VLOOKUP($A46,'2.2 Tutk. ja osien pain. pist.'!$A:$Q,COLUMN('2.2 Tutk. ja osien pain. pist.'!P:P),FALSE),1),0)</f>
        <v>6861.7</v>
      </c>
      <c r="N46" s="19">
        <f>IFERROR(Ohj.lask.[[#This Row],[Painotetut pisteet 2]]/Ohj.lask.[[#Totals],[Painotetut pisteet 2]],0)</f>
        <v>4.3849184520323412E-4</v>
      </c>
      <c r="O46" s="26">
        <f>ROUND(IFERROR('1.1 Jakotaulu'!K$11*Ohj.lask.[[#This Row],[%-osuus 2]],0),0)</f>
        <v>162363</v>
      </c>
      <c r="P46" s="350">
        <f>IFERROR(ROUND(VLOOKUP($A46,'2.3 Työll. ja jatko-opisk.'!$A:$K,COLUMN('2.3 Työll. ja jatko-opisk.'!I:I),FALSE),1),0)</f>
        <v>100.4</v>
      </c>
      <c r="Q46" s="19">
        <f>IFERROR(Ohj.lask.[[#This Row],[Painotetut pisteet 3]]/Ohj.lask.[[#Totals],[Painotetut pisteet 3]],0)</f>
        <v>5.3001444342148615E-4</v>
      </c>
      <c r="R46" s="20">
        <f>ROUND(IFERROR('1.1 Jakotaulu'!L$13*Ohj.lask.[[#This Row],[%-osuus 3]],0),0)</f>
        <v>73595</v>
      </c>
      <c r="S46" s="349">
        <f>IFERROR(ROUND(VLOOKUP($A46,'2.4 Aloittaneet palaute'!$A:$K,COLUMN('2.4 Aloittaneet palaute'!J:J),FALSE),1),0)</f>
        <v>1390.1</v>
      </c>
      <c r="T46" s="23">
        <f>IFERROR(Ohj.lask.[[#This Row],[Painotetut pisteet 4]]/Ohj.lask.[[#Totals],[Painotetut pisteet 4]],0)</f>
        <v>1.1165131825822334E-3</v>
      </c>
      <c r="U46" s="26">
        <f>ROUND(IFERROR('1.1 Jakotaulu'!M$15*Ohj.lask.[[#This Row],[%-osuus 4]],0),0)</f>
        <v>12919</v>
      </c>
      <c r="V46" s="85">
        <f>IFERROR(ROUND(VLOOKUP($A46,'2.5 Päättäneet palaute'!$A:$AC,COLUMN('2.5 Päättäneet palaute'!AB:AB),FALSE),1),0)</f>
        <v>8173.8</v>
      </c>
      <c r="W46" s="23">
        <f>IFERROR(Ohj.lask.[[#This Row],[Painotetut pisteet 5]]/Ohj.lask.[[#Totals],[Painotetut pisteet 5]],0)</f>
        <v>1.2343224080694224E-3</v>
      </c>
      <c r="X46" s="20">
        <f>ROUND(IFERROR('1.1 Jakotaulu'!M$16*Ohj.lask.[[#This Row],[%-osuus 5]],0),0)</f>
        <v>42848</v>
      </c>
      <c r="Y46" s="22">
        <f>IFERROR(Ohj.lask.[[#This Row],[Jaettava € 6]]/Ohj.lask.[[#Totals],[Jaettava € 6]],"")</f>
        <v>5.100950700250563E-4</v>
      </c>
      <c r="Z46" s="26">
        <f>IFERROR(Ohj.lask.[[#This Row],[Jaettava € 1]]+Ohj.lask.[[#This Row],[Jaettava € 2]]+Ohj.lask.[[#This Row],[Jaettava € 3]]+Ohj.lask.[[#This Row],[Jaettava € 4]]+Ohj.lask.[[#This Row],[Jaettava € 5]],"")</f>
        <v>890172</v>
      </c>
      <c r="AA46" s="20">
        <v>0</v>
      </c>
      <c r="AB46" s="20">
        <v>0</v>
      </c>
      <c r="AC46" s="21">
        <v>0</v>
      </c>
      <c r="AD46" s="20">
        <v>0</v>
      </c>
      <c r="AE46" s="21">
        <v>0</v>
      </c>
      <c r="AF46" s="20">
        <v>0</v>
      </c>
      <c r="AG46" s="21">
        <v>0</v>
      </c>
      <c r="AH46" s="20">
        <v>0</v>
      </c>
      <c r="AI46" s="21">
        <v>20000</v>
      </c>
      <c r="AJ46" s="26">
        <v>0</v>
      </c>
      <c r="AK46" s="20">
        <v>0</v>
      </c>
      <c r="AL46" s="20">
        <v>0</v>
      </c>
      <c r="AM46" s="21">
        <v>20000</v>
      </c>
      <c r="AN46" s="136">
        <v>0</v>
      </c>
      <c r="AO46" s="20">
        <f>Ohj.lask.[[#This Row],[Jaettava € 1]]+Ohj.lask.[[#This Row],[Päätös 7, €]]</f>
        <v>598447</v>
      </c>
      <c r="AP46" s="119">
        <f>Ohj.lask.[[#This Row],[Jaettava € 2]]</f>
        <v>162363</v>
      </c>
      <c r="AQ46" s="20">
        <f>Ohj.lask.[[#This Row],[Jaettava € 3]]+Ohj.lask.[[#This Row],[Jaettava € 4]]+Ohj.lask.[[#This Row],[Jaettava € 5]]</f>
        <v>129362</v>
      </c>
      <c r="AR46" s="45">
        <f>Ohj.lask.[[#This Row],[Jaettava € 6]]+Ohj.lask.[[#This Row],[Päätös 7, €]]</f>
        <v>890172</v>
      </c>
      <c r="AS46" s="45">
        <f>ROUND(IFERROR(VLOOKUP(Ohj.lask.[[#This Row],[Y-tunnus]],'3.1 Alv vahvistettu'!A:Y,COLUMN(C:C),FALSE),0),0)</f>
        <v>27175</v>
      </c>
      <c r="AT46" s="26">
        <f>Ohj.lask.[[#This Row],[Perus-, suoritus- ja vaikuttavuusrahoitus yhteensä, €]]+Ohj.lask.[[#This Row],[Alv-korvaus, €]]</f>
        <v>917347</v>
      </c>
    </row>
    <row r="47" spans="1:46" ht="12.75" x14ac:dyDescent="0.2">
      <c r="A47" s="147" t="s">
        <v>368</v>
      </c>
      <c r="B47" s="17" t="s">
        <v>58</v>
      </c>
      <c r="C47" s="17" t="s">
        <v>238</v>
      </c>
      <c r="D47" s="17" t="s">
        <v>423</v>
      </c>
      <c r="E47" s="17" t="s">
        <v>663</v>
      </c>
      <c r="F47" s="128">
        <v>85</v>
      </c>
      <c r="G47" s="135">
        <v>5</v>
      </c>
      <c r="H47" s="44">
        <f t="shared" si="2"/>
        <v>90</v>
      </c>
      <c r="I47" s="18">
        <f>IFERROR(VLOOKUP($A47,'2.1 Toteut. op.vuodet'!$A:$Q,COLUMN('2.1 Toteut. op.vuodet'!Q:Q),FALSE),0)</f>
        <v>1.186857486587652</v>
      </c>
      <c r="J47" s="85">
        <f t="shared" si="3"/>
        <v>106.8</v>
      </c>
      <c r="K47" s="19">
        <f>IFERROR(Ohj.lask.[[#This Row],[Painotetut opiskelija-vuodet]]/Ohj.lask.[[#Totals],[Painotetut opiskelija-vuodet]],0)</f>
        <v>5.2981420289006703E-4</v>
      </c>
      <c r="L47" s="20">
        <f>ROUND(IFERROR('1.1 Jakotaulu'!L$10*Ohj.lask.[[#This Row],[%-osuus 1]],0),0)</f>
        <v>630317</v>
      </c>
      <c r="M47" s="349">
        <f>IFERROR(ROUND(VLOOKUP($A47,'2.2 Tutk. ja osien pain. pist.'!$A:$Q,COLUMN('2.2 Tutk. ja osien pain. pist.'!P:P),FALSE),1),0)</f>
        <v>9254.1</v>
      </c>
      <c r="N47" s="19">
        <f>IFERROR(Ohj.lask.[[#This Row],[Painotetut pisteet 2]]/Ohj.lask.[[#Totals],[Painotetut pisteet 2]],0)</f>
        <v>5.9137639137462272E-4</v>
      </c>
      <c r="O47" s="26">
        <f>ROUND(IFERROR('1.1 Jakotaulu'!K$11*Ohj.lask.[[#This Row],[%-osuus 2]],0),0)</f>
        <v>218973</v>
      </c>
      <c r="P47" s="350">
        <f>IFERROR(ROUND(VLOOKUP($A47,'2.3 Työll. ja jatko-opisk.'!$A:$K,COLUMN('2.3 Työll. ja jatko-opisk.'!I:I),FALSE),1),0)</f>
        <v>111</v>
      </c>
      <c r="Q47" s="19">
        <f>IFERROR(Ohj.lask.[[#This Row],[Painotetut pisteet 3]]/Ohj.lask.[[#Totals],[Painotetut pisteet 3]],0)</f>
        <v>5.8597214362335619E-4</v>
      </c>
      <c r="R47" s="20">
        <f>ROUND(IFERROR('1.1 Jakotaulu'!L$13*Ohj.lask.[[#This Row],[%-osuus 3]],0),0)</f>
        <v>81365</v>
      </c>
      <c r="S47" s="349">
        <f>IFERROR(ROUND(VLOOKUP($A47,'2.4 Aloittaneet palaute'!$A:$K,COLUMN('2.4 Aloittaneet palaute'!J:J),FALSE),1),0)</f>
        <v>930.7</v>
      </c>
      <c r="T47" s="23">
        <f>IFERROR(Ohj.lask.[[#This Row],[Painotetut pisteet 4]]/Ohj.lask.[[#Totals],[Painotetut pisteet 4]],0)</f>
        <v>7.4752810519335643E-4</v>
      </c>
      <c r="U47" s="26">
        <f>ROUND(IFERROR('1.1 Jakotaulu'!M$15*Ohj.lask.[[#This Row],[%-osuus 4]],0),0)</f>
        <v>8650</v>
      </c>
      <c r="V47" s="85">
        <f>IFERROR(ROUND(VLOOKUP($A47,'2.5 Päättäneet palaute'!$A:$AC,COLUMN('2.5 Päättäneet palaute'!AB:AB),FALSE),1),0)</f>
        <v>2018.1</v>
      </c>
      <c r="W47" s="23">
        <f>IFERROR(Ohj.lask.[[#This Row],[Painotetut pisteet 5]]/Ohj.lask.[[#Totals],[Painotetut pisteet 5]],0)</f>
        <v>3.0475250822443675E-4</v>
      </c>
      <c r="X47" s="20">
        <f>ROUND(IFERROR('1.1 Jakotaulu'!M$16*Ohj.lask.[[#This Row],[%-osuus 5]],0),0)</f>
        <v>10579</v>
      </c>
      <c r="Y47" s="22">
        <f>IFERROR(Ohj.lask.[[#This Row],[Jaettava € 6]]/Ohj.lask.[[#Totals],[Jaettava € 6]],"")</f>
        <v>5.4431182456388268E-4</v>
      </c>
      <c r="Z47" s="26">
        <f>IFERROR(Ohj.lask.[[#This Row],[Jaettava € 1]]+Ohj.lask.[[#This Row],[Jaettava € 2]]+Ohj.lask.[[#This Row],[Jaettava € 3]]+Ohj.lask.[[#This Row],[Jaettava € 4]]+Ohj.lask.[[#This Row],[Jaettava € 5]],"")</f>
        <v>949884</v>
      </c>
      <c r="AA47" s="20">
        <v>0</v>
      </c>
      <c r="AB47" s="20">
        <v>0</v>
      </c>
      <c r="AC47" s="21">
        <v>0</v>
      </c>
      <c r="AD47" s="20">
        <v>0</v>
      </c>
      <c r="AE47" s="21">
        <v>34300</v>
      </c>
      <c r="AF47" s="20">
        <v>0</v>
      </c>
      <c r="AG47" s="21">
        <v>0</v>
      </c>
      <c r="AH47" s="20">
        <v>0</v>
      </c>
      <c r="AI47" s="21">
        <v>60000</v>
      </c>
      <c r="AJ47" s="26">
        <v>10000</v>
      </c>
      <c r="AK47" s="20">
        <v>0</v>
      </c>
      <c r="AL47" s="20">
        <v>0</v>
      </c>
      <c r="AM47" s="21">
        <v>94300</v>
      </c>
      <c r="AN47" s="136">
        <v>10000</v>
      </c>
      <c r="AO47" s="20">
        <f>Ohj.lask.[[#This Row],[Jaettava € 1]]+Ohj.lask.[[#This Row],[Päätös 7, €]]</f>
        <v>640317</v>
      </c>
      <c r="AP47" s="119">
        <f>Ohj.lask.[[#This Row],[Jaettava € 2]]</f>
        <v>218973</v>
      </c>
      <c r="AQ47" s="20">
        <f>Ohj.lask.[[#This Row],[Jaettava € 3]]+Ohj.lask.[[#This Row],[Jaettava € 4]]+Ohj.lask.[[#This Row],[Jaettava € 5]]</f>
        <v>100594</v>
      </c>
      <c r="AR47" s="45">
        <f>Ohj.lask.[[#This Row],[Jaettava € 6]]+Ohj.lask.[[#This Row],[Päätös 7, €]]</f>
        <v>959884</v>
      </c>
      <c r="AS47" s="45">
        <f>ROUND(IFERROR(VLOOKUP(Ohj.lask.[[#This Row],[Y-tunnus]],'3.1 Alv vahvistettu'!A:Y,COLUMN(C:C),FALSE),0),0)</f>
        <v>42225</v>
      </c>
      <c r="AT47" s="26">
        <f>Ohj.lask.[[#This Row],[Perus-, suoritus- ja vaikuttavuusrahoitus yhteensä, €]]+Ohj.lask.[[#This Row],[Alv-korvaus, €]]</f>
        <v>1002109</v>
      </c>
    </row>
    <row r="48" spans="1:46" ht="12.75" x14ac:dyDescent="0.2">
      <c r="A48" s="147" t="s">
        <v>367</v>
      </c>
      <c r="B48" s="17" t="s">
        <v>59</v>
      </c>
      <c r="C48" s="17" t="s">
        <v>238</v>
      </c>
      <c r="D48" s="17" t="s">
        <v>423</v>
      </c>
      <c r="E48" s="17" t="s">
        <v>663</v>
      </c>
      <c r="F48" s="128">
        <v>63</v>
      </c>
      <c r="G48" s="135">
        <v>0</v>
      </c>
      <c r="H48" s="44">
        <f t="shared" si="2"/>
        <v>63</v>
      </c>
      <c r="I48" s="18">
        <f>IFERROR(VLOOKUP($A48,'2.1 Toteut. op.vuodet'!$A:$Q,COLUMN('2.1 Toteut. op.vuodet'!Q:Q),FALSE),0)</f>
        <v>0.92200164511782856</v>
      </c>
      <c r="J48" s="85">
        <f t="shared" si="3"/>
        <v>58.1</v>
      </c>
      <c r="K48" s="19">
        <f>IFERROR(Ohj.lask.[[#This Row],[Painotetut opiskelija-vuodet]]/Ohj.lask.[[#Totals],[Painotetut opiskelija-vuodet]],0)</f>
        <v>2.88222895017911E-4</v>
      </c>
      <c r="L48" s="20">
        <f>ROUND(IFERROR('1.1 Jakotaulu'!L$10*Ohj.lask.[[#This Row],[%-osuus 1]],0),0)</f>
        <v>342897</v>
      </c>
      <c r="M48" s="349">
        <f>IFERROR(ROUND(VLOOKUP($A48,'2.2 Tutk. ja osien pain. pist.'!$A:$Q,COLUMN('2.2 Tutk. ja osien pain. pist.'!P:P),FALSE),1),0)</f>
        <v>2092.1999999999998</v>
      </c>
      <c r="N48" s="19">
        <f>IFERROR(Ohj.lask.[[#This Row],[Painotetut pisteet 2]]/Ohj.lask.[[#Totals],[Painotetut pisteet 2]],0)</f>
        <v>1.3370048800358605E-4</v>
      </c>
      <c r="O48" s="26">
        <f>ROUND(IFERROR('1.1 Jakotaulu'!K$11*Ohj.lask.[[#This Row],[%-osuus 2]],0),0)</f>
        <v>49506</v>
      </c>
      <c r="P48" s="350">
        <f>IFERROR(ROUND(VLOOKUP($A48,'2.3 Työll. ja jatko-opisk.'!$A:$K,COLUMN('2.3 Työll. ja jatko-opisk.'!I:I),FALSE),1),0)</f>
        <v>35</v>
      </c>
      <c r="Q48" s="19">
        <f>IFERROR(Ohj.lask.[[#This Row],[Painotetut pisteet 3]]/Ohj.lask.[[#Totals],[Painotetut pisteet 3]],0)</f>
        <v>1.8476599123258978E-4</v>
      </c>
      <c r="R48" s="20">
        <f>ROUND(IFERROR('1.1 Jakotaulu'!L$13*Ohj.lask.[[#This Row],[%-osuus 3]],0),0)</f>
        <v>25655</v>
      </c>
      <c r="S48" s="349">
        <f>IFERROR(ROUND(VLOOKUP($A48,'2.4 Aloittaneet palaute'!$A:$K,COLUMN('2.4 Aloittaneet palaute'!J:J),FALSE),1),0)</f>
        <v>346.8</v>
      </c>
      <c r="T48" s="23">
        <f>IFERROR(Ohj.lask.[[#This Row],[Painotetut pisteet 4]]/Ohj.lask.[[#Totals],[Painotetut pisteet 4]],0)</f>
        <v>2.7854598354040613E-4</v>
      </c>
      <c r="U48" s="26">
        <f>ROUND(IFERROR('1.1 Jakotaulu'!M$15*Ohj.lask.[[#This Row],[%-osuus 4]],0),0)</f>
        <v>3223</v>
      </c>
      <c r="V48" s="85">
        <f>IFERROR(ROUND(VLOOKUP($A48,'2.5 Päättäneet palaute'!$A:$AC,COLUMN('2.5 Päättäneet palaute'!AB:AB),FALSE),1),0)</f>
        <v>2461.1999999999998</v>
      </c>
      <c r="W48" s="23">
        <f>IFERROR(Ohj.lask.[[#This Row],[Painotetut pisteet 5]]/Ohj.lask.[[#Totals],[Painotetut pisteet 5]],0)</f>
        <v>3.716648695515503E-4</v>
      </c>
      <c r="X48" s="20">
        <f>ROUND(IFERROR('1.1 Jakotaulu'!M$16*Ohj.lask.[[#This Row],[%-osuus 5]],0),0)</f>
        <v>12902</v>
      </c>
      <c r="Y48" s="22">
        <f>IFERROR(Ohj.lask.[[#This Row],[Jaettava € 6]]/Ohj.lask.[[#Totals],[Jaettava € 6]],"")</f>
        <v>2.4879979126358619E-4</v>
      </c>
      <c r="Z48" s="26">
        <f>IFERROR(Ohj.lask.[[#This Row],[Jaettava € 1]]+Ohj.lask.[[#This Row],[Jaettava € 2]]+Ohj.lask.[[#This Row],[Jaettava € 3]]+Ohj.lask.[[#This Row],[Jaettava € 4]]+Ohj.lask.[[#This Row],[Jaettava € 5]],"")</f>
        <v>434183</v>
      </c>
      <c r="AA48" s="20">
        <v>0</v>
      </c>
      <c r="AB48" s="20">
        <v>0</v>
      </c>
      <c r="AC48" s="21">
        <v>0</v>
      </c>
      <c r="AD48" s="20">
        <v>0</v>
      </c>
      <c r="AE48" s="21">
        <v>0</v>
      </c>
      <c r="AF48" s="20">
        <v>0</v>
      </c>
      <c r="AG48" s="21">
        <v>0</v>
      </c>
      <c r="AH48" s="20">
        <v>0</v>
      </c>
      <c r="AI48" s="21">
        <v>0</v>
      </c>
      <c r="AJ48" s="26">
        <v>0</v>
      </c>
      <c r="AK48" s="20">
        <v>0</v>
      </c>
      <c r="AL48" s="20">
        <v>0</v>
      </c>
      <c r="AM48" s="21">
        <v>0</v>
      </c>
      <c r="AN48" s="136">
        <v>0</v>
      </c>
      <c r="AO48" s="20">
        <f>Ohj.lask.[[#This Row],[Jaettava € 1]]+Ohj.lask.[[#This Row],[Päätös 7, €]]</f>
        <v>342897</v>
      </c>
      <c r="AP48" s="119">
        <f>Ohj.lask.[[#This Row],[Jaettava € 2]]</f>
        <v>49506</v>
      </c>
      <c r="AQ48" s="20">
        <f>Ohj.lask.[[#This Row],[Jaettava € 3]]+Ohj.lask.[[#This Row],[Jaettava € 4]]+Ohj.lask.[[#This Row],[Jaettava € 5]]</f>
        <v>41780</v>
      </c>
      <c r="AR48" s="45">
        <f>Ohj.lask.[[#This Row],[Jaettava € 6]]+Ohj.lask.[[#This Row],[Päätös 7, €]]</f>
        <v>434183</v>
      </c>
      <c r="AS48" s="45">
        <f>ROUND(IFERROR(VLOOKUP(Ohj.lask.[[#This Row],[Y-tunnus]],'3.1 Alv vahvistettu'!A:Y,COLUMN(C:C),FALSE),0),0)</f>
        <v>0</v>
      </c>
      <c r="AT48" s="26">
        <f>Ohj.lask.[[#This Row],[Perus-, suoritus- ja vaikuttavuusrahoitus yhteensä, €]]+Ohj.lask.[[#This Row],[Alv-korvaus, €]]</f>
        <v>434183</v>
      </c>
    </row>
    <row r="49" spans="1:46" ht="12.75" x14ac:dyDescent="0.2">
      <c r="A49" s="147" t="s">
        <v>366</v>
      </c>
      <c r="B49" s="17" t="s">
        <v>60</v>
      </c>
      <c r="C49" s="17" t="s">
        <v>240</v>
      </c>
      <c r="D49" s="17" t="s">
        <v>423</v>
      </c>
      <c r="E49" s="17" t="s">
        <v>663</v>
      </c>
      <c r="F49" s="128">
        <v>23</v>
      </c>
      <c r="G49" s="135">
        <v>0</v>
      </c>
      <c r="H49" s="44">
        <f t="shared" si="2"/>
        <v>23</v>
      </c>
      <c r="I49" s="18">
        <f>IFERROR(VLOOKUP($A49,'2.1 Toteut. op.vuodet'!$A:$Q,COLUMN('2.1 Toteut. op.vuodet'!Q:Q),FALSE),0)</f>
        <v>0.81720524376938497</v>
      </c>
      <c r="J49" s="85">
        <f t="shared" si="3"/>
        <v>18.8</v>
      </c>
      <c r="K49" s="19">
        <f>IFERROR(Ohj.lask.[[#This Row],[Painotetut opiskelija-vuodet]]/Ohj.lask.[[#Totals],[Painotetut opiskelija-vuodet]],0)</f>
        <v>9.3263174291509927E-5</v>
      </c>
      <c r="L49" s="20">
        <f>ROUND(IFERROR('1.1 Jakotaulu'!L$10*Ohj.lask.[[#This Row],[%-osuus 1]],0),0)</f>
        <v>110955</v>
      </c>
      <c r="M49" s="349">
        <f>IFERROR(ROUND(VLOOKUP($A49,'2.2 Tutk. ja osien pain. pist.'!$A:$Q,COLUMN('2.2 Tutk. ja osien pain. pist.'!P:P),FALSE),1),0)</f>
        <v>1194.4000000000001</v>
      </c>
      <c r="N49" s="19">
        <f>IFERROR(Ohj.lask.[[#This Row],[Painotetut pisteet 2]]/Ohj.lask.[[#Totals],[Painotetut pisteet 2]],0)</f>
        <v>7.6327245421796766E-5</v>
      </c>
      <c r="O49" s="26">
        <f>ROUND(IFERROR('1.1 Jakotaulu'!K$11*Ohj.lask.[[#This Row],[%-osuus 2]],0),0)</f>
        <v>28262</v>
      </c>
      <c r="P49" s="350">
        <f>IFERROR(ROUND(VLOOKUP($A49,'2.3 Työll. ja jatko-opisk.'!$A:$K,COLUMN('2.3 Työll. ja jatko-opisk.'!I:I),FALSE),1),0)</f>
        <v>31.9</v>
      </c>
      <c r="Q49" s="19">
        <f>IFERROR(Ohj.lask.[[#This Row],[Painotetut pisteet 3]]/Ohj.lask.[[#Totals],[Painotetut pisteet 3]],0)</f>
        <v>1.6840100343770324E-4</v>
      </c>
      <c r="R49" s="20">
        <f>ROUND(IFERROR('1.1 Jakotaulu'!L$13*Ohj.lask.[[#This Row],[%-osuus 3]],0),0)</f>
        <v>23383</v>
      </c>
      <c r="S49" s="349">
        <f>IFERROR(ROUND(VLOOKUP($A49,'2.4 Aloittaneet palaute'!$A:$K,COLUMN('2.4 Aloittaneet palaute'!J:J),FALSE),1),0)</f>
        <v>256</v>
      </c>
      <c r="T49" s="23">
        <f>IFERROR(Ohj.lask.[[#This Row],[Painotetut pisteet 4]]/Ohj.lask.[[#Totals],[Painotetut pisteet 4]],0)</f>
        <v>2.0561641230202991E-4</v>
      </c>
      <c r="U49" s="26">
        <f>ROUND(IFERROR('1.1 Jakotaulu'!M$15*Ohj.lask.[[#This Row],[%-osuus 4]],0),0)</f>
        <v>2379</v>
      </c>
      <c r="V49" s="85">
        <f>IFERROR(ROUND(VLOOKUP($A49,'2.5 Päättäneet palaute'!$A:$AC,COLUMN('2.5 Päättäneet palaute'!AB:AB),FALSE),1),0)</f>
        <v>3031.1</v>
      </c>
      <c r="W49" s="23">
        <f>IFERROR(Ohj.lask.[[#This Row],[Painotetut pisteet 5]]/Ohj.lask.[[#Totals],[Painotetut pisteet 5]],0)</f>
        <v>4.5772525032411189E-4</v>
      </c>
      <c r="X49" s="20">
        <f>ROUND(IFERROR('1.1 Jakotaulu'!M$16*Ohj.lask.[[#This Row],[%-osuus 5]],0),0)</f>
        <v>15889</v>
      </c>
      <c r="Y49" s="22">
        <f>IFERROR(Ohj.lask.[[#This Row],[Jaettava € 6]]/Ohj.lask.[[#Totals],[Jaettava € 6]],"")</f>
        <v>1.0364275120458955E-4</v>
      </c>
      <c r="Z49" s="26">
        <f>IFERROR(Ohj.lask.[[#This Row],[Jaettava € 1]]+Ohj.lask.[[#This Row],[Jaettava € 2]]+Ohj.lask.[[#This Row],[Jaettava € 3]]+Ohj.lask.[[#This Row],[Jaettava € 4]]+Ohj.lask.[[#This Row],[Jaettava € 5]],"")</f>
        <v>180868</v>
      </c>
      <c r="AA49" s="20">
        <v>0</v>
      </c>
      <c r="AB49" s="20">
        <v>0</v>
      </c>
      <c r="AC49" s="21">
        <v>20000</v>
      </c>
      <c r="AD49" s="20">
        <v>0</v>
      </c>
      <c r="AE49" s="21">
        <v>0</v>
      </c>
      <c r="AF49" s="20">
        <v>0</v>
      </c>
      <c r="AG49" s="21">
        <v>0</v>
      </c>
      <c r="AH49" s="20">
        <v>0</v>
      </c>
      <c r="AI49" s="21">
        <v>0</v>
      </c>
      <c r="AJ49" s="26">
        <v>0</v>
      </c>
      <c r="AK49" s="20">
        <v>0</v>
      </c>
      <c r="AL49" s="20">
        <v>0</v>
      </c>
      <c r="AM49" s="21">
        <v>20000</v>
      </c>
      <c r="AN49" s="136">
        <v>0</v>
      </c>
      <c r="AO49" s="20">
        <f>Ohj.lask.[[#This Row],[Jaettava € 1]]+Ohj.lask.[[#This Row],[Päätös 7, €]]</f>
        <v>110955</v>
      </c>
      <c r="AP49" s="119">
        <f>Ohj.lask.[[#This Row],[Jaettava € 2]]</f>
        <v>28262</v>
      </c>
      <c r="AQ49" s="20">
        <f>Ohj.lask.[[#This Row],[Jaettava € 3]]+Ohj.lask.[[#This Row],[Jaettava € 4]]+Ohj.lask.[[#This Row],[Jaettava € 5]]</f>
        <v>41651</v>
      </c>
      <c r="AR49" s="45">
        <f>Ohj.lask.[[#This Row],[Jaettava € 6]]+Ohj.lask.[[#This Row],[Päätös 7, €]]</f>
        <v>180868</v>
      </c>
      <c r="AS49" s="45">
        <f>ROUND(IFERROR(VLOOKUP(Ohj.lask.[[#This Row],[Y-tunnus]],'3.1 Alv vahvistettu'!A:Y,COLUMN(C:C),FALSE),0),0)</f>
        <v>0</v>
      </c>
      <c r="AT49" s="26">
        <f>Ohj.lask.[[#This Row],[Perus-, suoritus- ja vaikuttavuusrahoitus yhteensä, €]]+Ohj.lask.[[#This Row],[Alv-korvaus, €]]</f>
        <v>180868</v>
      </c>
    </row>
    <row r="50" spans="1:46" ht="12.75" x14ac:dyDescent="0.2">
      <c r="A50" s="147" t="s">
        <v>365</v>
      </c>
      <c r="B50" s="17" t="s">
        <v>61</v>
      </c>
      <c r="C50" s="17" t="s">
        <v>238</v>
      </c>
      <c r="D50" s="17" t="s">
        <v>423</v>
      </c>
      <c r="E50" s="17" t="s">
        <v>663</v>
      </c>
      <c r="F50" s="128">
        <v>664</v>
      </c>
      <c r="G50" s="135">
        <v>125</v>
      </c>
      <c r="H50" s="44">
        <f t="shared" si="2"/>
        <v>789</v>
      </c>
      <c r="I50" s="18">
        <f>IFERROR(VLOOKUP($A50,'2.1 Toteut. op.vuodet'!$A:$Q,COLUMN('2.1 Toteut. op.vuodet'!Q:Q),FALSE),0)</f>
        <v>0.73244446377111383</v>
      </c>
      <c r="J50" s="85">
        <f t="shared" si="3"/>
        <v>577.9</v>
      </c>
      <c r="K50" s="19">
        <f>IFERROR(Ohj.lask.[[#This Row],[Painotetut opiskelija-vuodet]]/Ohj.lask.[[#Totals],[Painotetut opiskelija-vuodet]],0)</f>
        <v>2.866850448035297E-3</v>
      </c>
      <c r="L50" s="20">
        <f>ROUND(IFERROR('1.1 Jakotaulu'!L$10*Ohj.lask.[[#This Row],[%-osuus 1]],0),0)</f>
        <v>3410676</v>
      </c>
      <c r="M50" s="349">
        <f>IFERROR(ROUND(VLOOKUP($A50,'2.2 Tutk. ja osien pain. pist.'!$A:$Q,COLUMN('2.2 Tutk. ja osien pain. pist.'!P:P),FALSE),1),0)</f>
        <v>44141.599999999999</v>
      </c>
      <c r="N50" s="19">
        <f>IFERROR(Ohj.lask.[[#This Row],[Painotetut pisteet 2]]/Ohj.lask.[[#Totals],[Painotetut pisteet 2]],0)</f>
        <v>2.820836182611172E-3</v>
      </c>
      <c r="O50" s="26">
        <f>ROUND(IFERROR('1.1 Jakotaulu'!K$11*Ohj.lask.[[#This Row],[%-osuus 2]],0),0)</f>
        <v>1044491</v>
      </c>
      <c r="P50" s="350">
        <f>IFERROR(ROUND(VLOOKUP($A50,'2.3 Työll. ja jatko-opisk.'!$A:$K,COLUMN('2.3 Työll. ja jatko-opisk.'!I:I),FALSE),1),0)</f>
        <v>787.6</v>
      </c>
      <c r="Q50" s="19">
        <f>IFERROR(Ohj.lask.[[#This Row],[Painotetut pisteet 3]]/Ohj.lask.[[#Totals],[Painotetut pisteet 3]],0)</f>
        <v>4.1577627055653628E-3</v>
      </c>
      <c r="R50" s="20">
        <f>ROUND(IFERROR('1.1 Jakotaulu'!L$13*Ohj.lask.[[#This Row],[%-osuus 3]],0),0)</f>
        <v>577321</v>
      </c>
      <c r="S50" s="349">
        <f>IFERROR(ROUND(VLOOKUP($A50,'2.4 Aloittaneet palaute'!$A:$K,COLUMN('2.4 Aloittaneet palaute'!J:J),FALSE),1),0)</f>
        <v>8324.5</v>
      </c>
      <c r="T50" s="23">
        <f>IFERROR(Ohj.lask.[[#This Row],[Painotetut pisteet 4]]/Ohj.lask.[[#Totals],[Painotetut pisteet 4]],0)</f>
        <v>6.6861477508134686E-3</v>
      </c>
      <c r="U50" s="26">
        <f>ROUND(IFERROR('1.1 Jakotaulu'!M$15*Ohj.lask.[[#This Row],[%-osuus 4]],0),0)</f>
        <v>77366</v>
      </c>
      <c r="V50" s="85">
        <f>IFERROR(ROUND(VLOOKUP($A50,'2.5 Päättäneet palaute'!$A:$AC,COLUMN('2.5 Päättäneet palaute'!AB:AB),FALSE),1),0)</f>
        <v>51291.6</v>
      </c>
      <c r="W50" s="23">
        <f>IFERROR(Ohj.lask.[[#This Row],[Painotetut pisteet 5]]/Ohj.lask.[[#Totals],[Painotetut pisteet 5]],0)</f>
        <v>7.7455248753007877E-3</v>
      </c>
      <c r="X50" s="20">
        <f>ROUND(IFERROR('1.1 Jakotaulu'!M$16*Ohj.lask.[[#This Row],[%-osuus 5]],0),0)</f>
        <v>268874</v>
      </c>
      <c r="Y50" s="22">
        <f>IFERROR(Ohj.lask.[[#This Row],[Jaettava € 6]]/Ohj.lask.[[#Totals],[Jaettava € 6]],"")</f>
        <v>3.082171350936371E-3</v>
      </c>
      <c r="Z50" s="26">
        <f>IFERROR(Ohj.lask.[[#This Row],[Jaettava € 1]]+Ohj.lask.[[#This Row],[Jaettava € 2]]+Ohj.lask.[[#This Row],[Jaettava € 3]]+Ohj.lask.[[#This Row],[Jaettava € 4]]+Ohj.lask.[[#This Row],[Jaettava € 5]],"")</f>
        <v>5378728</v>
      </c>
      <c r="AA50" s="20">
        <v>0</v>
      </c>
      <c r="AB50" s="20">
        <v>0</v>
      </c>
      <c r="AC50" s="21">
        <v>300000</v>
      </c>
      <c r="AD50" s="20">
        <v>0</v>
      </c>
      <c r="AE50" s="21">
        <v>0</v>
      </c>
      <c r="AF50" s="20">
        <v>0</v>
      </c>
      <c r="AG50" s="21">
        <v>0</v>
      </c>
      <c r="AH50" s="20">
        <v>0</v>
      </c>
      <c r="AI50" s="21">
        <v>0</v>
      </c>
      <c r="AJ50" s="26">
        <v>0</v>
      </c>
      <c r="AK50" s="20">
        <v>0</v>
      </c>
      <c r="AL50" s="20">
        <v>0</v>
      </c>
      <c r="AM50" s="21">
        <v>300000</v>
      </c>
      <c r="AN50" s="136">
        <v>0</v>
      </c>
      <c r="AO50" s="20">
        <f>Ohj.lask.[[#This Row],[Jaettava € 1]]+Ohj.lask.[[#This Row],[Päätös 7, €]]</f>
        <v>3410676</v>
      </c>
      <c r="AP50" s="119">
        <f>Ohj.lask.[[#This Row],[Jaettava € 2]]</f>
        <v>1044491</v>
      </c>
      <c r="AQ50" s="20">
        <f>Ohj.lask.[[#This Row],[Jaettava € 3]]+Ohj.lask.[[#This Row],[Jaettava € 4]]+Ohj.lask.[[#This Row],[Jaettava € 5]]</f>
        <v>923561</v>
      </c>
      <c r="AR50" s="45">
        <f>Ohj.lask.[[#This Row],[Jaettava € 6]]+Ohj.lask.[[#This Row],[Päätös 7, €]]</f>
        <v>5378728</v>
      </c>
      <c r="AS50" s="45">
        <f>ROUND(IFERROR(VLOOKUP(Ohj.lask.[[#This Row],[Y-tunnus]],'3.1 Alv vahvistettu'!A:Y,COLUMN(C:C),FALSE),0),0)</f>
        <v>414461</v>
      </c>
      <c r="AT50" s="26">
        <f>Ohj.lask.[[#This Row],[Perus-, suoritus- ja vaikuttavuusrahoitus yhteensä, €]]+Ohj.lask.[[#This Row],[Alv-korvaus, €]]</f>
        <v>5793189</v>
      </c>
    </row>
    <row r="51" spans="1:46" ht="12.75" x14ac:dyDescent="0.2">
      <c r="A51" s="147" t="s">
        <v>364</v>
      </c>
      <c r="B51" s="17" t="s">
        <v>62</v>
      </c>
      <c r="C51" s="113" t="s">
        <v>346</v>
      </c>
      <c r="D51" s="113" t="s">
        <v>423</v>
      </c>
      <c r="E51" s="113" t="s">
        <v>663</v>
      </c>
      <c r="F51" s="127">
        <v>69</v>
      </c>
      <c r="G51" s="135">
        <v>0</v>
      </c>
      <c r="H51" s="44">
        <f t="shared" si="2"/>
        <v>69</v>
      </c>
      <c r="I51" s="18">
        <f>IFERROR(VLOOKUP($A51,'2.1 Toteut. op.vuodet'!$A:$Q,COLUMN('2.1 Toteut. op.vuodet'!Q:Q),FALSE),0)</f>
        <v>1.0404015191013496</v>
      </c>
      <c r="J51" s="85">
        <f t="shared" si="3"/>
        <v>71.8</v>
      </c>
      <c r="K51" s="19">
        <f>IFERROR(Ohj.lask.[[#This Row],[Painotetut opiskelija-vuodet]]/Ohj.lask.[[#Totals],[Painotetut opiskelija-vuodet]],0)</f>
        <v>3.5618595287927724E-4</v>
      </c>
      <c r="L51" s="20">
        <f>ROUND(IFERROR('1.1 Jakotaulu'!L$10*Ohj.lask.[[#This Row],[%-osuus 1]],0),0)</f>
        <v>423752</v>
      </c>
      <c r="M51" s="349">
        <f>IFERROR(ROUND(VLOOKUP($A51,'2.2 Tutk. ja osien pain. pist.'!$A:$Q,COLUMN('2.2 Tutk. ja osien pain. pist.'!P:P),FALSE),1),0)</f>
        <v>7405.1</v>
      </c>
      <c r="N51" s="19">
        <f>IFERROR(Ohj.lask.[[#This Row],[Painotetut pisteet 2]]/Ohj.lask.[[#Totals],[Painotetut pisteet 2]],0)</f>
        <v>4.7321741884875018E-4</v>
      </c>
      <c r="O51" s="26">
        <f>ROUND(IFERROR('1.1 Jakotaulu'!K$11*Ohj.lask.[[#This Row],[%-osuus 2]],0),0)</f>
        <v>175222</v>
      </c>
      <c r="P51" s="350">
        <f>IFERROR(ROUND(VLOOKUP($A51,'2.3 Työll. ja jatko-opisk.'!$A:$K,COLUMN('2.3 Työll. ja jatko-opisk.'!I:I),FALSE),1),0)</f>
        <v>87.9</v>
      </c>
      <c r="Q51" s="23">
        <f>IFERROR(Ohj.lask.[[#This Row],[Painotetut pisteet 3]]/Ohj.lask.[[#Totals],[Painotetut pisteet 3]],0)</f>
        <v>4.6402658940984692E-4</v>
      </c>
      <c r="R51" s="20">
        <f>ROUND(IFERROR('1.1 Jakotaulu'!L$13*Ohj.lask.[[#This Row],[%-osuus 3]],0),0)</f>
        <v>64432</v>
      </c>
      <c r="S51" s="349">
        <f>IFERROR(ROUND(VLOOKUP($A51,'2.4 Aloittaneet palaute'!$A:$K,COLUMN('2.4 Aloittaneet palaute'!J:J),FALSE),1),0)</f>
        <v>405.9</v>
      </c>
      <c r="T51" s="23">
        <f>IFERROR(Ohj.lask.[[#This Row],[Painotetut pisteet 4]]/Ohj.lask.[[#Totals],[Painotetut pisteet 4]],0)</f>
        <v>3.2601445997419503E-4</v>
      </c>
      <c r="U51" s="26">
        <f>ROUND(IFERROR('1.1 Jakotaulu'!M$15*Ohj.lask.[[#This Row],[%-osuus 4]],0),0)</f>
        <v>3772</v>
      </c>
      <c r="V51" s="85">
        <f>IFERROR(ROUND(VLOOKUP($A51,'2.5 Päättäneet palaute'!$A:$AC,COLUMN('2.5 Päättäneet palaute'!AB:AB),FALSE),1),0)</f>
        <v>3149.3</v>
      </c>
      <c r="W51" s="23">
        <f>IFERROR(Ohj.lask.[[#This Row],[Painotetut pisteet 5]]/Ohj.lask.[[#Totals],[Painotetut pisteet 5]],0)</f>
        <v>4.7557458706269195E-4</v>
      </c>
      <c r="X51" s="20">
        <f>ROUND(IFERROR('1.1 Jakotaulu'!M$16*Ohj.lask.[[#This Row],[%-osuus 5]],0),0)</f>
        <v>16509</v>
      </c>
      <c r="Y51" s="22">
        <f>IFERROR(Ohj.lask.[[#This Row],[Jaettava € 6]]/Ohj.lask.[[#Totals],[Jaettava € 6]],"")</f>
        <v>3.9177301481086878E-4</v>
      </c>
      <c r="Z51" s="26">
        <f>IFERROR(Ohj.lask.[[#This Row],[Jaettava € 1]]+Ohj.lask.[[#This Row],[Jaettava € 2]]+Ohj.lask.[[#This Row],[Jaettava € 3]]+Ohj.lask.[[#This Row],[Jaettava € 4]]+Ohj.lask.[[#This Row],[Jaettava € 5]],"")</f>
        <v>683687</v>
      </c>
      <c r="AA51" s="20">
        <v>0</v>
      </c>
      <c r="AB51" s="20">
        <v>0</v>
      </c>
      <c r="AC51" s="21">
        <v>0</v>
      </c>
      <c r="AD51" s="20">
        <v>0</v>
      </c>
      <c r="AE51" s="21">
        <v>0</v>
      </c>
      <c r="AF51" s="20">
        <v>0</v>
      </c>
      <c r="AG51" s="21">
        <v>0</v>
      </c>
      <c r="AH51" s="20">
        <v>0</v>
      </c>
      <c r="AI51" s="21">
        <v>0</v>
      </c>
      <c r="AJ51" s="26">
        <v>0</v>
      </c>
      <c r="AK51" s="20">
        <v>0</v>
      </c>
      <c r="AL51" s="20">
        <v>0</v>
      </c>
      <c r="AM51" s="21">
        <v>0</v>
      </c>
      <c r="AN51" s="136">
        <v>0</v>
      </c>
      <c r="AO51" s="20">
        <f>Ohj.lask.[[#This Row],[Jaettava € 1]]+Ohj.lask.[[#This Row],[Päätös 7, €]]</f>
        <v>423752</v>
      </c>
      <c r="AP51" s="119">
        <f>Ohj.lask.[[#This Row],[Jaettava € 2]]</f>
        <v>175222</v>
      </c>
      <c r="AQ51" s="20">
        <f>Ohj.lask.[[#This Row],[Jaettava € 3]]+Ohj.lask.[[#This Row],[Jaettava € 4]]+Ohj.lask.[[#This Row],[Jaettava € 5]]</f>
        <v>84713</v>
      </c>
      <c r="AR51" s="45">
        <f>Ohj.lask.[[#This Row],[Jaettava € 6]]+Ohj.lask.[[#This Row],[Päätös 7, €]]</f>
        <v>683687</v>
      </c>
      <c r="AS51" s="45">
        <f>ROUND(IFERROR(VLOOKUP(Ohj.lask.[[#This Row],[Y-tunnus]],'3.1 Alv vahvistettu'!A:Y,COLUMN(C:C),FALSE),0),0)</f>
        <v>33708</v>
      </c>
      <c r="AT51" s="26">
        <f>Ohj.lask.[[#This Row],[Perus-, suoritus- ja vaikuttavuusrahoitus yhteensä, €]]+Ohj.lask.[[#This Row],[Alv-korvaus, €]]</f>
        <v>717395</v>
      </c>
    </row>
    <row r="52" spans="1:46" ht="12.75" x14ac:dyDescent="0.2">
      <c r="A52" s="147" t="s">
        <v>363</v>
      </c>
      <c r="B52" s="17" t="s">
        <v>63</v>
      </c>
      <c r="C52" s="17" t="s">
        <v>238</v>
      </c>
      <c r="D52" s="17" t="s">
        <v>423</v>
      </c>
      <c r="E52" s="17" t="s">
        <v>663</v>
      </c>
      <c r="F52" s="128">
        <v>83</v>
      </c>
      <c r="G52" s="135">
        <v>0</v>
      </c>
      <c r="H52" s="44">
        <f t="shared" si="2"/>
        <v>83</v>
      </c>
      <c r="I52" s="18">
        <f>IFERROR(VLOOKUP($A52,'2.1 Toteut. op.vuodet'!$A:$Q,COLUMN('2.1 Toteut. op.vuodet'!Q:Q),FALSE),0)</f>
        <v>1.0001624451346673</v>
      </c>
      <c r="J52" s="85">
        <f t="shared" si="3"/>
        <v>83</v>
      </c>
      <c r="K52" s="19">
        <f>IFERROR(Ohj.lask.[[#This Row],[Painotetut opiskelija-vuodet]]/Ohj.lask.[[#Totals],[Painotetut opiskelija-vuodet]],0)</f>
        <v>4.1174699288272997E-4</v>
      </c>
      <c r="L52" s="20">
        <f>ROUND(IFERROR('1.1 Jakotaulu'!L$10*Ohj.lask.[[#This Row],[%-osuus 1]],0),0)</f>
        <v>489853</v>
      </c>
      <c r="M52" s="349">
        <f>IFERROR(ROUND(VLOOKUP($A52,'2.2 Tutk. ja osien pain. pist.'!$A:$Q,COLUMN('2.2 Tutk. ja osien pain. pist.'!P:P),FALSE),1),0)</f>
        <v>4908.7</v>
      </c>
      <c r="N52" s="19">
        <f>IFERROR(Ohj.lask.[[#This Row],[Painotetut pisteet 2]]/Ohj.lask.[[#Totals],[Painotetut pisteet 2]],0)</f>
        <v>3.1368682987439195E-4</v>
      </c>
      <c r="O52" s="26">
        <f>ROUND(IFERROR('1.1 Jakotaulu'!K$11*Ohj.lask.[[#This Row],[%-osuus 2]],0),0)</f>
        <v>116151</v>
      </c>
      <c r="P52" s="350">
        <f>IFERROR(ROUND(VLOOKUP($A52,'2.3 Työll. ja jatko-opisk.'!$A:$K,COLUMN('2.3 Työll. ja jatko-opisk.'!I:I),FALSE),1),0)</f>
        <v>45.3</v>
      </c>
      <c r="Q52" s="19">
        <f>IFERROR(Ohj.lask.[[#This Row],[Painotetut pisteet 3]]/Ohj.lask.[[#Totals],[Painotetut pisteet 3]],0)</f>
        <v>2.3913998293818048E-4</v>
      </c>
      <c r="R52" s="20">
        <f>ROUND(IFERROR('1.1 Jakotaulu'!L$13*Ohj.lask.[[#This Row],[%-osuus 3]],0),0)</f>
        <v>33206</v>
      </c>
      <c r="S52" s="349">
        <f>IFERROR(ROUND(VLOOKUP($A52,'2.4 Aloittaneet palaute'!$A:$K,COLUMN('2.4 Aloittaneet palaute'!J:J),FALSE),1),0)</f>
        <v>486.9</v>
      </c>
      <c r="T52" s="23">
        <f>IFERROR(Ohj.lask.[[#This Row],[Painotetut pisteet 4]]/Ohj.lask.[[#Totals],[Painotetut pisteet 4]],0)</f>
        <v>3.9107277792913421E-4</v>
      </c>
      <c r="U52" s="26">
        <f>ROUND(IFERROR('1.1 Jakotaulu'!M$15*Ohj.lask.[[#This Row],[%-osuus 4]],0),0)</f>
        <v>4525</v>
      </c>
      <c r="V52" s="85">
        <f>IFERROR(ROUND(VLOOKUP($A52,'2.5 Päättäneet palaute'!$A:$AC,COLUMN('2.5 Päättäneet palaute'!AB:AB),FALSE),1),0)</f>
        <v>0</v>
      </c>
      <c r="W52" s="23">
        <f>IFERROR(Ohj.lask.[[#This Row],[Painotetut pisteet 5]]/Ohj.lask.[[#Totals],[Painotetut pisteet 5]],0)</f>
        <v>0</v>
      </c>
      <c r="X52" s="20">
        <f>ROUND(IFERROR('1.1 Jakotaulu'!M$16*Ohj.lask.[[#This Row],[%-osuus 5]],0),0)</f>
        <v>0</v>
      </c>
      <c r="Y52" s="22">
        <f>IFERROR(Ohj.lask.[[#This Row],[Jaettava € 6]]/Ohj.lask.[[#Totals],[Jaettava € 6]],"")</f>
        <v>3.6887932882923708E-4</v>
      </c>
      <c r="Z52" s="26">
        <f>IFERROR(Ohj.lask.[[#This Row],[Jaettava € 1]]+Ohj.lask.[[#This Row],[Jaettava € 2]]+Ohj.lask.[[#This Row],[Jaettava € 3]]+Ohj.lask.[[#This Row],[Jaettava € 4]]+Ohj.lask.[[#This Row],[Jaettava € 5]],"")</f>
        <v>643735</v>
      </c>
      <c r="AA52" s="20">
        <v>0</v>
      </c>
      <c r="AB52" s="20">
        <v>0</v>
      </c>
      <c r="AC52" s="21">
        <v>0</v>
      </c>
      <c r="AD52" s="20">
        <v>0</v>
      </c>
      <c r="AE52" s="21">
        <v>0</v>
      </c>
      <c r="AF52" s="20">
        <v>200000</v>
      </c>
      <c r="AG52" s="21">
        <v>293533</v>
      </c>
      <c r="AH52" s="20">
        <v>0</v>
      </c>
      <c r="AI52" s="21">
        <v>0</v>
      </c>
      <c r="AJ52" s="26">
        <v>0</v>
      </c>
      <c r="AK52" s="20">
        <v>0</v>
      </c>
      <c r="AL52" s="20">
        <v>0</v>
      </c>
      <c r="AM52" s="21">
        <v>293533</v>
      </c>
      <c r="AN52" s="136">
        <v>200000</v>
      </c>
      <c r="AO52" s="20">
        <f>Ohj.lask.[[#This Row],[Jaettava € 1]]+Ohj.lask.[[#This Row],[Päätös 7, €]]</f>
        <v>689853</v>
      </c>
      <c r="AP52" s="119">
        <f>Ohj.lask.[[#This Row],[Jaettava € 2]]</f>
        <v>116151</v>
      </c>
      <c r="AQ52" s="20">
        <f>Ohj.lask.[[#This Row],[Jaettava € 3]]+Ohj.lask.[[#This Row],[Jaettava € 4]]+Ohj.lask.[[#This Row],[Jaettava € 5]]</f>
        <v>37731</v>
      </c>
      <c r="AR52" s="45">
        <f>Ohj.lask.[[#This Row],[Jaettava € 6]]+Ohj.lask.[[#This Row],[Päätös 7, €]]</f>
        <v>843735</v>
      </c>
      <c r="AS52" s="45">
        <f>ROUND(IFERROR(VLOOKUP(Ohj.lask.[[#This Row],[Y-tunnus]],'3.1 Alv vahvistettu'!A:Y,COLUMN(C:C),FALSE),0),0)</f>
        <v>37375</v>
      </c>
      <c r="AT52" s="26">
        <f>Ohj.lask.[[#This Row],[Perus-, suoritus- ja vaikuttavuusrahoitus yhteensä, €]]+Ohj.lask.[[#This Row],[Alv-korvaus, €]]</f>
        <v>881110</v>
      </c>
    </row>
    <row r="53" spans="1:46" ht="12.75" x14ac:dyDescent="0.2">
      <c r="A53" s="147" t="s">
        <v>362</v>
      </c>
      <c r="B53" s="17" t="s">
        <v>64</v>
      </c>
      <c r="C53" s="113" t="s">
        <v>296</v>
      </c>
      <c r="D53" s="113" t="s">
        <v>422</v>
      </c>
      <c r="E53" s="113" t="s">
        <v>663</v>
      </c>
      <c r="F53" s="127">
        <v>2434</v>
      </c>
      <c r="G53" s="135">
        <v>206</v>
      </c>
      <c r="H53" s="44">
        <f t="shared" si="2"/>
        <v>2640</v>
      </c>
      <c r="I53" s="18">
        <f>IFERROR(VLOOKUP($A53,'2.1 Toteut. op.vuodet'!$A:$Q,COLUMN('2.1 Toteut. op.vuodet'!Q:Q),FALSE),0)</f>
        <v>1.0488158990349257</v>
      </c>
      <c r="J53" s="85">
        <f t="shared" si="3"/>
        <v>2768.9</v>
      </c>
      <c r="K53" s="19">
        <f>IFERROR(Ohj.lask.[[#This Row],[Painotetut opiskelija-vuodet]]/Ohj.lask.[[#Totals],[Painotetut opiskelija-vuodet]],0)</f>
        <v>1.3735978898710735E-2</v>
      </c>
      <c r="L53" s="20">
        <f>ROUND(IFERROR('1.1 Jakotaulu'!L$10*Ohj.lask.[[#This Row],[%-osuus 1]],0),0)</f>
        <v>16341619</v>
      </c>
      <c r="M53" s="349">
        <f>IFERROR(ROUND(VLOOKUP($A53,'2.2 Tutk. ja osien pain. pist.'!$A:$Q,COLUMN('2.2 Tutk. ja osien pain. pist.'!P:P),FALSE),1),0)</f>
        <v>203060.4</v>
      </c>
      <c r="N53" s="19">
        <f>IFERROR(Ohj.lask.[[#This Row],[Painotetut pisteet 2]]/Ohj.lask.[[#Totals],[Painotetut pisteet 2]],0)</f>
        <v>1.2976424134501187E-2</v>
      </c>
      <c r="O53" s="26">
        <f>ROUND(IFERROR('1.1 Jakotaulu'!K$11*Ohj.lask.[[#This Row],[%-osuus 2]],0),0)</f>
        <v>4804871</v>
      </c>
      <c r="P53" s="350">
        <f>IFERROR(ROUND(VLOOKUP($A53,'2.3 Työll. ja jatko-opisk.'!$A:$K,COLUMN('2.3 Työll. ja jatko-opisk.'!I:I),FALSE),1),0)</f>
        <v>2695.8</v>
      </c>
      <c r="Q53" s="23">
        <f>IFERROR(Ohj.lask.[[#This Row],[Painotetut pisteet 3]]/Ohj.lask.[[#Totals],[Painotetut pisteet 3]],0)</f>
        <v>1.4231204547566158E-2</v>
      </c>
      <c r="R53" s="20">
        <f>ROUND(IFERROR('1.1 Jakotaulu'!L$13*Ohj.lask.[[#This Row],[%-osuus 3]],0),0)</f>
        <v>1976058</v>
      </c>
      <c r="S53" s="349">
        <f>IFERROR(ROUND(VLOOKUP($A53,'2.4 Aloittaneet palaute'!$A:$K,COLUMN('2.4 Aloittaneet palaute'!J:J),FALSE),1),0)</f>
        <v>22991.599999999999</v>
      </c>
      <c r="T53" s="23">
        <f>IFERROR(Ohj.lask.[[#This Row],[Painotetut pisteet 4]]/Ohj.lask.[[#Totals],[Painotetut pisteet 4]],0)</f>
        <v>1.8466602754231839E-2</v>
      </c>
      <c r="U53" s="26">
        <f>ROUND(IFERROR('1.1 Jakotaulu'!M$15*Ohj.lask.[[#This Row],[%-osuus 4]],0),0)</f>
        <v>213680</v>
      </c>
      <c r="V53" s="85">
        <f>IFERROR(ROUND(VLOOKUP($A53,'2.5 Päättäneet palaute'!$A:$AC,COLUMN('2.5 Päättäneet palaute'!AB:AB),FALSE),1),0)</f>
        <v>133430.39999999999</v>
      </c>
      <c r="W53" s="23">
        <f>IFERROR(Ohj.lask.[[#This Row],[Painotetut pisteet 5]]/Ohj.lask.[[#Totals],[Painotetut pisteet 5]],0)</f>
        <v>2.0149273610519738E-2</v>
      </c>
      <c r="X53" s="20">
        <f>ROUND(IFERROR('1.1 Jakotaulu'!M$16*Ohj.lask.[[#This Row],[%-osuus 5]],0),0)</f>
        <v>699451</v>
      </c>
      <c r="Y53" s="22">
        <f>IFERROR(Ohj.lask.[[#This Row],[Jaettava € 6]]/Ohj.lask.[[#Totals],[Jaettava € 6]],"")</f>
        <v>1.3773159976504289E-2</v>
      </c>
      <c r="Z53" s="26">
        <f>IFERROR(Ohj.lask.[[#This Row],[Jaettava € 1]]+Ohj.lask.[[#This Row],[Jaettava € 2]]+Ohj.lask.[[#This Row],[Jaettava € 3]]+Ohj.lask.[[#This Row],[Jaettava € 4]]+Ohj.lask.[[#This Row],[Jaettava € 5]],"")</f>
        <v>24035679</v>
      </c>
      <c r="AA53" s="20">
        <v>0</v>
      </c>
      <c r="AB53" s="20">
        <v>0</v>
      </c>
      <c r="AC53" s="21">
        <v>1400000</v>
      </c>
      <c r="AD53" s="20">
        <v>0</v>
      </c>
      <c r="AE53" s="21">
        <v>300000</v>
      </c>
      <c r="AF53" s="20">
        <v>0</v>
      </c>
      <c r="AG53" s="21">
        <v>675302</v>
      </c>
      <c r="AH53" s="20">
        <v>0</v>
      </c>
      <c r="AI53" s="21">
        <v>108000</v>
      </c>
      <c r="AJ53" s="26">
        <v>90000</v>
      </c>
      <c r="AK53" s="20">
        <v>0</v>
      </c>
      <c r="AL53" s="20">
        <v>0</v>
      </c>
      <c r="AM53" s="21">
        <v>2483302</v>
      </c>
      <c r="AN53" s="136">
        <v>90000</v>
      </c>
      <c r="AO53" s="20">
        <f>Ohj.lask.[[#This Row],[Jaettava € 1]]+Ohj.lask.[[#This Row],[Päätös 7, €]]</f>
        <v>16431619</v>
      </c>
      <c r="AP53" s="119">
        <f>Ohj.lask.[[#This Row],[Jaettava € 2]]</f>
        <v>4804871</v>
      </c>
      <c r="AQ53" s="20">
        <f>Ohj.lask.[[#This Row],[Jaettava € 3]]+Ohj.lask.[[#This Row],[Jaettava € 4]]+Ohj.lask.[[#This Row],[Jaettava € 5]]</f>
        <v>2889189</v>
      </c>
      <c r="AR53" s="45">
        <f>Ohj.lask.[[#This Row],[Jaettava € 6]]+Ohj.lask.[[#This Row],[Päätös 7, €]]</f>
        <v>24125679</v>
      </c>
      <c r="AS53" s="45">
        <f>ROUND(IFERROR(VLOOKUP(Ohj.lask.[[#This Row],[Y-tunnus]],'3.1 Alv vahvistettu'!A:Y,COLUMN(C:C),FALSE),0),0)</f>
        <v>0</v>
      </c>
      <c r="AT53" s="26">
        <f>Ohj.lask.[[#This Row],[Perus-, suoritus- ja vaikuttavuusrahoitus yhteensä, €]]+Ohj.lask.[[#This Row],[Alv-korvaus, €]]</f>
        <v>24125679</v>
      </c>
    </row>
    <row r="54" spans="1:46" ht="12.75" x14ac:dyDescent="0.2">
      <c r="A54" s="147" t="s">
        <v>348</v>
      </c>
      <c r="B54" s="17" t="s">
        <v>880</v>
      </c>
      <c r="C54" s="17" t="s">
        <v>346</v>
      </c>
      <c r="D54" s="17" t="s">
        <v>423</v>
      </c>
      <c r="E54" s="17" t="s">
        <v>663</v>
      </c>
      <c r="F54" s="128">
        <v>43</v>
      </c>
      <c r="G54" s="135">
        <v>5</v>
      </c>
      <c r="H54" s="44">
        <f t="shared" si="2"/>
        <v>48</v>
      </c>
      <c r="I54" s="18">
        <f>IFERROR(VLOOKUP($A54,'2.1 Toteut. op.vuodet'!$A:$Q,COLUMN('2.1 Toteut. op.vuodet'!Q:Q),FALSE),0)</f>
        <v>1.5938119440914871</v>
      </c>
      <c r="J54" s="85">
        <f t="shared" si="3"/>
        <v>76.5</v>
      </c>
      <c r="K54" s="19">
        <f>IFERROR(Ohj.lask.[[#This Row],[Painotetut opiskelija-vuodet]]/Ohj.lask.[[#Totals],[Painotetut opiskelija-vuodet]],0)</f>
        <v>3.7950174645215472E-4</v>
      </c>
      <c r="L54" s="20">
        <f>ROUND(IFERROR('1.1 Jakotaulu'!L$10*Ohj.lask.[[#This Row],[%-osuus 1]],0),0)</f>
        <v>451491</v>
      </c>
      <c r="M54" s="349">
        <f>IFERROR(ROUND(VLOOKUP($A54,'2.2 Tutk. ja osien pain. pist.'!$A:$Q,COLUMN('2.2 Tutk. ja osien pain. pist.'!P:P),FALSE),1),0)</f>
        <v>8087.2</v>
      </c>
      <c r="N54" s="19">
        <f>IFERROR(Ohj.lask.[[#This Row],[Painotetut pisteet 2]]/Ohj.lask.[[#Totals],[Painotetut pisteet 2]],0)</f>
        <v>5.1680651304014961E-4</v>
      </c>
      <c r="O54" s="26">
        <f>ROUND(IFERROR('1.1 Jakotaulu'!K$11*Ohj.lask.[[#This Row],[%-osuus 2]],0),0)</f>
        <v>191362</v>
      </c>
      <c r="P54" s="350">
        <f>IFERROR(ROUND(VLOOKUP($A54,'2.3 Työll. ja jatko-opisk.'!$A:$K,COLUMN('2.3 Työll. ja jatko-opisk.'!I:I),FALSE),1),0)</f>
        <v>62.4</v>
      </c>
      <c r="Q54" s="19">
        <f>IFERROR(Ohj.lask.[[#This Row],[Painotetut pisteet 3]]/Ohj.lask.[[#Totals],[Painotetut pisteet 3]],0)</f>
        <v>3.2941136722610293E-4</v>
      </c>
      <c r="R54" s="20">
        <f>ROUND(IFERROR('1.1 Jakotaulu'!L$13*Ohj.lask.[[#This Row],[%-osuus 3]],0),0)</f>
        <v>45740</v>
      </c>
      <c r="S54" s="349">
        <f>IFERROR(ROUND(VLOOKUP($A54,'2.4 Aloittaneet palaute'!$A:$K,COLUMN('2.4 Aloittaneet palaute'!J:J),FALSE),1),0)</f>
        <v>892.2</v>
      </c>
      <c r="T54" s="23">
        <f>IFERROR(Ohj.lask.[[#This Row],[Painotetut pisteet 4]]/Ohj.lask.[[#Totals],[Painotetut pisteet 4]],0)</f>
        <v>7.1660532443699641E-4</v>
      </c>
      <c r="U54" s="26">
        <f>ROUND(IFERROR('1.1 Jakotaulu'!M$15*Ohj.lask.[[#This Row],[%-osuus 4]],0),0)</f>
        <v>8292</v>
      </c>
      <c r="V54" s="85">
        <f>IFERROR(ROUND(VLOOKUP($A54,'2.5 Päättäneet palaute'!$A:$AC,COLUMN('2.5 Päättäneet palaute'!AB:AB),FALSE),1),0)</f>
        <v>2149</v>
      </c>
      <c r="W54" s="23">
        <f>IFERROR(Ohj.lask.[[#This Row],[Painotetut pisteet 5]]/Ohj.lask.[[#Totals],[Painotetut pisteet 5]],0)</f>
        <v>3.2451966709990315E-4</v>
      </c>
      <c r="X54" s="20">
        <f>ROUND(IFERROR('1.1 Jakotaulu'!M$16*Ohj.lask.[[#This Row],[%-osuus 5]],0),0)</f>
        <v>11265</v>
      </c>
      <c r="Y54" s="22">
        <f>IFERROR(Ohj.lask.[[#This Row],[Jaettava € 6]]/Ohj.lask.[[#Totals],[Jaettava € 6]],"")</f>
        <v>4.0579104244825007E-4</v>
      </c>
      <c r="Z54" s="26">
        <f>IFERROR(Ohj.lask.[[#This Row],[Jaettava € 1]]+Ohj.lask.[[#This Row],[Jaettava € 2]]+Ohj.lask.[[#This Row],[Jaettava € 3]]+Ohj.lask.[[#This Row],[Jaettava € 4]]+Ohj.lask.[[#This Row],[Jaettava € 5]],"")</f>
        <v>708150</v>
      </c>
      <c r="AA54" s="20">
        <v>0</v>
      </c>
      <c r="AB54" s="20">
        <v>0</v>
      </c>
      <c r="AC54" s="21">
        <v>0</v>
      </c>
      <c r="AD54" s="20">
        <v>0</v>
      </c>
      <c r="AE54" s="21">
        <v>0</v>
      </c>
      <c r="AF54" s="20">
        <v>0</v>
      </c>
      <c r="AG54" s="21">
        <v>0</v>
      </c>
      <c r="AH54" s="20">
        <v>0</v>
      </c>
      <c r="AI54" s="21">
        <v>0</v>
      </c>
      <c r="AJ54" s="26">
        <v>0</v>
      </c>
      <c r="AK54" s="20">
        <v>0</v>
      </c>
      <c r="AL54" s="20">
        <v>0</v>
      </c>
      <c r="AM54" s="21">
        <v>0</v>
      </c>
      <c r="AN54" s="136">
        <v>0</v>
      </c>
      <c r="AO54" s="20">
        <f>Ohj.lask.[[#This Row],[Jaettava € 1]]+Ohj.lask.[[#This Row],[Päätös 7, €]]</f>
        <v>451491</v>
      </c>
      <c r="AP54" s="119">
        <f>Ohj.lask.[[#This Row],[Jaettava € 2]]</f>
        <v>191362</v>
      </c>
      <c r="AQ54" s="20">
        <f>Ohj.lask.[[#This Row],[Jaettava € 3]]+Ohj.lask.[[#This Row],[Jaettava € 4]]+Ohj.lask.[[#This Row],[Jaettava € 5]]</f>
        <v>65297</v>
      </c>
      <c r="AR54" s="45">
        <f>Ohj.lask.[[#This Row],[Jaettava € 6]]+Ohj.lask.[[#This Row],[Päätös 7, €]]</f>
        <v>708150</v>
      </c>
      <c r="AS54" s="45">
        <f>ROUND(IFERROR(VLOOKUP(Ohj.lask.[[#This Row],[Y-tunnus]],'3.1 Alv vahvistettu'!A:Y,COLUMN(C:C),FALSE),0),0)</f>
        <v>16010</v>
      </c>
      <c r="AT54" s="26">
        <f>Ohj.lask.[[#This Row],[Perus-, suoritus- ja vaikuttavuusrahoitus yhteensä, €]]+Ohj.lask.[[#This Row],[Alv-korvaus, €]]</f>
        <v>724160</v>
      </c>
    </row>
    <row r="55" spans="1:46" ht="12.75" x14ac:dyDescent="0.2">
      <c r="A55" s="147" t="s">
        <v>347</v>
      </c>
      <c r="B55" s="17" t="s">
        <v>66</v>
      </c>
      <c r="C55" s="17" t="s">
        <v>346</v>
      </c>
      <c r="D55" s="17" t="s">
        <v>422</v>
      </c>
      <c r="E55" s="17" t="s">
        <v>663</v>
      </c>
      <c r="F55" s="128">
        <v>2572</v>
      </c>
      <c r="G55" s="135">
        <v>161</v>
      </c>
      <c r="H55" s="44">
        <f t="shared" si="2"/>
        <v>2733</v>
      </c>
      <c r="I55" s="18">
        <f>IFERROR(VLOOKUP($A55,'2.1 Toteut. op.vuodet'!$A:$Q,COLUMN('2.1 Toteut. op.vuodet'!Q:Q),FALSE),0)</f>
        <v>1.1669756939625588</v>
      </c>
      <c r="J55" s="85">
        <f t="shared" si="3"/>
        <v>3189.3</v>
      </c>
      <c r="K55" s="19">
        <f>IFERROR(Ohj.lask.[[#This Row],[Painotetut opiskelija-vuodet]]/Ohj.lask.[[#Totals],[Painotetut opiskelija-vuodet]],0)</f>
        <v>1.5821502221697481E-2</v>
      </c>
      <c r="L55" s="20">
        <f>ROUND(IFERROR('1.1 Jakotaulu'!L$10*Ohj.lask.[[#This Row],[%-osuus 1]],0),0)</f>
        <v>18822754</v>
      </c>
      <c r="M55" s="349">
        <f>IFERROR(ROUND(VLOOKUP($A55,'2.2 Tutk. ja osien pain. pist.'!$A:$Q,COLUMN('2.2 Tutk. ja osien pain. pist.'!P:P),FALSE),1),0)</f>
        <v>250070.8</v>
      </c>
      <c r="N55" s="19">
        <f>IFERROR(Ohj.lask.[[#This Row],[Painotetut pisteet 2]]/Ohj.lask.[[#Totals],[Painotetut pisteet 2]],0)</f>
        <v>1.5980588851661967E-2</v>
      </c>
      <c r="O55" s="26">
        <f>ROUND(IFERROR('1.1 Jakotaulu'!K$11*Ohj.lask.[[#This Row],[%-osuus 2]],0),0)</f>
        <v>5917244</v>
      </c>
      <c r="P55" s="350">
        <f>IFERROR(ROUND(VLOOKUP($A55,'2.3 Työll. ja jatko-opisk.'!$A:$K,COLUMN('2.3 Työll. ja jatko-opisk.'!I:I),FALSE),1),0)</f>
        <v>3000.3</v>
      </c>
      <c r="Q55" s="19">
        <f>IFERROR(Ohj.lask.[[#This Row],[Painotetut pisteet 3]]/Ohj.lask.[[#Totals],[Painotetut pisteet 3]],0)</f>
        <v>1.5838668671289691E-2</v>
      </c>
      <c r="R55" s="20">
        <f>ROUND(IFERROR('1.1 Jakotaulu'!L$13*Ohj.lask.[[#This Row],[%-osuus 3]],0),0)</f>
        <v>2199261</v>
      </c>
      <c r="S55" s="349">
        <f>IFERROR(ROUND(VLOOKUP($A55,'2.4 Aloittaneet palaute'!$A:$K,COLUMN('2.4 Aloittaneet palaute'!J:J),FALSE),1),0)</f>
        <v>22859.5</v>
      </c>
      <c r="T55" s="23">
        <f>IFERROR(Ohj.lask.[[#This Row],[Painotetut pisteet 4]]/Ohj.lask.[[#Totals],[Painotetut pisteet 4]],0)</f>
        <v>1.8360501472727549E-2</v>
      </c>
      <c r="U55" s="26">
        <f>ROUND(IFERROR('1.1 Jakotaulu'!M$15*Ohj.lask.[[#This Row],[%-osuus 4]],0),0)</f>
        <v>212452</v>
      </c>
      <c r="V55" s="85">
        <f>IFERROR(ROUND(VLOOKUP($A55,'2.5 Päättäneet palaute'!$A:$AC,COLUMN('2.5 Päättäneet palaute'!AB:AB),FALSE),1),0)</f>
        <v>121341.5</v>
      </c>
      <c r="W55" s="23">
        <f>IFERROR(Ohj.lask.[[#This Row],[Painotetut pisteet 5]]/Ohj.lask.[[#Totals],[Painotetut pisteet 5]],0)</f>
        <v>1.8323733450629549E-2</v>
      </c>
      <c r="X55" s="20">
        <f>ROUND(IFERROR('1.1 Jakotaulu'!M$16*Ohj.lask.[[#This Row],[%-osuus 5]],0),0)</f>
        <v>636080</v>
      </c>
      <c r="Y55" s="22">
        <f>IFERROR(Ohj.lask.[[#This Row],[Jaettava € 6]]/Ohj.lask.[[#Totals],[Jaettava € 6]],"")</f>
        <v>1.5923231910222553E-2</v>
      </c>
      <c r="Z55" s="26">
        <f>IFERROR(Ohj.lask.[[#This Row],[Jaettava € 1]]+Ohj.lask.[[#This Row],[Jaettava € 2]]+Ohj.lask.[[#This Row],[Jaettava € 3]]+Ohj.lask.[[#This Row],[Jaettava € 4]]+Ohj.lask.[[#This Row],[Jaettava € 5]],"")</f>
        <v>27787791</v>
      </c>
      <c r="AA55" s="20">
        <v>0</v>
      </c>
      <c r="AB55" s="20">
        <v>0</v>
      </c>
      <c r="AC55" s="21">
        <v>1500000</v>
      </c>
      <c r="AD55" s="20">
        <v>0</v>
      </c>
      <c r="AE55" s="21">
        <v>500000</v>
      </c>
      <c r="AF55" s="20">
        <v>0</v>
      </c>
      <c r="AG55" s="21">
        <v>0</v>
      </c>
      <c r="AH55" s="20">
        <v>0</v>
      </c>
      <c r="AI55" s="21">
        <v>100000</v>
      </c>
      <c r="AJ55" s="26">
        <v>0</v>
      </c>
      <c r="AK55" s="20">
        <v>20000</v>
      </c>
      <c r="AL55" s="20">
        <v>0</v>
      </c>
      <c r="AM55" s="21">
        <v>2120000</v>
      </c>
      <c r="AN55" s="136">
        <v>0</v>
      </c>
      <c r="AO55" s="20">
        <f>Ohj.lask.[[#This Row],[Jaettava € 1]]+Ohj.lask.[[#This Row],[Päätös 7, €]]</f>
        <v>18822754</v>
      </c>
      <c r="AP55" s="119">
        <f>Ohj.lask.[[#This Row],[Jaettava € 2]]</f>
        <v>5917244</v>
      </c>
      <c r="AQ55" s="20">
        <f>Ohj.lask.[[#This Row],[Jaettava € 3]]+Ohj.lask.[[#This Row],[Jaettava € 4]]+Ohj.lask.[[#This Row],[Jaettava € 5]]</f>
        <v>3047793</v>
      </c>
      <c r="AR55" s="45">
        <f>Ohj.lask.[[#This Row],[Jaettava € 6]]+Ohj.lask.[[#This Row],[Päätös 7, €]]</f>
        <v>27787791</v>
      </c>
      <c r="AS55" s="45">
        <f>ROUND(IFERROR(VLOOKUP(Ohj.lask.[[#This Row],[Y-tunnus]],'3.1 Alv vahvistettu'!A:Y,COLUMN(C:C),FALSE),0),0)</f>
        <v>0</v>
      </c>
      <c r="AT55" s="26">
        <f>Ohj.lask.[[#This Row],[Perus-, suoritus- ja vaikuttavuusrahoitus yhteensä, €]]+Ohj.lask.[[#This Row],[Alv-korvaus, €]]</f>
        <v>27787791</v>
      </c>
    </row>
    <row r="56" spans="1:46" ht="12.75" x14ac:dyDescent="0.2">
      <c r="A56" s="147" t="s">
        <v>341</v>
      </c>
      <c r="B56" s="17" t="s">
        <v>67</v>
      </c>
      <c r="C56" s="17" t="s">
        <v>238</v>
      </c>
      <c r="D56" s="17" t="s">
        <v>422</v>
      </c>
      <c r="E56" s="17" t="s">
        <v>663</v>
      </c>
      <c r="F56" s="128">
        <v>5059</v>
      </c>
      <c r="G56" s="135">
        <v>741</v>
      </c>
      <c r="H56" s="44">
        <f t="shared" si="2"/>
        <v>5800</v>
      </c>
      <c r="I56" s="18">
        <f>IFERROR(VLOOKUP($A56,'2.1 Toteut. op.vuodet'!$A:$Q,COLUMN('2.1 Toteut. op.vuodet'!Q:Q),FALSE),0)</f>
        <v>1.0310418065536644</v>
      </c>
      <c r="J56" s="85">
        <f t="shared" si="3"/>
        <v>5980</v>
      </c>
      <c r="K56" s="19">
        <f>IFERROR(Ohj.lask.[[#This Row],[Painotetut opiskelija-vuodet]]/Ohj.lask.[[#Totals],[Painotetut opiskelija-vuodet]],0)</f>
        <v>2.9665626716129219E-2</v>
      </c>
      <c r="L56" s="20">
        <f>ROUND(IFERROR('1.1 Jakotaulu'!L$10*Ohj.lask.[[#This Row],[%-osuus 1]],0),0)</f>
        <v>35293033</v>
      </c>
      <c r="M56" s="349">
        <f>IFERROR(ROUND(VLOOKUP($A56,'2.2 Tutk. ja osien pain. pist.'!$A:$Q,COLUMN('2.2 Tutk. ja osien pain. pist.'!P:P),FALSE),1),0)</f>
        <v>495621.1</v>
      </c>
      <c r="N56" s="19">
        <f>IFERROR(Ohj.lask.[[#This Row],[Painotetut pisteet 2]]/Ohj.lask.[[#Totals],[Painotetut pisteet 2]],0)</f>
        <v>3.1672298506296777E-2</v>
      </c>
      <c r="O56" s="26">
        <f>ROUND(IFERROR('1.1 Jakotaulu'!K$11*Ohj.lask.[[#This Row],[%-osuus 2]],0),0)</f>
        <v>11727524</v>
      </c>
      <c r="P56" s="350">
        <f>IFERROR(ROUND(VLOOKUP($A56,'2.3 Työll. ja jatko-opisk.'!$A:$K,COLUMN('2.3 Työll. ja jatko-opisk.'!I:I),FALSE),1),0)</f>
        <v>5304.7</v>
      </c>
      <c r="Q56" s="19">
        <f>IFERROR(Ohj.lask.[[#This Row],[Painotetut pisteet 3]]/Ohj.lask.[[#Totals],[Painotetut pisteet 3]],0)</f>
        <v>2.8003661534043399E-2</v>
      </c>
      <c r="R56" s="20">
        <f>ROUND(IFERROR('1.1 Jakotaulu'!L$13*Ohj.lask.[[#This Row],[%-osuus 3]],0),0)</f>
        <v>3888417</v>
      </c>
      <c r="S56" s="349">
        <f>IFERROR(ROUND(VLOOKUP($A56,'2.4 Aloittaneet palaute'!$A:$K,COLUMN('2.4 Aloittaneet palaute'!J:J),FALSE),1),0)</f>
        <v>8785.7000000000007</v>
      </c>
      <c r="T56" s="23">
        <f>IFERROR(Ohj.lask.[[#This Row],[Painotetut pisteet 4]]/Ohj.lask.[[#Totals],[Painotetut pisteet 4]],0)</f>
        <v>7.0565785686013448E-3</v>
      </c>
      <c r="U56" s="26">
        <f>ROUND(IFERROR('1.1 Jakotaulu'!M$15*Ohj.lask.[[#This Row],[%-osuus 4]],0),0)</f>
        <v>81653</v>
      </c>
      <c r="V56" s="85">
        <f>IFERROR(ROUND(VLOOKUP($A56,'2.5 Päättäneet palaute'!$A:$AC,COLUMN('2.5 Päättäneet palaute'!AB:AB),FALSE),1),0)</f>
        <v>151876</v>
      </c>
      <c r="W56" s="23">
        <f>IFERROR(Ohj.lask.[[#This Row],[Painotetut pisteet 5]]/Ohj.lask.[[#Totals],[Painotetut pisteet 5]],0)</f>
        <v>2.2934736603287525E-2</v>
      </c>
      <c r="X56" s="20">
        <f>ROUND(IFERROR('1.1 Jakotaulu'!M$16*Ohj.lask.[[#This Row],[%-osuus 5]],0),0)</f>
        <v>796144</v>
      </c>
      <c r="Y56" s="22">
        <f>IFERROR(Ohj.lask.[[#This Row],[Jaettava € 6]]/Ohj.lask.[[#Totals],[Jaettava € 6]],"")</f>
        <v>2.9675362266636737E-2</v>
      </c>
      <c r="Z56" s="26">
        <f>IFERROR(Ohj.lask.[[#This Row],[Jaettava € 1]]+Ohj.lask.[[#This Row],[Jaettava € 2]]+Ohj.lask.[[#This Row],[Jaettava € 3]]+Ohj.lask.[[#This Row],[Jaettava € 4]]+Ohj.lask.[[#This Row],[Jaettava € 5]],"")</f>
        <v>51786771</v>
      </c>
      <c r="AA56" s="20">
        <v>0</v>
      </c>
      <c r="AB56" s="20">
        <v>0</v>
      </c>
      <c r="AC56" s="21">
        <v>0</v>
      </c>
      <c r="AD56" s="20">
        <v>0</v>
      </c>
      <c r="AE56" s="21">
        <v>0</v>
      </c>
      <c r="AF56" s="20">
        <v>0</v>
      </c>
      <c r="AG56" s="21">
        <v>0</v>
      </c>
      <c r="AH56" s="20">
        <v>0</v>
      </c>
      <c r="AI56" s="21">
        <v>45000</v>
      </c>
      <c r="AJ56" s="26">
        <v>45000</v>
      </c>
      <c r="AK56" s="20">
        <v>0</v>
      </c>
      <c r="AL56" s="20">
        <v>0</v>
      </c>
      <c r="AM56" s="21">
        <v>45000</v>
      </c>
      <c r="AN56" s="136">
        <v>45000</v>
      </c>
      <c r="AO56" s="20">
        <f>Ohj.lask.[[#This Row],[Jaettava € 1]]+Ohj.lask.[[#This Row],[Päätös 7, €]]</f>
        <v>35338033</v>
      </c>
      <c r="AP56" s="119">
        <f>Ohj.lask.[[#This Row],[Jaettava € 2]]</f>
        <v>11727524</v>
      </c>
      <c r="AQ56" s="20">
        <f>Ohj.lask.[[#This Row],[Jaettava € 3]]+Ohj.lask.[[#This Row],[Jaettava € 4]]+Ohj.lask.[[#This Row],[Jaettava € 5]]</f>
        <v>4766214</v>
      </c>
      <c r="AR56" s="45">
        <f>Ohj.lask.[[#This Row],[Jaettava € 6]]+Ohj.lask.[[#This Row],[Päätös 7, €]]</f>
        <v>51831771</v>
      </c>
      <c r="AS56" s="45">
        <f>ROUND(IFERROR(VLOOKUP(Ohj.lask.[[#This Row],[Y-tunnus]],'3.1 Alv vahvistettu'!A:Y,COLUMN(C:C),FALSE),0),0)</f>
        <v>0</v>
      </c>
      <c r="AT56" s="26">
        <f>Ohj.lask.[[#This Row],[Perus-, suoritus- ja vaikuttavuusrahoitus yhteensä, €]]+Ohj.lask.[[#This Row],[Alv-korvaus, €]]</f>
        <v>51831771</v>
      </c>
    </row>
    <row r="57" spans="1:46" ht="12.75" x14ac:dyDescent="0.2">
      <c r="A57" s="147" t="s">
        <v>361</v>
      </c>
      <c r="B57" s="17" t="s">
        <v>68</v>
      </c>
      <c r="C57" s="17" t="s">
        <v>238</v>
      </c>
      <c r="D57" s="17" t="s">
        <v>423</v>
      </c>
      <c r="E57" s="17" t="s">
        <v>663</v>
      </c>
      <c r="F57" s="128">
        <v>332</v>
      </c>
      <c r="G57" s="135">
        <v>13</v>
      </c>
      <c r="H57" s="44">
        <f t="shared" si="2"/>
        <v>345</v>
      </c>
      <c r="I57" s="18">
        <f>IFERROR(VLOOKUP($A57,'2.1 Toteut. op.vuodet'!$A:$Q,COLUMN('2.1 Toteut. op.vuodet'!Q:Q),FALSE),0)</f>
        <v>0.77516085463907225</v>
      </c>
      <c r="J57" s="85">
        <f t="shared" si="3"/>
        <v>267.39999999999998</v>
      </c>
      <c r="K57" s="19">
        <f>IFERROR(Ohj.lask.[[#This Row],[Painotetut opiskelija-vuodet]]/Ohj.lask.[[#Totals],[Painotetut opiskelija-vuodet]],0)</f>
        <v>1.3265198300824335E-3</v>
      </c>
      <c r="L57" s="20">
        <f>ROUND(IFERROR('1.1 Jakotaulu'!L$10*Ohj.lask.[[#This Row],[%-osuus 1]],0),0)</f>
        <v>1578153</v>
      </c>
      <c r="M57" s="349">
        <f>IFERROR(ROUND(VLOOKUP($A57,'2.2 Tutk. ja osien pain. pist.'!$A:$Q,COLUMN('2.2 Tutk. ja osien pain. pist.'!P:P),FALSE),1),0)</f>
        <v>7045</v>
      </c>
      <c r="N57" s="19">
        <f>IFERROR(Ohj.lask.[[#This Row],[Painotetut pisteet 2]]/Ohj.lask.[[#Totals],[Painotetut pisteet 2]],0)</f>
        <v>4.5020549564346802E-4</v>
      </c>
      <c r="O57" s="26">
        <f>ROUND(IFERROR('1.1 Jakotaulu'!K$11*Ohj.lask.[[#This Row],[%-osuus 2]],0),0)</f>
        <v>166701</v>
      </c>
      <c r="P57" s="350">
        <f>IFERROR(ROUND(VLOOKUP($A57,'2.3 Työll. ja jatko-opisk.'!$A:$K,COLUMN('2.3 Työll. ja jatko-opisk.'!I:I),FALSE),1),0)</f>
        <v>116.8</v>
      </c>
      <c r="Q57" s="19">
        <f>IFERROR(Ohj.lask.[[#This Row],[Painotetut pisteet 3]]/Ohj.lask.[[#Totals],[Painotetut pisteet 3]],0)</f>
        <v>6.1659050788475669E-4</v>
      </c>
      <c r="R57" s="20">
        <f>ROUND(IFERROR('1.1 Jakotaulu'!L$13*Ohj.lask.[[#This Row],[%-osuus 3]],0),0)</f>
        <v>85616</v>
      </c>
      <c r="S57" s="349">
        <f>IFERROR(ROUND(VLOOKUP($A57,'2.4 Aloittaneet palaute'!$A:$K,COLUMN('2.4 Aloittaneet palaute'!J:J),FALSE),1),0)</f>
        <v>1230</v>
      </c>
      <c r="T57" s="23">
        <f>IFERROR(Ohj.lask.[[#This Row],[Painotetut pisteet 4]]/Ohj.lask.[[#Totals],[Painotetut pisteet 4]],0)</f>
        <v>9.8792260598240924E-4</v>
      </c>
      <c r="U57" s="26">
        <f>ROUND(IFERROR('1.1 Jakotaulu'!M$15*Ohj.lask.[[#This Row],[%-osuus 4]],0),0)</f>
        <v>11431</v>
      </c>
      <c r="V57" s="85">
        <f>IFERROR(ROUND(VLOOKUP($A57,'2.5 Päättäneet palaute'!$A:$AC,COLUMN('2.5 Päättäneet palaute'!AB:AB),FALSE),1),0)</f>
        <v>5922.9</v>
      </c>
      <c r="W57" s="23">
        <f>IFERROR(Ohj.lask.[[#This Row],[Painotetut pisteet 5]]/Ohj.lask.[[#Totals],[Painotetut pisteet 5]],0)</f>
        <v>8.9441486098930487E-4</v>
      </c>
      <c r="X57" s="20">
        <f>ROUND(IFERROR('1.1 Jakotaulu'!M$16*Ohj.lask.[[#This Row],[%-osuus 5]],0),0)</f>
        <v>31048</v>
      </c>
      <c r="Y57" s="22">
        <f>IFERROR(Ohj.lask.[[#This Row],[Jaettava € 6]]/Ohj.lask.[[#Totals],[Jaettava € 6]],"")</f>
        <v>1.0732555633162571E-3</v>
      </c>
      <c r="Z57" s="26">
        <f>IFERROR(Ohj.lask.[[#This Row],[Jaettava € 1]]+Ohj.lask.[[#This Row],[Jaettava € 2]]+Ohj.lask.[[#This Row],[Jaettava € 3]]+Ohj.lask.[[#This Row],[Jaettava € 4]]+Ohj.lask.[[#This Row],[Jaettava € 5]],"")</f>
        <v>1872949</v>
      </c>
      <c r="AA57" s="20">
        <v>0</v>
      </c>
      <c r="AB57" s="20">
        <v>0</v>
      </c>
      <c r="AC57" s="21">
        <v>0</v>
      </c>
      <c r="AD57" s="20">
        <v>0</v>
      </c>
      <c r="AE57" s="21">
        <v>350000</v>
      </c>
      <c r="AF57" s="20">
        <v>210000</v>
      </c>
      <c r="AG57" s="21">
        <v>0</v>
      </c>
      <c r="AH57" s="20">
        <v>0</v>
      </c>
      <c r="AI57" s="21">
        <v>0</v>
      </c>
      <c r="AJ57" s="26">
        <v>0</v>
      </c>
      <c r="AK57" s="20">
        <v>0</v>
      </c>
      <c r="AL57" s="20">
        <v>0</v>
      </c>
      <c r="AM57" s="21">
        <v>350000</v>
      </c>
      <c r="AN57" s="136">
        <v>210000</v>
      </c>
      <c r="AO57" s="20">
        <f>Ohj.lask.[[#This Row],[Jaettava € 1]]+Ohj.lask.[[#This Row],[Päätös 7, €]]</f>
        <v>1788153</v>
      </c>
      <c r="AP57" s="119">
        <f>Ohj.lask.[[#This Row],[Jaettava € 2]]</f>
        <v>166701</v>
      </c>
      <c r="AQ57" s="20">
        <f>Ohj.lask.[[#This Row],[Jaettava € 3]]+Ohj.lask.[[#This Row],[Jaettava € 4]]+Ohj.lask.[[#This Row],[Jaettava € 5]]</f>
        <v>128095</v>
      </c>
      <c r="AR57" s="45">
        <f>Ohj.lask.[[#This Row],[Jaettava € 6]]+Ohj.lask.[[#This Row],[Päätös 7, €]]</f>
        <v>2082949</v>
      </c>
      <c r="AS57" s="45">
        <f>ROUND(IFERROR(VLOOKUP(Ohj.lask.[[#This Row],[Y-tunnus]],'3.1 Alv vahvistettu'!A:Y,COLUMN(C:C),FALSE),0),0)</f>
        <v>293759</v>
      </c>
      <c r="AT57" s="26">
        <f>Ohj.lask.[[#This Row],[Perus-, suoritus- ja vaikuttavuusrahoitus yhteensä, €]]+Ohj.lask.[[#This Row],[Alv-korvaus, €]]</f>
        <v>2376708</v>
      </c>
    </row>
    <row r="58" spans="1:46" ht="12.75" x14ac:dyDescent="0.2">
      <c r="A58" s="147" t="s">
        <v>360</v>
      </c>
      <c r="B58" s="17" t="s">
        <v>69</v>
      </c>
      <c r="C58" s="17" t="s">
        <v>334</v>
      </c>
      <c r="D58" s="17" t="s">
        <v>423</v>
      </c>
      <c r="E58" s="17" t="s">
        <v>663</v>
      </c>
      <c r="F58" s="128">
        <v>582</v>
      </c>
      <c r="G58" s="135">
        <v>70</v>
      </c>
      <c r="H58" s="44">
        <f t="shared" si="2"/>
        <v>652</v>
      </c>
      <c r="I58" s="18">
        <f>IFERROR(VLOOKUP($A58,'2.1 Toteut. op.vuodet'!$A:$Q,COLUMN('2.1 Toteut. op.vuodet'!Q:Q),FALSE),0)</f>
        <v>4.8018456385501338</v>
      </c>
      <c r="J58" s="85">
        <f t="shared" si="3"/>
        <v>3130.8</v>
      </c>
      <c r="K58" s="19">
        <f>IFERROR(Ohj.lask.[[#This Row],[Painotetut opiskelija-vuodet]]/Ohj.lask.[[#Totals],[Painotetut opiskelija-vuodet]],0)</f>
        <v>1.5531295003822302E-2</v>
      </c>
      <c r="L58" s="20">
        <f>ROUND(IFERROR('1.1 Jakotaulu'!L$10*Ohj.lask.[[#This Row],[%-osuus 1]],0),0)</f>
        <v>18477496</v>
      </c>
      <c r="M58" s="349">
        <f>IFERROR(ROUND(VLOOKUP($A58,'2.2 Tutk. ja osien pain. pist.'!$A:$Q,COLUMN('2.2 Tutk. ja osien pain. pist.'!P:P),FALSE),1),0)</f>
        <v>130354.4</v>
      </c>
      <c r="N58" s="19">
        <f>IFERROR(Ohj.lask.[[#This Row],[Painotetut pisteet 2]]/Ohj.lask.[[#Totals],[Painotetut pisteet 2]],0)</f>
        <v>8.3302011726482435E-3</v>
      </c>
      <c r="O58" s="26">
        <f>ROUND(IFERROR('1.1 Jakotaulu'!K$11*Ohj.lask.[[#This Row],[%-osuus 2]],0),0)</f>
        <v>3084482</v>
      </c>
      <c r="P58" s="350">
        <f>IFERROR(ROUND(VLOOKUP($A58,'2.3 Työll. ja jatko-opisk.'!$A:$K,COLUMN('2.3 Työll. ja jatko-opisk.'!I:I),FALSE),1),0)</f>
        <v>298.2</v>
      </c>
      <c r="Q58" s="19">
        <f>IFERROR(Ohj.lask.[[#This Row],[Painotetut pisteet 3]]/Ohj.lask.[[#Totals],[Painotetut pisteet 3]],0)</f>
        <v>1.5742062453016649E-3</v>
      </c>
      <c r="R58" s="20">
        <f>ROUND(IFERROR('1.1 Jakotaulu'!L$13*Ohj.lask.[[#This Row],[%-osuus 3]],0),0)</f>
        <v>218585</v>
      </c>
      <c r="S58" s="349">
        <f>IFERROR(ROUND(VLOOKUP($A58,'2.4 Aloittaneet palaute'!$A:$K,COLUMN('2.4 Aloittaneet palaute'!J:J),FALSE),1),0)</f>
        <v>6096.2</v>
      </c>
      <c r="T58" s="23">
        <f>IFERROR(Ohj.lask.[[#This Row],[Painotetut pisteet 4]]/Ohj.lask.[[#Totals],[Painotetut pisteet 4]],0)</f>
        <v>4.896401455764198E-3</v>
      </c>
      <c r="U58" s="26">
        <f>ROUND(IFERROR('1.1 Jakotaulu'!M$15*Ohj.lask.[[#This Row],[%-osuus 4]],0),0)</f>
        <v>56657</v>
      </c>
      <c r="V58" s="85">
        <f>IFERROR(ROUND(VLOOKUP($A58,'2.5 Päättäneet palaute'!$A:$AC,COLUMN('2.5 Päättäneet palaute'!AB:AB),FALSE),1),0)</f>
        <v>15161</v>
      </c>
      <c r="W58" s="23">
        <f>IFERROR(Ohj.lask.[[#This Row],[Painotetut pisteet 5]]/Ohj.lask.[[#Totals],[Painotetut pisteet 5]],0)</f>
        <v>2.2894568045144868E-3</v>
      </c>
      <c r="X58" s="20">
        <f>ROUND(IFERROR('1.1 Jakotaulu'!M$16*Ohj.lask.[[#This Row],[%-osuus 5]],0),0)</f>
        <v>79475</v>
      </c>
      <c r="Y58" s="22">
        <f>IFERROR(Ohj.lask.[[#This Row],[Jaettava € 6]]/Ohj.lask.[[#Totals],[Jaettava € 6]],"")</f>
        <v>1.2558919029965896E-2</v>
      </c>
      <c r="Z58" s="26">
        <f>IFERROR(Ohj.lask.[[#This Row],[Jaettava € 1]]+Ohj.lask.[[#This Row],[Jaettava € 2]]+Ohj.lask.[[#This Row],[Jaettava € 3]]+Ohj.lask.[[#This Row],[Jaettava € 4]]+Ohj.lask.[[#This Row],[Jaettava € 5]],"")</f>
        <v>21916695</v>
      </c>
      <c r="AA58" s="20">
        <v>0</v>
      </c>
      <c r="AB58" s="20">
        <v>0</v>
      </c>
      <c r="AC58" s="21">
        <v>0</v>
      </c>
      <c r="AD58" s="20">
        <v>0</v>
      </c>
      <c r="AE58" s="21">
        <v>0</v>
      </c>
      <c r="AF58" s="20">
        <v>0</v>
      </c>
      <c r="AG58" s="21">
        <v>0</v>
      </c>
      <c r="AH58" s="20">
        <v>0</v>
      </c>
      <c r="AI58" s="21">
        <v>60000</v>
      </c>
      <c r="AJ58" s="26">
        <v>0</v>
      </c>
      <c r="AK58" s="20">
        <v>0</v>
      </c>
      <c r="AL58" s="20">
        <v>0</v>
      </c>
      <c r="AM58" s="21">
        <v>60000</v>
      </c>
      <c r="AN58" s="136">
        <v>0</v>
      </c>
      <c r="AO58" s="20">
        <f>Ohj.lask.[[#This Row],[Jaettava € 1]]+Ohj.lask.[[#This Row],[Päätös 7, €]]</f>
        <v>18477496</v>
      </c>
      <c r="AP58" s="119">
        <f>Ohj.lask.[[#This Row],[Jaettava € 2]]</f>
        <v>3084482</v>
      </c>
      <c r="AQ58" s="20">
        <f>Ohj.lask.[[#This Row],[Jaettava € 3]]+Ohj.lask.[[#This Row],[Jaettava € 4]]+Ohj.lask.[[#This Row],[Jaettava € 5]]</f>
        <v>354717</v>
      </c>
      <c r="AR58" s="45">
        <f>Ohj.lask.[[#This Row],[Jaettava € 6]]+Ohj.lask.[[#This Row],[Päätös 7, €]]</f>
        <v>21916695</v>
      </c>
      <c r="AS58" s="45">
        <f>ROUND(IFERROR(VLOOKUP(Ohj.lask.[[#This Row],[Y-tunnus]],'3.1 Alv vahvistettu'!A:Y,COLUMN(C:C),FALSE),0),0)</f>
        <v>645159</v>
      </c>
      <c r="AT58" s="26">
        <f>Ohj.lask.[[#This Row],[Perus-, suoritus- ja vaikuttavuusrahoitus yhteensä, €]]+Ohj.lask.[[#This Row],[Alv-korvaus, €]]</f>
        <v>22561854</v>
      </c>
    </row>
    <row r="59" spans="1:46" ht="12.75" x14ac:dyDescent="0.2">
      <c r="A59" s="147" t="s">
        <v>359</v>
      </c>
      <c r="B59" s="17" t="s">
        <v>70</v>
      </c>
      <c r="C59" s="113" t="s">
        <v>238</v>
      </c>
      <c r="D59" s="113" t="s">
        <v>423</v>
      </c>
      <c r="E59" s="113" t="s">
        <v>663</v>
      </c>
      <c r="F59" s="127">
        <v>1390</v>
      </c>
      <c r="G59" s="135">
        <v>185</v>
      </c>
      <c r="H59" s="44">
        <f t="shared" si="2"/>
        <v>1575</v>
      </c>
      <c r="I59" s="18">
        <f>IFERROR(VLOOKUP($A59,'2.1 Toteut. op.vuodet'!$A:$Q,COLUMN('2.1 Toteut. op.vuodet'!Q:Q),FALSE),0)</f>
        <v>1.0232522086272446</v>
      </c>
      <c r="J59" s="85">
        <f t="shared" si="3"/>
        <v>1611.6</v>
      </c>
      <c r="K59" s="19">
        <f>IFERROR(Ohj.lask.[[#This Row],[Painotetut opiskelija-vuodet]]/Ohj.lask.[[#Totals],[Painotetut opiskelija-vuodet]],0)</f>
        <v>7.9948367919253933E-3</v>
      </c>
      <c r="L59" s="20">
        <f>ROUND(IFERROR('1.1 Jakotaulu'!L$10*Ohj.lask.[[#This Row],[%-osuus 1]],0),0)</f>
        <v>9511413</v>
      </c>
      <c r="M59" s="349">
        <f>IFERROR(ROUND(VLOOKUP($A59,'2.2 Tutk. ja osien pain. pist.'!$A:$Q,COLUMN('2.2 Tutk. ja osien pain. pist.'!P:P),FALSE),1),0)</f>
        <v>116957.3</v>
      </c>
      <c r="N59" s="19">
        <f>IFERROR(Ohj.lask.[[#This Row],[Painotetut pisteet 2]]/Ohj.lask.[[#Totals],[Painotetut pisteet 2]],0)</f>
        <v>7.474069441536094E-3</v>
      </c>
      <c r="O59" s="26">
        <f>ROUND(IFERROR('1.1 Jakotaulu'!K$11*Ohj.lask.[[#This Row],[%-osuus 2]],0),0)</f>
        <v>2767476</v>
      </c>
      <c r="P59" s="350">
        <f>IFERROR(ROUND(VLOOKUP($A59,'2.3 Työll. ja jatko-opisk.'!$A:$K,COLUMN('2.3 Työll. ja jatko-opisk.'!I:I),FALSE),1),0)</f>
        <v>1648.4</v>
      </c>
      <c r="Q59" s="23">
        <f>IFERROR(Ohj.lask.[[#This Row],[Painotetut pisteet 3]]/Ohj.lask.[[#Totals],[Painotetut pisteet 3]],0)</f>
        <v>8.7019502842228865E-3</v>
      </c>
      <c r="R59" s="20">
        <f>ROUND(IFERROR('1.1 Jakotaulu'!L$13*Ohj.lask.[[#This Row],[%-osuus 3]],0),0)</f>
        <v>1208300</v>
      </c>
      <c r="S59" s="349">
        <f>IFERROR(ROUND(VLOOKUP($A59,'2.4 Aloittaneet palaute'!$A:$K,COLUMN('2.4 Aloittaneet palaute'!J:J),FALSE),1),0)</f>
        <v>9783.2000000000007</v>
      </c>
      <c r="T59" s="23">
        <f>IFERROR(Ohj.lask.[[#This Row],[Painotetut pisteet 4]]/Ohj.lask.[[#Totals],[Painotetut pisteet 4]],0)</f>
        <v>7.8577597063797626E-3</v>
      </c>
      <c r="U59" s="26">
        <f>ROUND(IFERROR('1.1 Jakotaulu'!M$15*Ohj.lask.[[#This Row],[%-osuus 4]],0),0)</f>
        <v>90923</v>
      </c>
      <c r="V59" s="85">
        <f>IFERROR(ROUND(VLOOKUP($A59,'2.5 Päättäneet palaute'!$A:$AC,COLUMN('2.5 Päättäneet palaute'!AB:AB),FALSE),1),0)</f>
        <v>58445.3</v>
      </c>
      <c r="W59" s="23">
        <f>IFERROR(Ohj.lask.[[#This Row],[Painotetut pisteet 5]]/Ohj.lask.[[#Totals],[Painotetut pisteet 5]],0)</f>
        <v>8.8258023729892842E-3</v>
      </c>
      <c r="X59" s="20">
        <f>ROUND(IFERROR('1.1 Jakotaulu'!M$16*Ohj.lask.[[#This Row],[%-osuus 5]],0),0)</f>
        <v>306374</v>
      </c>
      <c r="Y59" s="22">
        <f>IFERROR(Ohj.lask.[[#This Row],[Jaettava € 6]]/Ohj.lask.[[#Totals],[Jaettava € 6]],"")</f>
        <v>7.956224031346654E-3</v>
      </c>
      <c r="Z59" s="26">
        <f>IFERROR(Ohj.lask.[[#This Row],[Jaettava € 1]]+Ohj.lask.[[#This Row],[Jaettava € 2]]+Ohj.lask.[[#This Row],[Jaettava € 3]]+Ohj.lask.[[#This Row],[Jaettava € 4]]+Ohj.lask.[[#This Row],[Jaettava € 5]],"")</f>
        <v>13884486</v>
      </c>
      <c r="AA59" s="20">
        <v>0</v>
      </c>
      <c r="AB59" s="20">
        <v>0</v>
      </c>
      <c r="AC59" s="21">
        <v>0</v>
      </c>
      <c r="AD59" s="20">
        <v>0</v>
      </c>
      <c r="AE59" s="21">
        <v>0</v>
      </c>
      <c r="AF59" s="20">
        <v>0</v>
      </c>
      <c r="AG59" s="21">
        <v>0</v>
      </c>
      <c r="AH59" s="20">
        <v>0</v>
      </c>
      <c r="AI59" s="21">
        <v>20000</v>
      </c>
      <c r="AJ59" s="26">
        <v>0</v>
      </c>
      <c r="AK59" s="20">
        <v>0</v>
      </c>
      <c r="AL59" s="20">
        <v>0</v>
      </c>
      <c r="AM59" s="21">
        <v>20000</v>
      </c>
      <c r="AN59" s="136">
        <v>0</v>
      </c>
      <c r="AO59" s="20">
        <f>Ohj.lask.[[#This Row],[Jaettava € 1]]+Ohj.lask.[[#This Row],[Päätös 7, €]]</f>
        <v>9511413</v>
      </c>
      <c r="AP59" s="119">
        <f>Ohj.lask.[[#This Row],[Jaettava € 2]]</f>
        <v>2767476</v>
      </c>
      <c r="AQ59" s="20">
        <f>Ohj.lask.[[#This Row],[Jaettava € 3]]+Ohj.lask.[[#This Row],[Jaettava € 4]]+Ohj.lask.[[#This Row],[Jaettava € 5]]</f>
        <v>1605597</v>
      </c>
      <c r="AR59" s="45">
        <f>Ohj.lask.[[#This Row],[Jaettava € 6]]+Ohj.lask.[[#This Row],[Päätös 7, €]]</f>
        <v>13884486</v>
      </c>
      <c r="AS59" s="45">
        <f>ROUND(IFERROR(VLOOKUP(Ohj.lask.[[#This Row],[Y-tunnus]],'3.1 Alv vahvistettu'!A:Y,COLUMN(C:C),FALSE),0),0)</f>
        <v>552451</v>
      </c>
      <c r="AT59" s="26">
        <f>Ohj.lask.[[#This Row],[Perus-, suoritus- ja vaikuttavuusrahoitus yhteensä, €]]+Ohj.lask.[[#This Row],[Alv-korvaus, €]]</f>
        <v>14436937</v>
      </c>
    </row>
    <row r="60" spans="1:46" ht="12.75" x14ac:dyDescent="0.2">
      <c r="A60" s="147" t="s">
        <v>358</v>
      </c>
      <c r="B60" s="17" t="s">
        <v>71</v>
      </c>
      <c r="C60" s="17" t="s">
        <v>238</v>
      </c>
      <c r="D60" s="17" t="s">
        <v>423</v>
      </c>
      <c r="E60" s="17" t="s">
        <v>663</v>
      </c>
      <c r="F60" s="128">
        <v>105</v>
      </c>
      <c r="G60" s="135">
        <v>15</v>
      </c>
      <c r="H60" s="44">
        <f t="shared" si="2"/>
        <v>120</v>
      </c>
      <c r="I60" s="18">
        <f>IFERROR(VLOOKUP($A60,'2.1 Toteut. op.vuodet'!$A:$Q,COLUMN('2.1 Toteut. op.vuodet'!Q:Q),FALSE),0)</f>
        <v>1.7620419536357699</v>
      </c>
      <c r="J60" s="85">
        <f t="shared" si="3"/>
        <v>211.4</v>
      </c>
      <c r="K60" s="19">
        <f>IFERROR(Ohj.lask.[[#This Row],[Painotetut opiskelija-vuodet]]/Ohj.lask.[[#Totals],[Painotetut opiskelija-vuodet]],0)</f>
        <v>1.04871463006517E-3</v>
      </c>
      <c r="L60" s="20">
        <f>ROUND(IFERROR('1.1 Jakotaulu'!L$10*Ohj.lask.[[#This Row],[%-osuus 1]],0),0)</f>
        <v>1247650</v>
      </c>
      <c r="M60" s="349">
        <f>IFERROR(ROUND(VLOOKUP($A60,'2.2 Tutk. ja osien pain. pist.'!$A:$Q,COLUMN('2.2 Tutk. ja osien pain. pist.'!P:P),FALSE),1),0)</f>
        <v>19353.400000000001</v>
      </c>
      <c r="N60" s="19">
        <f>IFERROR(Ohj.lask.[[#This Row],[Painotetut pisteet 2]]/Ohj.lask.[[#Totals],[Painotetut pisteet 2]],0)</f>
        <v>1.2367646613749175E-3</v>
      </c>
      <c r="O60" s="26">
        <f>ROUND(IFERROR('1.1 Jakotaulu'!K$11*Ohj.lask.[[#This Row],[%-osuus 2]],0),0)</f>
        <v>457946</v>
      </c>
      <c r="P60" s="350">
        <f>IFERROR(ROUND(VLOOKUP($A60,'2.3 Työll. ja jatko-opisk.'!$A:$K,COLUMN('2.3 Työll. ja jatko-opisk.'!I:I),FALSE),1),0)</f>
        <v>171.5</v>
      </c>
      <c r="Q60" s="19">
        <f>IFERROR(Ohj.lask.[[#This Row],[Painotetut pisteet 3]]/Ohj.lask.[[#Totals],[Painotetut pisteet 3]],0)</f>
        <v>9.0535335703968993E-4</v>
      </c>
      <c r="R60" s="20">
        <f>ROUND(IFERROR('1.1 Jakotaulu'!L$13*Ohj.lask.[[#This Row],[%-osuus 3]],0),0)</f>
        <v>125712</v>
      </c>
      <c r="S60" s="349">
        <f>IFERROR(ROUND(VLOOKUP($A60,'2.4 Aloittaneet palaute'!$A:$K,COLUMN('2.4 Aloittaneet palaute'!J:J),FALSE),1),0)</f>
        <v>1235</v>
      </c>
      <c r="T60" s="23">
        <f>IFERROR(Ohj.lask.[[#This Row],[Painotetut pisteet 4]]/Ohj.lask.[[#Totals],[Painotetut pisteet 4]],0)</f>
        <v>9.9193855153518334E-4</v>
      </c>
      <c r="U60" s="26">
        <f>ROUND(IFERROR('1.1 Jakotaulu'!M$15*Ohj.lask.[[#This Row],[%-osuus 4]],0),0)</f>
        <v>11478</v>
      </c>
      <c r="V60" s="85">
        <f>IFERROR(ROUND(VLOOKUP($A60,'2.5 Päättäneet palaute'!$A:$AC,COLUMN('2.5 Päättäneet palaute'!AB:AB),FALSE),1),0)</f>
        <v>9066.7000000000007</v>
      </c>
      <c r="W60" s="23">
        <f>IFERROR(Ohj.lask.[[#This Row],[Painotetut pisteet 5]]/Ohj.lask.[[#Totals],[Painotetut pisteet 5]],0)</f>
        <v>1.3691588951580699E-3</v>
      </c>
      <c r="X60" s="20">
        <f>ROUND(IFERROR('1.1 Jakotaulu'!M$16*Ohj.lask.[[#This Row],[%-osuus 5]],0),0)</f>
        <v>47528</v>
      </c>
      <c r="Y60" s="22">
        <f>IFERROR(Ohj.lask.[[#This Row],[Jaettava € 6]]/Ohj.lask.[[#Totals],[Jaettava € 6]],"")</f>
        <v>1.0832062255376987E-3</v>
      </c>
      <c r="Z60" s="26">
        <f>IFERROR(Ohj.lask.[[#This Row],[Jaettava € 1]]+Ohj.lask.[[#This Row],[Jaettava € 2]]+Ohj.lask.[[#This Row],[Jaettava € 3]]+Ohj.lask.[[#This Row],[Jaettava € 4]]+Ohj.lask.[[#This Row],[Jaettava € 5]],"")</f>
        <v>1890314</v>
      </c>
      <c r="AA60" s="20">
        <v>0</v>
      </c>
      <c r="AB60" s="20">
        <v>0</v>
      </c>
      <c r="AC60" s="21">
        <v>0</v>
      </c>
      <c r="AD60" s="20">
        <v>0</v>
      </c>
      <c r="AE60" s="21">
        <v>0</v>
      </c>
      <c r="AF60" s="20">
        <v>0</v>
      </c>
      <c r="AG60" s="21">
        <v>0</v>
      </c>
      <c r="AH60" s="20">
        <v>0</v>
      </c>
      <c r="AI60" s="21">
        <v>0</v>
      </c>
      <c r="AJ60" s="26">
        <v>0</v>
      </c>
      <c r="AK60" s="20">
        <v>0</v>
      </c>
      <c r="AL60" s="20">
        <v>0</v>
      </c>
      <c r="AM60" s="21">
        <v>0</v>
      </c>
      <c r="AN60" s="136">
        <v>0</v>
      </c>
      <c r="AO60" s="20">
        <f>Ohj.lask.[[#This Row],[Jaettava € 1]]+Ohj.lask.[[#This Row],[Päätös 7, €]]</f>
        <v>1247650</v>
      </c>
      <c r="AP60" s="119">
        <f>Ohj.lask.[[#This Row],[Jaettava € 2]]</f>
        <v>457946</v>
      </c>
      <c r="AQ60" s="20">
        <f>Ohj.lask.[[#This Row],[Jaettava € 3]]+Ohj.lask.[[#This Row],[Jaettava € 4]]+Ohj.lask.[[#This Row],[Jaettava € 5]]</f>
        <v>184718</v>
      </c>
      <c r="AR60" s="45">
        <f>Ohj.lask.[[#This Row],[Jaettava € 6]]+Ohj.lask.[[#This Row],[Päätös 7, €]]</f>
        <v>1890314</v>
      </c>
      <c r="AS60" s="45">
        <f>ROUND(IFERROR(VLOOKUP(Ohj.lask.[[#This Row],[Y-tunnus]],'3.1 Alv vahvistettu'!A:Y,COLUMN(C:C),FALSE),0),0)</f>
        <v>14970</v>
      </c>
      <c r="AT60" s="26">
        <f>Ohj.lask.[[#This Row],[Perus-, suoritus- ja vaikuttavuusrahoitus yhteensä, €]]+Ohj.lask.[[#This Row],[Alv-korvaus, €]]</f>
        <v>1905284</v>
      </c>
    </row>
    <row r="61" spans="1:46" ht="12.75" x14ac:dyDescent="0.2">
      <c r="A61" s="147" t="s">
        <v>357</v>
      </c>
      <c r="B61" s="17" t="s">
        <v>72</v>
      </c>
      <c r="C61" s="113" t="s">
        <v>317</v>
      </c>
      <c r="D61" s="113" t="s">
        <v>423</v>
      </c>
      <c r="E61" s="113" t="s">
        <v>663</v>
      </c>
      <c r="F61" s="127">
        <v>20</v>
      </c>
      <c r="G61" s="135">
        <v>0</v>
      </c>
      <c r="H61" s="44">
        <f t="shared" si="2"/>
        <v>20</v>
      </c>
      <c r="I61" s="18">
        <f>IFERROR(VLOOKUP($A61,'2.1 Toteut. op.vuodet'!$A:$Q,COLUMN('2.1 Toteut. op.vuodet'!Q:Q),FALSE),0)</f>
        <v>0.76229999999999942</v>
      </c>
      <c r="J61" s="85">
        <f t="shared" si="3"/>
        <v>15.2</v>
      </c>
      <c r="K61" s="19">
        <f>IFERROR(Ohj.lask.[[#This Row],[Painotetut opiskelija-vuodet]]/Ohj.lask.[[#Totals],[Painotetut opiskelija-vuodet]],0)</f>
        <v>7.5404268576114404E-5</v>
      </c>
      <c r="L61" s="20">
        <f>ROUND(IFERROR('1.1 Jakotaulu'!L$10*Ohj.lask.[[#This Row],[%-osuus 1]],0),0)</f>
        <v>89708</v>
      </c>
      <c r="M61" s="349">
        <f>IFERROR(ROUND(VLOOKUP($A61,'2.2 Tutk. ja osien pain. pist.'!$A:$Q,COLUMN('2.2 Tutk. ja osien pain. pist.'!P:P),FALSE),1),0)</f>
        <v>1083.5999999999999</v>
      </c>
      <c r="N61" s="19">
        <f>IFERROR(Ohj.lask.[[#This Row],[Painotetut pisteet 2]]/Ohj.lask.[[#Totals],[Painotetut pisteet 2]],0)</f>
        <v>6.9246653666325326E-5</v>
      </c>
      <c r="O61" s="26">
        <f>ROUND(IFERROR('1.1 Jakotaulu'!K$11*Ohj.lask.[[#This Row],[%-osuus 2]],0),0)</f>
        <v>25640</v>
      </c>
      <c r="P61" s="350">
        <f>IFERROR(ROUND(VLOOKUP($A61,'2.3 Työll. ja jatko-opisk.'!$A:$K,COLUMN('2.3 Työll. ja jatko-opisk.'!I:I),FALSE),1),0)</f>
        <v>25.6</v>
      </c>
      <c r="Q61" s="23">
        <f>IFERROR(Ohj.lask.[[#This Row],[Painotetut pisteet 3]]/Ohj.lask.[[#Totals],[Painotetut pisteet 3]],0)</f>
        <v>1.351431250158371E-4</v>
      </c>
      <c r="R61" s="20">
        <f>ROUND(IFERROR('1.1 Jakotaulu'!L$13*Ohj.lask.[[#This Row],[%-osuus 3]],0),0)</f>
        <v>18765</v>
      </c>
      <c r="S61" s="349">
        <f>IFERROR(ROUND(VLOOKUP($A61,'2.4 Aloittaneet palaute'!$A:$K,COLUMN('2.4 Aloittaneet palaute'!J:J),FALSE),1),0)</f>
        <v>184</v>
      </c>
      <c r="T61" s="23">
        <f>IFERROR(Ohj.lask.[[#This Row],[Painotetut pisteet 4]]/Ohj.lask.[[#Totals],[Painotetut pisteet 4]],0)</f>
        <v>1.47786796342084E-4</v>
      </c>
      <c r="U61" s="26">
        <f>ROUND(IFERROR('1.1 Jakotaulu'!M$15*Ohj.lask.[[#This Row],[%-osuus 4]],0),0)</f>
        <v>1710</v>
      </c>
      <c r="V61" s="85">
        <f>IFERROR(ROUND(VLOOKUP($A61,'2.5 Päättäneet palaute'!$A:$AC,COLUMN('2.5 Päättäneet palaute'!AB:AB),FALSE),1),0)</f>
        <v>1707.2</v>
      </c>
      <c r="W61" s="23">
        <f>IFERROR(Ohj.lask.[[#This Row],[Painotetut pisteet 5]]/Ohj.lask.[[#Totals],[Painotetut pisteet 5]],0)</f>
        <v>2.5780361827499053E-4</v>
      </c>
      <c r="X61" s="20">
        <f>ROUND(IFERROR('1.1 Jakotaulu'!M$16*Ohj.lask.[[#This Row],[%-osuus 5]],0),0)</f>
        <v>8949</v>
      </c>
      <c r="Y61" s="22">
        <f>IFERROR(Ohj.lask.[[#This Row],[Jaettava € 6]]/Ohj.lask.[[#Totals],[Jaettava € 6]],"")</f>
        <v>8.2958668075009607E-5</v>
      </c>
      <c r="Z61" s="26">
        <f>IFERROR(Ohj.lask.[[#This Row],[Jaettava € 1]]+Ohj.lask.[[#This Row],[Jaettava € 2]]+Ohj.lask.[[#This Row],[Jaettava € 3]]+Ohj.lask.[[#This Row],[Jaettava € 4]]+Ohj.lask.[[#This Row],[Jaettava € 5]],"")</f>
        <v>144772</v>
      </c>
      <c r="AA61" s="20">
        <v>0</v>
      </c>
      <c r="AB61" s="20">
        <v>0</v>
      </c>
      <c r="AC61" s="21">
        <v>0</v>
      </c>
      <c r="AD61" s="20">
        <v>0</v>
      </c>
      <c r="AE61" s="21">
        <v>0</v>
      </c>
      <c r="AF61" s="20">
        <v>0</v>
      </c>
      <c r="AG61" s="21">
        <v>0</v>
      </c>
      <c r="AH61" s="20">
        <v>0</v>
      </c>
      <c r="AI61" s="21">
        <v>0</v>
      </c>
      <c r="AJ61" s="26">
        <v>0</v>
      </c>
      <c r="AK61" s="20">
        <v>0</v>
      </c>
      <c r="AL61" s="20">
        <v>0</v>
      </c>
      <c r="AM61" s="21">
        <v>0</v>
      </c>
      <c r="AN61" s="136">
        <v>0</v>
      </c>
      <c r="AO61" s="20">
        <f>Ohj.lask.[[#This Row],[Jaettava € 1]]+Ohj.lask.[[#This Row],[Päätös 7, €]]</f>
        <v>89708</v>
      </c>
      <c r="AP61" s="119">
        <f>Ohj.lask.[[#This Row],[Jaettava € 2]]</f>
        <v>25640</v>
      </c>
      <c r="AQ61" s="20">
        <f>Ohj.lask.[[#This Row],[Jaettava € 3]]+Ohj.lask.[[#This Row],[Jaettava € 4]]+Ohj.lask.[[#This Row],[Jaettava € 5]]</f>
        <v>29424</v>
      </c>
      <c r="AR61" s="45">
        <f>Ohj.lask.[[#This Row],[Jaettava € 6]]+Ohj.lask.[[#This Row],[Päätös 7, €]]</f>
        <v>144772</v>
      </c>
      <c r="AS61" s="45">
        <f>ROUND(IFERROR(VLOOKUP(Ohj.lask.[[#This Row],[Y-tunnus]],'3.1 Alv vahvistettu'!A:Y,COLUMN(C:C),FALSE),0),0)</f>
        <v>6908</v>
      </c>
      <c r="AT61" s="26">
        <f>Ohj.lask.[[#This Row],[Perus-, suoritus- ja vaikuttavuusrahoitus yhteensä, €]]+Ohj.lask.[[#This Row],[Alv-korvaus, €]]</f>
        <v>151680</v>
      </c>
    </row>
    <row r="62" spans="1:46" ht="12.75" x14ac:dyDescent="0.2">
      <c r="A62" s="147" t="s">
        <v>356</v>
      </c>
      <c r="B62" s="17" t="s">
        <v>154</v>
      </c>
      <c r="C62" s="17" t="s">
        <v>238</v>
      </c>
      <c r="D62" s="17" t="s">
        <v>423</v>
      </c>
      <c r="E62" s="17" t="s">
        <v>663</v>
      </c>
      <c r="F62" s="128">
        <v>33</v>
      </c>
      <c r="G62" s="135">
        <v>4</v>
      </c>
      <c r="H62" s="44">
        <f t="shared" si="2"/>
        <v>37</v>
      </c>
      <c r="I62" s="18">
        <f>IFERROR(VLOOKUP($A62,'2.1 Toteut. op.vuodet'!$A:$Q,COLUMN('2.1 Toteut. op.vuodet'!Q:Q),FALSE),0)</f>
        <v>0.73658725048873142</v>
      </c>
      <c r="J62" s="85">
        <f t="shared" si="3"/>
        <v>27.3</v>
      </c>
      <c r="K62" s="19">
        <f>IFERROR(Ohj.lask.[[#This Row],[Painotetut opiskelija-vuodet]]/Ohj.lask.[[#Totals],[Painotetut opiskelija-vuodet]],0)</f>
        <v>1.35430035008416E-4</v>
      </c>
      <c r="L62" s="20">
        <f>ROUND(IFERROR('1.1 Jakotaulu'!L$10*Ohj.lask.[[#This Row],[%-osuus 1]],0),0)</f>
        <v>161120</v>
      </c>
      <c r="M62" s="349">
        <f>IFERROR(ROUND(VLOOKUP($A62,'2.2 Tutk. ja osien pain. pist.'!$A:$Q,COLUMN('2.2 Tutk. ja osien pain. pist.'!P:P),FALSE),1),0)</f>
        <v>1825.1</v>
      </c>
      <c r="N62" s="19">
        <f>IFERROR(Ohj.lask.[[#This Row],[Painotetut pisteet 2]]/Ohj.lask.[[#Totals],[Painotetut pisteet 2]],0)</f>
        <v>1.1663166076634399E-4</v>
      </c>
      <c r="O62" s="26">
        <f>ROUND(IFERROR('1.1 Jakotaulu'!K$11*Ohj.lask.[[#This Row],[%-osuus 2]],0),0)</f>
        <v>43186</v>
      </c>
      <c r="P62" s="350">
        <f>IFERROR(ROUND(VLOOKUP($A62,'2.3 Työll. ja jatko-opisk.'!$A:$K,COLUMN('2.3 Työll. ja jatko-opisk.'!I:I),FALSE),1),0)</f>
        <v>44.7</v>
      </c>
      <c r="Q62" s="19">
        <f>IFERROR(Ohj.lask.[[#This Row],[Painotetut pisteet 3]]/Ohj.lask.[[#Totals],[Painotetut pisteet 3]],0)</f>
        <v>2.3597256594562181E-4</v>
      </c>
      <c r="R62" s="20">
        <f>ROUND(IFERROR('1.1 Jakotaulu'!L$13*Ohj.lask.[[#This Row],[%-osuus 3]],0),0)</f>
        <v>32766</v>
      </c>
      <c r="S62" s="349">
        <f>IFERROR(ROUND(VLOOKUP($A62,'2.4 Aloittaneet palaute'!$A:$K,COLUMN('2.4 Aloittaneet palaute'!J:J),FALSE),1),0)</f>
        <v>296.39999999999998</v>
      </c>
      <c r="T62" s="23">
        <f>IFERROR(Ohj.lask.[[#This Row],[Painotetut pisteet 4]]/Ohj.lask.[[#Totals],[Painotetut pisteet 4]],0)</f>
        <v>2.3806525236844396E-4</v>
      </c>
      <c r="U62" s="26">
        <f>ROUND(IFERROR('1.1 Jakotaulu'!M$15*Ohj.lask.[[#This Row],[%-osuus 4]],0),0)</f>
        <v>2755</v>
      </c>
      <c r="V62" s="85">
        <f>IFERROR(ROUND(VLOOKUP($A62,'2.5 Päättäneet palaute'!$A:$AC,COLUMN('2.5 Päättäneet palaute'!AB:AB),FALSE),1),0)</f>
        <v>3139.3</v>
      </c>
      <c r="W62" s="23">
        <f>IFERROR(Ohj.lask.[[#This Row],[Painotetut pisteet 5]]/Ohj.lask.[[#Totals],[Painotetut pisteet 5]],0)</f>
        <v>4.7406449089191534E-4</v>
      </c>
      <c r="X62" s="20">
        <f>ROUND(IFERROR('1.1 Jakotaulu'!M$16*Ohj.lask.[[#This Row],[%-osuus 5]],0),0)</f>
        <v>16456</v>
      </c>
      <c r="Y62" s="22">
        <f>IFERROR(Ohj.lask.[[#This Row],[Jaettava € 6]]/Ohj.lask.[[#Totals],[Jaettava € 6]],"")</f>
        <v>1.4685779246171695E-4</v>
      </c>
      <c r="Z62" s="26">
        <f>IFERROR(Ohj.lask.[[#This Row],[Jaettava € 1]]+Ohj.lask.[[#This Row],[Jaettava € 2]]+Ohj.lask.[[#This Row],[Jaettava € 3]]+Ohj.lask.[[#This Row],[Jaettava € 4]]+Ohj.lask.[[#This Row],[Jaettava € 5]],"")</f>
        <v>256283</v>
      </c>
      <c r="AA62" s="20">
        <v>0</v>
      </c>
      <c r="AB62" s="20">
        <v>0</v>
      </c>
      <c r="AC62" s="21">
        <v>0</v>
      </c>
      <c r="AD62" s="20">
        <v>0</v>
      </c>
      <c r="AE62" s="21">
        <v>300000</v>
      </c>
      <c r="AF62" s="20">
        <v>0</v>
      </c>
      <c r="AG62" s="21">
        <v>0</v>
      </c>
      <c r="AH62" s="20">
        <v>0</v>
      </c>
      <c r="AI62" s="21">
        <v>20000</v>
      </c>
      <c r="AJ62" s="26">
        <v>0</v>
      </c>
      <c r="AK62" s="20">
        <v>0</v>
      </c>
      <c r="AL62" s="20">
        <v>0</v>
      </c>
      <c r="AM62" s="21">
        <v>320000</v>
      </c>
      <c r="AN62" s="136">
        <v>0</v>
      </c>
      <c r="AO62" s="20">
        <f>Ohj.lask.[[#This Row],[Jaettava € 1]]+Ohj.lask.[[#This Row],[Päätös 7, €]]</f>
        <v>161120</v>
      </c>
      <c r="AP62" s="119">
        <f>Ohj.lask.[[#This Row],[Jaettava € 2]]</f>
        <v>43186</v>
      </c>
      <c r="AQ62" s="20">
        <f>Ohj.lask.[[#This Row],[Jaettava € 3]]+Ohj.lask.[[#This Row],[Jaettava € 4]]+Ohj.lask.[[#This Row],[Jaettava € 5]]</f>
        <v>51977</v>
      </c>
      <c r="AR62" s="45">
        <f>Ohj.lask.[[#This Row],[Jaettava € 6]]+Ohj.lask.[[#This Row],[Päätös 7, €]]</f>
        <v>256283</v>
      </c>
      <c r="AS62" s="45">
        <f>ROUND(IFERROR(VLOOKUP(Ohj.lask.[[#This Row],[Y-tunnus]],'3.1 Alv vahvistettu'!A:Y,COLUMN(C:C),FALSE),0),0)</f>
        <v>26587</v>
      </c>
      <c r="AT62" s="26">
        <f>Ohj.lask.[[#This Row],[Perus-, suoritus- ja vaikuttavuusrahoitus yhteensä, €]]+Ohj.lask.[[#This Row],[Alv-korvaus, €]]</f>
        <v>282870</v>
      </c>
    </row>
    <row r="63" spans="1:46" ht="12.75" x14ac:dyDescent="0.2">
      <c r="A63" s="147" t="s">
        <v>355</v>
      </c>
      <c r="B63" s="17" t="s">
        <v>171</v>
      </c>
      <c r="C63" s="17" t="s">
        <v>238</v>
      </c>
      <c r="D63" s="17" t="s">
        <v>423</v>
      </c>
      <c r="E63" s="17" t="s">
        <v>663</v>
      </c>
      <c r="F63" s="128">
        <v>0</v>
      </c>
      <c r="G63" s="135">
        <v>0</v>
      </c>
      <c r="H63" s="44">
        <f t="shared" si="2"/>
        <v>0</v>
      </c>
      <c r="I63" s="18">
        <f>IFERROR(VLOOKUP($A63,'2.1 Toteut. op.vuodet'!$A:$Q,COLUMN('2.1 Toteut. op.vuodet'!Q:Q),FALSE),0)</f>
        <v>0.43</v>
      </c>
      <c r="J63" s="85">
        <f t="shared" si="3"/>
        <v>0</v>
      </c>
      <c r="K63" s="19">
        <f>IFERROR(Ohj.lask.[[#This Row],[Painotetut opiskelija-vuodet]]/Ohj.lask.[[#Totals],[Painotetut opiskelija-vuodet]],0)</f>
        <v>0</v>
      </c>
      <c r="L63" s="20">
        <f>ROUND(IFERROR('1.1 Jakotaulu'!L$10*Ohj.lask.[[#This Row],[%-osuus 1]],0),0)</f>
        <v>0</v>
      </c>
      <c r="M63" s="349">
        <f>IFERROR(ROUND(VLOOKUP($A63,'2.2 Tutk. ja osien pain. pist.'!$A:$Q,COLUMN('2.2 Tutk. ja osien pain. pist.'!P:P),FALSE),1),0)</f>
        <v>0</v>
      </c>
      <c r="N63" s="19">
        <f>IFERROR(Ohj.lask.[[#This Row],[Painotetut pisteet 2]]/Ohj.lask.[[#Totals],[Painotetut pisteet 2]],0)</f>
        <v>0</v>
      </c>
      <c r="O63" s="26">
        <f>ROUND(IFERROR('1.1 Jakotaulu'!K$11*Ohj.lask.[[#This Row],[%-osuus 2]],0),0)</f>
        <v>0</v>
      </c>
      <c r="P63" s="350">
        <f>IFERROR(ROUND(VLOOKUP($A63,'2.3 Työll. ja jatko-opisk.'!$A:$K,COLUMN('2.3 Työll. ja jatko-opisk.'!I:I),FALSE),1),0)</f>
        <v>0</v>
      </c>
      <c r="Q63" s="19">
        <f>IFERROR(Ohj.lask.[[#This Row],[Painotetut pisteet 3]]/Ohj.lask.[[#Totals],[Painotetut pisteet 3]],0)</f>
        <v>0</v>
      </c>
      <c r="R63" s="20">
        <f>ROUND(IFERROR('1.1 Jakotaulu'!L$13*Ohj.lask.[[#This Row],[%-osuus 3]],0),0)</f>
        <v>0</v>
      </c>
      <c r="S63" s="349">
        <f>IFERROR(ROUND(VLOOKUP($A63,'2.4 Aloittaneet palaute'!$A:$K,COLUMN('2.4 Aloittaneet palaute'!J:J),FALSE),1),0)</f>
        <v>0</v>
      </c>
      <c r="T63" s="23">
        <f>IFERROR(Ohj.lask.[[#This Row],[Painotetut pisteet 4]]/Ohj.lask.[[#Totals],[Painotetut pisteet 4]],0)</f>
        <v>0</v>
      </c>
      <c r="U63" s="26">
        <f>ROUND(IFERROR('1.1 Jakotaulu'!M$15*Ohj.lask.[[#This Row],[%-osuus 4]],0),0)</f>
        <v>0</v>
      </c>
      <c r="V63" s="85">
        <f>IFERROR(ROUND(VLOOKUP($A63,'2.5 Päättäneet palaute'!$A:$AC,COLUMN('2.5 Päättäneet palaute'!AB:AB),FALSE),1),0)</f>
        <v>0</v>
      </c>
      <c r="W63" s="23">
        <f>IFERROR(Ohj.lask.[[#This Row],[Painotetut pisteet 5]]/Ohj.lask.[[#Totals],[Painotetut pisteet 5]],0)</f>
        <v>0</v>
      </c>
      <c r="X63" s="20">
        <f>ROUND(IFERROR('1.1 Jakotaulu'!M$16*Ohj.lask.[[#This Row],[%-osuus 5]],0),0)</f>
        <v>0</v>
      </c>
      <c r="Y63" s="22">
        <f>IFERROR(Ohj.lask.[[#This Row],[Jaettava € 6]]/Ohj.lask.[[#Totals],[Jaettava € 6]],"")</f>
        <v>0</v>
      </c>
      <c r="Z63" s="26">
        <f>IFERROR(Ohj.lask.[[#This Row],[Jaettava € 1]]+Ohj.lask.[[#This Row],[Jaettava € 2]]+Ohj.lask.[[#This Row],[Jaettava € 3]]+Ohj.lask.[[#This Row],[Jaettava € 4]]+Ohj.lask.[[#This Row],[Jaettava € 5]],"")</f>
        <v>0</v>
      </c>
      <c r="AA63" s="20">
        <v>0</v>
      </c>
      <c r="AB63" s="20">
        <v>0</v>
      </c>
      <c r="AC63" s="21">
        <v>0</v>
      </c>
      <c r="AD63" s="20">
        <v>0</v>
      </c>
      <c r="AE63" s="21">
        <v>0</v>
      </c>
      <c r="AF63" s="20">
        <v>0</v>
      </c>
      <c r="AG63" s="21">
        <v>0</v>
      </c>
      <c r="AH63" s="20">
        <v>0</v>
      </c>
      <c r="AI63" s="21">
        <v>0</v>
      </c>
      <c r="AJ63" s="26">
        <v>0</v>
      </c>
      <c r="AK63" s="20">
        <v>0</v>
      </c>
      <c r="AL63" s="20">
        <v>0</v>
      </c>
      <c r="AM63" s="21">
        <v>0</v>
      </c>
      <c r="AN63" s="136">
        <v>0</v>
      </c>
      <c r="AO63" s="20">
        <f>Ohj.lask.[[#This Row],[Jaettava € 1]]+Ohj.lask.[[#This Row],[Päätös 7, €]]</f>
        <v>0</v>
      </c>
      <c r="AP63" s="119">
        <f>Ohj.lask.[[#This Row],[Jaettava € 2]]</f>
        <v>0</v>
      </c>
      <c r="AQ63" s="20">
        <f>Ohj.lask.[[#This Row],[Jaettava € 3]]+Ohj.lask.[[#This Row],[Jaettava € 4]]+Ohj.lask.[[#This Row],[Jaettava € 5]]</f>
        <v>0</v>
      </c>
      <c r="AR63" s="45">
        <f>Ohj.lask.[[#This Row],[Jaettava € 6]]+Ohj.lask.[[#This Row],[Päätös 7, €]]</f>
        <v>0</v>
      </c>
      <c r="AS63" s="45">
        <f>ROUND(IFERROR(VLOOKUP(Ohj.lask.[[#This Row],[Y-tunnus]],'3.1 Alv vahvistettu'!A:Y,COLUMN(C:C),FALSE),0),0)</f>
        <v>42648</v>
      </c>
      <c r="AT63" s="26">
        <f>Ohj.lask.[[#This Row],[Perus-, suoritus- ja vaikuttavuusrahoitus yhteensä, €]]+Ohj.lask.[[#This Row],[Alv-korvaus, €]]</f>
        <v>42648</v>
      </c>
    </row>
    <row r="64" spans="1:46" ht="12.75" x14ac:dyDescent="0.2">
      <c r="A64" s="147" t="s">
        <v>354</v>
      </c>
      <c r="B64" s="17" t="s">
        <v>73</v>
      </c>
      <c r="C64" s="17" t="s">
        <v>271</v>
      </c>
      <c r="D64" s="17" t="s">
        <v>423</v>
      </c>
      <c r="E64" s="17" t="s">
        <v>663</v>
      </c>
      <c r="F64" s="128">
        <v>97</v>
      </c>
      <c r="G64" s="135">
        <v>8</v>
      </c>
      <c r="H64" s="44">
        <f t="shared" si="2"/>
        <v>105</v>
      </c>
      <c r="I64" s="18">
        <f>IFERROR(VLOOKUP($A64,'2.1 Toteut. op.vuodet'!$A:$Q,COLUMN('2.1 Toteut. op.vuodet'!Q:Q),FALSE),0)</f>
        <v>1.0503663842228421</v>
      </c>
      <c r="J64" s="85">
        <f t="shared" si="3"/>
        <v>110.3</v>
      </c>
      <c r="K64" s="19">
        <f>IFERROR(Ohj.lask.[[#This Row],[Painotetut opiskelija-vuodet]]/Ohj.lask.[[#Totals],[Painotetut opiskelija-vuodet]],0)</f>
        <v>5.4717702789114592E-4</v>
      </c>
      <c r="L64" s="20">
        <f>ROUND(IFERROR('1.1 Jakotaulu'!L$10*Ohj.lask.[[#This Row],[%-osuus 1]],0),0)</f>
        <v>650974</v>
      </c>
      <c r="M64" s="349">
        <f>IFERROR(ROUND(VLOOKUP($A64,'2.2 Tutk. ja osien pain. pist.'!$A:$Q,COLUMN('2.2 Tutk. ja osien pain. pist.'!P:P),FALSE),1),0)</f>
        <v>9762.6</v>
      </c>
      <c r="N64" s="19">
        <f>IFERROR(Ohj.lask.[[#This Row],[Painotetut pisteet 2]]/Ohj.lask.[[#Totals],[Painotetut pisteet 2]],0)</f>
        <v>6.2387170642568077E-4</v>
      </c>
      <c r="O64" s="26">
        <f>ROUND(IFERROR('1.1 Jakotaulu'!K$11*Ohj.lask.[[#This Row],[%-osuus 2]],0),0)</f>
        <v>231005</v>
      </c>
      <c r="P64" s="350">
        <f>IFERROR(ROUND(VLOOKUP($A64,'2.3 Työll. ja jatko-opisk.'!$A:$K,COLUMN('2.3 Työll. ja jatko-opisk.'!I:I),FALSE),1),0)</f>
        <v>125</v>
      </c>
      <c r="Q64" s="19">
        <f>IFERROR(Ohj.lask.[[#This Row],[Painotetut pisteet 3]]/Ohj.lask.[[#Totals],[Painotetut pisteet 3]],0)</f>
        <v>6.5987854011639207E-4</v>
      </c>
      <c r="R64" s="20">
        <f>ROUND(IFERROR('1.1 Jakotaulu'!L$13*Ohj.lask.[[#This Row],[%-osuus 3]],0),0)</f>
        <v>91627</v>
      </c>
      <c r="S64" s="349">
        <f>IFERROR(ROUND(VLOOKUP($A64,'2.4 Aloittaneet palaute'!$A:$K,COLUMN('2.4 Aloittaneet palaute'!J:J),FALSE),1),0)</f>
        <v>1190</v>
      </c>
      <c r="T64" s="23">
        <f>IFERROR(Ohj.lask.[[#This Row],[Painotetut pisteet 4]]/Ohj.lask.[[#Totals],[Painotetut pisteet 4]],0)</f>
        <v>9.5579504156021713E-4</v>
      </c>
      <c r="U64" s="26">
        <f>ROUND(IFERROR('1.1 Jakotaulu'!M$15*Ohj.lask.[[#This Row],[%-osuus 4]],0),0)</f>
        <v>11060</v>
      </c>
      <c r="V64" s="85">
        <f>IFERROR(ROUND(VLOOKUP($A64,'2.5 Päättäneet palaute'!$A:$AC,COLUMN('2.5 Päättäneet palaute'!AB:AB),FALSE),1),0)</f>
        <v>2416.5</v>
      </c>
      <c r="W64" s="23">
        <f>IFERROR(Ohj.lask.[[#This Row],[Painotetut pisteet 5]]/Ohj.lask.[[#Totals],[Painotetut pisteet 5]],0)</f>
        <v>3.6491473966817869E-4</v>
      </c>
      <c r="X64" s="20">
        <f>ROUND(IFERROR('1.1 Jakotaulu'!M$16*Ohj.lask.[[#This Row],[%-osuus 5]],0),0)</f>
        <v>12667</v>
      </c>
      <c r="Y64" s="22">
        <f>IFERROR(Ohj.lask.[[#This Row],[Jaettava € 6]]/Ohj.lask.[[#Totals],[Jaettava € 6]],"")</f>
        <v>5.7150151484578208E-4</v>
      </c>
      <c r="Z64" s="26">
        <f>IFERROR(Ohj.lask.[[#This Row],[Jaettava € 1]]+Ohj.lask.[[#This Row],[Jaettava € 2]]+Ohj.lask.[[#This Row],[Jaettava € 3]]+Ohj.lask.[[#This Row],[Jaettava € 4]]+Ohj.lask.[[#This Row],[Jaettava € 5]],"")</f>
        <v>997333</v>
      </c>
      <c r="AA64" s="20">
        <v>0</v>
      </c>
      <c r="AB64" s="20">
        <v>0</v>
      </c>
      <c r="AC64" s="21">
        <v>0</v>
      </c>
      <c r="AD64" s="20">
        <v>0</v>
      </c>
      <c r="AE64" s="21">
        <v>0</v>
      </c>
      <c r="AF64" s="20">
        <v>0</v>
      </c>
      <c r="AG64" s="21">
        <v>0</v>
      </c>
      <c r="AH64" s="20">
        <v>0</v>
      </c>
      <c r="AI64" s="21">
        <v>0</v>
      </c>
      <c r="AJ64" s="26">
        <v>0</v>
      </c>
      <c r="AK64" s="20">
        <v>0</v>
      </c>
      <c r="AL64" s="20">
        <v>0</v>
      </c>
      <c r="AM64" s="21">
        <v>0</v>
      </c>
      <c r="AN64" s="136">
        <v>0</v>
      </c>
      <c r="AO64" s="20">
        <f>Ohj.lask.[[#This Row],[Jaettava € 1]]+Ohj.lask.[[#This Row],[Päätös 7, €]]</f>
        <v>650974</v>
      </c>
      <c r="AP64" s="119">
        <f>Ohj.lask.[[#This Row],[Jaettava € 2]]</f>
        <v>231005</v>
      </c>
      <c r="AQ64" s="20">
        <f>Ohj.lask.[[#This Row],[Jaettava € 3]]+Ohj.lask.[[#This Row],[Jaettava € 4]]+Ohj.lask.[[#This Row],[Jaettava € 5]]</f>
        <v>115354</v>
      </c>
      <c r="AR64" s="45">
        <f>Ohj.lask.[[#This Row],[Jaettava € 6]]+Ohj.lask.[[#This Row],[Päätös 7, €]]</f>
        <v>997333</v>
      </c>
      <c r="AS64" s="45">
        <f>ROUND(IFERROR(VLOOKUP(Ohj.lask.[[#This Row],[Y-tunnus]],'3.1 Alv vahvistettu'!A:Y,COLUMN(C:C),FALSE),0),0)</f>
        <v>40749</v>
      </c>
      <c r="AT64" s="26">
        <f>Ohj.lask.[[#This Row],[Perus-, suoritus- ja vaikuttavuusrahoitus yhteensä, €]]+Ohj.lask.[[#This Row],[Alv-korvaus, €]]</f>
        <v>1038082</v>
      </c>
    </row>
    <row r="65" spans="1:46" ht="12.75" x14ac:dyDescent="0.2">
      <c r="A65" s="147" t="s">
        <v>353</v>
      </c>
      <c r="B65" s="17" t="s">
        <v>74</v>
      </c>
      <c r="C65" s="17" t="s">
        <v>256</v>
      </c>
      <c r="D65" s="17" t="s">
        <v>422</v>
      </c>
      <c r="E65" s="17" t="s">
        <v>663</v>
      </c>
      <c r="F65" s="128">
        <v>2316</v>
      </c>
      <c r="G65" s="135">
        <v>194</v>
      </c>
      <c r="H65" s="44">
        <f t="shared" si="2"/>
        <v>2510</v>
      </c>
      <c r="I65" s="18">
        <f>IFERROR(VLOOKUP($A65,'2.1 Toteut. op.vuodet'!$A:$Q,COLUMN('2.1 Toteut. op.vuodet'!Q:Q),FALSE),0)</f>
        <v>1.0748560094876323</v>
      </c>
      <c r="J65" s="85">
        <f t="shared" si="3"/>
        <v>2697.9</v>
      </c>
      <c r="K65" s="19">
        <f>IFERROR(Ohj.lask.[[#This Row],[Painotetut opiskelija-vuodet]]/Ohj.lask.[[#Totals],[Painotetut opiskelija-vuodet]],0)</f>
        <v>1.338376159154599E-2</v>
      </c>
      <c r="L65" s="20">
        <f>ROUND(IFERROR('1.1 Jakotaulu'!L$10*Ohj.lask.[[#This Row],[%-osuus 1]],0),0)</f>
        <v>15922588</v>
      </c>
      <c r="M65" s="349">
        <f>IFERROR(ROUND(VLOOKUP($A65,'2.2 Tutk. ja osien pain. pist.'!$A:$Q,COLUMN('2.2 Tutk. ja osien pain. pist.'!P:P),FALSE),1),0)</f>
        <v>211947.6</v>
      </c>
      <c r="N65" s="19">
        <f>IFERROR(Ohj.lask.[[#This Row],[Painotetut pisteet 2]]/Ohj.lask.[[#Totals],[Painotetut pisteet 2]],0)</f>
        <v>1.3544354053718026E-2</v>
      </c>
      <c r="O65" s="26">
        <f>ROUND(IFERROR('1.1 Jakotaulu'!K$11*Ohj.lask.[[#This Row],[%-osuus 2]],0),0)</f>
        <v>5015163</v>
      </c>
      <c r="P65" s="350">
        <f>IFERROR(ROUND(VLOOKUP($A65,'2.3 Työll. ja jatko-opisk.'!$A:$K,COLUMN('2.3 Työll. ja jatko-opisk.'!I:I),FALSE),1),0)</f>
        <v>2425.5</v>
      </c>
      <c r="Q65" s="19">
        <f>IFERROR(Ohj.lask.[[#This Row],[Painotetut pisteet 3]]/Ohj.lask.[[#Totals],[Painotetut pisteet 3]],0)</f>
        <v>1.2804283192418471E-2</v>
      </c>
      <c r="R65" s="20">
        <f>ROUND(IFERROR('1.1 Jakotaulu'!L$13*Ohj.lask.[[#This Row],[%-osuus 3]],0),0)</f>
        <v>1777924</v>
      </c>
      <c r="S65" s="349">
        <f>IFERROR(ROUND(VLOOKUP($A65,'2.4 Aloittaneet palaute'!$A:$K,COLUMN('2.4 Aloittaneet palaute'!J:J),FALSE),1),0)</f>
        <v>10735.9</v>
      </c>
      <c r="T65" s="23">
        <f>IFERROR(Ohj.lask.[[#This Row],[Painotetut pisteet 4]]/Ohj.lask.[[#Totals],[Painotetut pisteet 4]],0)</f>
        <v>8.622957972005324E-3</v>
      </c>
      <c r="U65" s="26">
        <f>ROUND(IFERROR('1.1 Jakotaulu'!M$15*Ohj.lask.[[#This Row],[%-osuus 4]],0),0)</f>
        <v>99778</v>
      </c>
      <c r="V65" s="85">
        <f>IFERROR(ROUND(VLOOKUP($A65,'2.5 Päättäneet palaute'!$A:$AC,COLUMN('2.5 Päättäneet palaute'!AB:AB),FALSE),1),0)</f>
        <v>39126.9</v>
      </c>
      <c r="W65" s="23">
        <f>IFERROR(Ohj.lask.[[#This Row],[Painotetut pisteet 5]]/Ohj.lask.[[#Totals],[Painotetut pisteet 5]],0)</f>
        <v>5.9085381864361101E-3</v>
      </c>
      <c r="X65" s="20">
        <f>ROUND(IFERROR('1.1 Jakotaulu'!M$16*Ohj.lask.[[#This Row],[%-osuus 5]],0),0)</f>
        <v>205106</v>
      </c>
      <c r="Y65" s="22">
        <f>IFERROR(Ohj.lask.[[#This Row],[Jaettava € 6]]/Ohj.lask.[[#Totals],[Jaettava € 6]],"")</f>
        <v>1.3191465980867676E-2</v>
      </c>
      <c r="Z65" s="26">
        <f>IFERROR(Ohj.lask.[[#This Row],[Jaettava € 1]]+Ohj.lask.[[#This Row],[Jaettava € 2]]+Ohj.lask.[[#This Row],[Jaettava € 3]]+Ohj.lask.[[#This Row],[Jaettava € 4]]+Ohj.lask.[[#This Row],[Jaettava € 5]],"")</f>
        <v>23020559</v>
      </c>
      <c r="AA65" s="20">
        <v>0</v>
      </c>
      <c r="AB65" s="20">
        <v>0</v>
      </c>
      <c r="AC65" s="21">
        <v>0</v>
      </c>
      <c r="AD65" s="20">
        <v>0</v>
      </c>
      <c r="AE65" s="21">
        <v>2000000</v>
      </c>
      <c r="AF65" s="20">
        <v>0</v>
      </c>
      <c r="AG65" s="21">
        <v>0</v>
      </c>
      <c r="AH65" s="20">
        <v>0</v>
      </c>
      <c r="AI65" s="21">
        <v>100000</v>
      </c>
      <c r="AJ65" s="26">
        <v>100000</v>
      </c>
      <c r="AK65" s="20">
        <v>20000</v>
      </c>
      <c r="AL65" s="20">
        <v>15000</v>
      </c>
      <c r="AM65" s="21">
        <v>2120000</v>
      </c>
      <c r="AN65" s="136">
        <v>115000</v>
      </c>
      <c r="AO65" s="20">
        <f>Ohj.lask.[[#This Row],[Jaettava € 1]]+Ohj.lask.[[#This Row],[Päätös 7, €]]</f>
        <v>16037588</v>
      </c>
      <c r="AP65" s="119">
        <f>Ohj.lask.[[#This Row],[Jaettava € 2]]</f>
        <v>5015163</v>
      </c>
      <c r="AQ65" s="20">
        <f>Ohj.lask.[[#This Row],[Jaettava € 3]]+Ohj.lask.[[#This Row],[Jaettava € 4]]+Ohj.lask.[[#This Row],[Jaettava € 5]]</f>
        <v>2082808</v>
      </c>
      <c r="AR65" s="45">
        <f>Ohj.lask.[[#This Row],[Jaettava € 6]]+Ohj.lask.[[#This Row],[Päätös 7, €]]</f>
        <v>23135559</v>
      </c>
      <c r="AS65" s="45">
        <f>ROUND(IFERROR(VLOOKUP(Ohj.lask.[[#This Row],[Y-tunnus]],'3.1 Alv vahvistettu'!A:Y,COLUMN(C:C),FALSE),0),0)</f>
        <v>0</v>
      </c>
      <c r="AT65" s="26">
        <f>Ohj.lask.[[#This Row],[Perus-, suoritus- ja vaikuttavuusrahoitus yhteensä, €]]+Ohj.lask.[[#This Row],[Alv-korvaus, €]]</f>
        <v>23135559</v>
      </c>
    </row>
    <row r="66" spans="1:46" ht="12.75" x14ac:dyDescent="0.2">
      <c r="A66" s="147" t="s">
        <v>352</v>
      </c>
      <c r="B66" s="17" t="s">
        <v>75</v>
      </c>
      <c r="C66" s="17" t="s">
        <v>252</v>
      </c>
      <c r="D66" s="17" t="s">
        <v>422</v>
      </c>
      <c r="E66" s="17" t="s">
        <v>663</v>
      </c>
      <c r="F66" s="128">
        <v>5467</v>
      </c>
      <c r="G66" s="135">
        <v>599</v>
      </c>
      <c r="H66" s="44">
        <f t="shared" si="2"/>
        <v>6066</v>
      </c>
      <c r="I66" s="18">
        <f>IFERROR(VLOOKUP($A66,'2.1 Toteut. op.vuodet'!$A:$Q,COLUMN('2.1 Toteut. op.vuodet'!Q:Q),FALSE),0)</f>
        <v>1.0295657064837356</v>
      </c>
      <c r="J66" s="85">
        <f t="shared" si="3"/>
        <v>6245.3</v>
      </c>
      <c r="K66" s="19">
        <f>IFERROR(Ohj.lask.[[#This Row],[Painotetut opiskelija-vuodet]]/Ohj.lask.[[#Totals],[Painotetut opiskelija-vuodet]],0)</f>
        <v>3.0981728851211008E-2</v>
      </c>
      <c r="L66" s="20">
        <f>ROUND(IFERROR('1.1 Jakotaulu'!L$10*Ohj.lask.[[#This Row],[%-osuus 1]],0),0)</f>
        <v>36858792</v>
      </c>
      <c r="M66" s="349">
        <f>IFERROR(ROUND(VLOOKUP($A66,'2.2 Tutk. ja osien pain. pist.'!$A:$Q,COLUMN('2.2 Tutk. ja osien pain. pist.'!P:P),FALSE),1),0)</f>
        <v>548757.4</v>
      </c>
      <c r="N66" s="19">
        <f>IFERROR(Ohj.lask.[[#This Row],[Painotetut pisteet 2]]/Ohj.lask.[[#Totals],[Painotetut pisteet 2]],0)</f>
        <v>3.5067934315829788E-2</v>
      </c>
      <c r="O66" s="26">
        <f>ROUND(IFERROR('1.1 Jakotaulu'!K$11*Ohj.lask.[[#This Row],[%-osuus 2]],0),0)</f>
        <v>12984850</v>
      </c>
      <c r="P66" s="350">
        <f>IFERROR(ROUND(VLOOKUP($A66,'2.3 Työll. ja jatko-opisk.'!$A:$K,COLUMN('2.3 Työll. ja jatko-opisk.'!I:I),FALSE),1),0)</f>
        <v>6202.4</v>
      </c>
      <c r="Q66" s="19">
        <f>IFERROR(Ohj.lask.[[#This Row],[Painotetut pisteet 3]]/Ohj.lask.[[#Totals],[Painotetut pisteet 3]],0)</f>
        <v>3.2742645257743279E-2</v>
      </c>
      <c r="R66" s="20">
        <f>ROUND(IFERROR('1.1 Jakotaulu'!L$13*Ohj.lask.[[#This Row],[%-osuus 3]],0),0)</f>
        <v>4546443</v>
      </c>
      <c r="S66" s="349">
        <f>IFERROR(ROUND(VLOOKUP($A66,'2.4 Aloittaneet palaute'!$A:$K,COLUMN('2.4 Aloittaneet palaute'!J:J),FALSE),1),0)</f>
        <v>18063.2</v>
      </c>
      <c r="T66" s="23">
        <f>IFERROR(Ohj.lask.[[#This Row],[Painotetut pisteet 4]]/Ohj.lask.[[#Totals],[Painotetut pisteet 4]],0)</f>
        <v>1.4508165541773541E-2</v>
      </c>
      <c r="U66" s="26">
        <f>ROUND(IFERROR('1.1 Jakotaulu'!M$15*Ohj.lask.[[#This Row],[%-osuus 4]],0),0)</f>
        <v>167876</v>
      </c>
      <c r="V66" s="85">
        <f>IFERROR(ROUND(VLOOKUP($A66,'2.5 Päättäneet palaute'!$A:$AC,COLUMN('2.5 Päättäneet palaute'!AB:AB),FALSE),1),0)</f>
        <v>33850.300000000003</v>
      </c>
      <c r="W66" s="23">
        <f>IFERROR(Ohj.lask.[[#This Row],[Painotetut pisteet 5]]/Ohj.lask.[[#Totals],[Painotetut pisteet 5]],0)</f>
        <v>5.1117208409641006E-3</v>
      </c>
      <c r="X66" s="20">
        <f>ROUND(IFERROR('1.1 Jakotaulu'!M$16*Ohj.lask.[[#This Row],[%-osuus 5]],0),0)</f>
        <v>177446</v>
      </c>
      <c r="Y66" s="22">
        <f>IFERROR(Ohj.lask.[[#This Row],[Jaettava € 6]]/Ohj.lask.[[#Totals],[Jaettava € 6]],"")</f>
        <v>3.1365018520594846E-2</v>
      </c>
      <c r="Z66" s="26">
        <f>IFERROR(Ohj.lask.[[#This Row],[Jaettava € 1]]+Ohj.lask.[[#This Row],[Jaettava € 2]]+Ohj.lask.[[#This Row],[Jaettava € 3]]+Ohj.lask.[[#This Row],[Jaettava € 4]]+Ohj.lask.[[#This Row],[Jaettava € 5]],"")</f>
        <v>54735407</v>
      </c>
      <c r="AA66" s="20">
        <v>985000</v>
      </c>
      <c r="AB66" s="20">
        <v>0</v>
      </c>
      <c r="AC66" s="21">
        <v>0</v>
      </c>
      <c r="AD66" s="20">
        <v>0</v>
      </c>
      <c r="AE66" s="21">
        <v>0</v>
      </c>
      <c r="AF66" s="20">
        <v>0</v>
      </c>
      <c r="AG66" s="21">
        <v>0</v>
      </c>
      <c r="AH66" s="20">
        <v>0</v>
      </c>
      <c r="AI66" s="21">
        <v>120000</v>
      </c>
      <c r="AJ66" s="26">
        <v>0</v>
      </c>
      <c r="AK66" s="20">
        <v>100000</v>
      </c>
      <c r="AL66" s="20">
        <v>20000</v>
      </c>
      <c r="AM66" s="21">
        <v>1205000</v>
      </c>
      <c r="AN66" s="136">
        <v>20000</v>
      </c>
      <c r="AO66" s="20">
        <f>Ohj.lask.[[#This Row],[Jaettava € 1]]+Ohj.lask.[[#This Row],[Päätös 7, €]]</f>
        <v>36878792</v>
      </c>
      <c r="AP66" s="119">
        <f>Ohj.lask.[[#This Row],[Jaettava € 2]]</f>
        <v>12984850</v>
      </c>
      <c r="AQ66" s="20">
        <f>Ohj.lask.[[#This Row],[Jaettava € 3]]+Ohj.lask.[[#This Row],[Jaettava € 4]]+Ohj.lask.[[#This Row],[Jaettava € 5]]</f>
        <v>4891765</v>
      </c>
      <c r="AR66" s="45">
        <f>Ohj.lask.[[#This Row],[Jaettava € 6]]+Ohj.lask.[[#This Row],[Päätös 7, €]]</f>
        <v>54755407</v>
      </c>
      <c r="AS66" s="45">
        <f>ROUND(IFERROR(VLOOKUP(Ohj.lask.[[#This Row],[Y-tunnus]],'3.1 Alv vahvistettu'!A:Y,COLUMN(C:C),FALSE),0),0)</f>
        <v>0</v>
      </c>
      <c r="AT66" s="26">
        <f>Ohj.lask.[[#This Row],[Perus-, suoritus- ja vaikuttavuusrahoitus yhteensä, €]]+Ohj.lask.[[#This Row],[Alv-korvaus, €]]</f>
        <v>54755407</v>
      </c>
    </row>
    <row r="67" spans="1:46" ht="12.75" x14ac:dyDescent="0.2">
      <c r="A67" s="147" t="s">
        <v>351</v>
      </c>
      <c r="B67" s="17" t="s">
        <v>76</v>
      </c>
      <c r="C67" s="17" t="s">
        <v>334</v>
      </c>
      <c r="D67" s="17" t="s">
        <v>422</v>
      </c>
      <c r="E67" s="17" t="s">
        <v>663</v>
      </c>
      <c r="F67" s="128">
        <v>2145</v>
      </c>
      <c r="G67" s="135">
        <v>109</v>
      </c>
      <c r="H67" s="44">
        <f t="shared" si="2"/>
        <v>2254</v>
      </c>
      <c r="I67" s="18">
        <f>IFERROR(VLOOKUP($A67,'2.1 Toteut. op.vuodet'!$A:$Q,COLUMN('2.1 Toteut. op.vuodet'!Q:Q),FALSE),0)</f>
        <v>1.0541484994709653</v>
      </c>
      <c r="J67" s="85">
        <f t="shared" si="3"/>
        <v>2376.1</v>
      </c>
      <c r="K67" s="19">
        <f>IFERROR(Ohj.lask.[[#This Row],[Painotetut opiskelija-vuodet]]/Ohj.lask.[[#Totals],[Painotetut opiskelija-vuodet]],0)</f>
        <v>1.1787373852875357E-2</v>
      </c>
      <c r="L67" s="20">
        <f>ROUND(IFERROR('1.1 Jakotaulu'!L$10*Ohj.lask.[[#This Row],[%-osuus 1]],0),0)</f>
        <v>14023374</v>
      </c>
      <c r="M67" s="349">
        <f>IFERROR(ROUND(VLOOKUP($A67,'2.2 Tutk. ja osien pain. pist.'!$A:$Q,COLUMN('2.2 Tutk. ja osien pain. pist.'!P:P),FALSE),1),0)</f>
        <v>197398.6</v>
      </c>
      <c r="N67" s="19">
        <f>IFERROR(Ohj.lask.[[#This Row],[Painotetut pisteet 2]]/Ohj.lask.[[#Totals],[Painotetut pisteet 2]],0)</f>
        <v>1.2614611008137216E-2</v>
      </c>
      <c r="O67" s="26">
        <f>ROUND(IFERROR('1.1 Jakotaulu'!K$11*Ohj.lask.[[#This Row],[%-osuus 2]],0),0)</f>
        <v>4670900</v>
      </c>
      <c r="P67" s="350">
        <f>IFERROR(ROUND(VLOOKUP($A67,'2.3 Työll. ja jatko-opisk.'!$A:$K,COLUMN('2.3 Työll. ja jatko-opisk.'!I:I),FALSE),1),0)</f>
        <v>2623.3</v>
      </c>
      <c r="Q67" s="19">
        <f>IFERROR(Ohj.lask.[[#This Row],[Painotetut pisteet 3]]/Ohj.lask.[[#Totals],[Painotetut pisteet 3]],0)</f>
        <v>1.3848474994298652E-2</v>
      </c>
      <c r="R67" s="20">
        <f>ROUND(IFERROR('1.1 Jakotaulu'!L$13*Ohj.lask.[[#This Row],[%-osuus 3]],0),0)</f>
        <v>1922914</v>
      </c>
      <c r="S67" s="349">
        <f>IFERROR(ROUND(VLOOKUP($A67,'2.4 Aloittaneet palaute'!$A:$K,COLUMN('2.4 Aloittaneet palaute'!J:J),FALSE),1),0)</f>
        <v>17569.599999999999</v>
      </c>
      <c r="T67" s="23">
        <f>IFERROR(Ohj.lask.[[#This Row],[Painotetut pisteet 4]]/Ohj.lask.[[#Totals],[Painotetut pisteet 4]],0)</f>
        <v>1.4111711396803688E-2</v>
      </c>
      <c r="U67" s="26">
        <f>ROUND(IFERROR('1.1 Jakotaulu'!M$15*Ohj.lask.[[#This Row],[%-osuus 4]],0),0)</f>
        <v>163289</v>
      </c>
      <c r="V67" s="85">
        <f>IFERROR(ROUND(VLOOKUP($A67,'2.5 Päättäneet palaute'!$A:$AC,COLUMN('2.5 Päättäneet palaute'!AB:AB),FALSE),1),0)</f>
        <v>96449.8</v>
      </c>
      <c r="W67" s="23">
        <f>IFERROR(Ohj.lask.[[#This Row],[Painotetut pisteet 5]]/Ohj.lask.[[#Totals],[Painotetut pisteet 5]],0)</f>
        <v>1.4564847365217423E-2</v>
      </c>
      <c r="X67" s="20">
        <f>ROUND(IFERROR('1.1 Jakotaulu'!M$16*Ohj.lask.[[#This Row],[%-osuus 5]],0),0)</f>
        <v>505596</v>
      </c>
      <c r="Y67" s="22">
        <f>IFERROR(Ohj.lask.[[#This Row],[Jaettava € 6]]/Ohj.lask.[[#Totals],[Jaettava € 6]],"")</f>
        <v>1.2197553840711077E-2</v>
      </c>
      <c r="Z67" s="26">
        <f>IFERROR(Ohj.lask.[[#This Row],[Jaettava € 1]]+Ohj.lask.[[#This Row],[Jaettava € 2]]+Ohj.lask.[[#This Row],[Jaettava € 3]]+Ohj.lask.[[#This Row],[Jaettava € 4]]+Ohj.lask.[[#This Row],[Jaettava € 5]],"")</f>
        <v>21286073</v>
      </c>
      <c r="AA67" s="20">
        <v>0</v>
      </c>
      <c r="AB67" s="20">
        <v>0</v>
      </c>
      <c r="AC67" s="21">
        <v>0</v>
      </c>
      <c r="AD67" s="20">
        <v>0</v>
      </c>
      <c r="AE67" s="21">
        <v>0</v>
      </c>
      <c r="AF67" s="20">
        <v>0</v>
      </c>
      <c r="AG67" s="21">
        <v>0</v>
      </c>
      <c r="AH67" s="20">
        <v>0</v>
      </c>
      <c r="AI67" s="21">
        <v>0</v>
      </c>
      <c r="AJ67" s="26">
        <v>0</v>
      </c>
      <c r="AK67" s="20">
        <v>0</v>
      </c>
      <c r="AL67" s="20">
        <v>0</v>
      </c>
      <c r="AM67" s="21">
        <v>0</v>
      </c>
      <c r="AN67" s="136">
        <v>0</v>
      </c>
      <c r="AO67" s="20">
        <f>Ohj.lask.[[#This Row],[Jaettava € 1]]+Ohj.lask.[[#This Row],[Päätös 7, €]]</f>
        <v>14023374</v>
      </c>
      <c r="AP67" s="119">
        <f>Ohj.lask.[[#This Row],[Jaettava € 2]]</f>
        <v>4670900</v>
      </c>
      <c r="AQ67" s="20">
        <f>Ohj.lask.[[#This Row],[Jaettava € 3]]+Ohj.lask.[[#This Row],[Jaettava € 4]]+Ohj.lask.[[#This Row],[Jaettava € 5]]</f>
        <v>2591799</v>
      </c>
      <c r="AR67" s="45">
        <f>Ohj.lask.[[#This Row],[Jaettava € 6]]+Ohj.lask.[[#This Row],[Päätös 7, €]]</f>
        <v>21286073</v>
      </c>
      <c r="AS67" s="45">
        <f>ROUND(IFERROR(VLOOKUP(Ohj.lask.[[#This Row],[Y-tunnus]],'3.1 Alv vahvistettu'!A:Y,COLUMN(C:C),FALSE),0),0)</f>
        <v>0</v>
      </c>
      <c r="AT67" s="26">
        <f>Ohj.lask.[[#This Row],[Perus-, suoritus- ja vaikuttavuusrahoitus yhteensä, €]]+Ohj.lask.[[#This Row],[Alv-korvaus, €]]</f>
        <v>21286073</v>
      </c>
    </row>
    <row r="68" spans="1:46" ht="12.75" x14ac:dyDescent="0.2">
      <c r="A68" s="147" t="s">
        <v>350</v>
      </c>
      <c r="B68" s="17" t="s">
        <v>77</v>
      </c>
      <c r="C68" s="17" t="s">
        <v>256</v>
      </c>
      <c r="D68" s="17" t="s">
        <v>423</v>
      </c>
      <c r="E68" s="17" t="s">
        <v>663</v>
      </c>
      <c r="F68" s="128">
        <v>77</v>
      </c>
      <c r="G68" s="135">
        <v>193</v>
      </c>
      <c r="H68" s="44">
        <f t="shared" si="2"/>
        <v>270</v>
      </c>
      <c r="I68" s="18">
        <f>IFERROR(VLOOKUP($A68,'2.1 Toteut. op.vuodet'!$A:$Q,COLUMN('2.1 Toteut. op.vuodet'!Q:Q),FALSE),0)</f>
        <v>0.9139645561501325</v>
      </c>
      <c r="J68" s="85">
        <f t="shared" si="3"/>
        <v>246.8</v>
      </c>
      <c r="K68" s="19">
        <f>IFERROR(Ohj.lask.[[#This Row],[Painotetut opiskelija-vuodet]]/Ohj.lask.[[#Totals],[Painotetut opiskelija-vuodet]],0)</f>
        <v>1.2243272029332261E-3</v>
      </c>
      <c r="L68" s="20">
        <f>ROUND(IFERROR('1.1 Jakotaulu'!L$10*Ohj.lask.[[#This Row],[%-osuus 1]],0),0)</f>
        <v>1456575</v>
      </c>
      <c r="M68" s="349">
        <f>IFERROR(ROUND(VLOOKUP($A68,'2.2 Tutk. ja osien pain. pist.'!$A:$Q,COLUMN('2.2 Tutk. ja osien pain. pist.'!P:P),FALSE),1),0)</f>
        <v>26346.1</v>
      </c>
      <c r="N68" s="19">
        <f>IFERROR(Ohj.lask.[[#This Row],[Painotetut pisteet 2]]/Ohj.lask.[[#Totals],[Painotetut pisteet 2]],0)</f>
        <v>1.6836279643395844E-3</v>
      </c>
      <c r="O68" s="26">
        <f>ROUND(IFERROR('1.1 Jakotaulu'!K$11*Ohj.lask.[[#This Row],[%-osuus 2]],0),0)</f>
        <v>623409</v>
      </c>
      <c r="P68" s="350">
        <f>IFERROR(ROUND(VLOOKUP($A68,'2.3 Työll. ja jatko-opisk.'!$A:$K,COLUMN('2.3 Työll. ja jatko-opisk.'!I:I),FALSE),1),0)</f>
        <v>330.3</v>
      </c>
      <c r="Q68" s="19">
        <f>IFERROR(Ohj.lask.[[#This Row],[Painotetut pisteet 3]]/Ohj.lask.[[#Totals],[Painotetut pisteet 3]],0)</f>
        <v>1.7436630544035545E-3</v>
      </c>
      <c r="R68" s="20">
        <f>ROUND(IFERROR('1.1 Jakotaulu'!L$13*Ohj.lask.[[#This Row],[%-osuus 3]],0),0)</f>
        <v>242114</v>
      </c>
      <c r="S68" s="349">
        <f>IFERROR(ROUND(VLOOKUP($A68,'2.4 Aloittaneet palaute'!$A:$K,COLUMN('2.4 Aloittaneet palaute'!J:J),FALSE),1),0)</f>
        <v>4721.2</v>
      </c>
      <c r="T68" s="23">
        <f>IFERROR(Ohj.lask.[[#This Row],[Painotetut pisteet 4]]/Ohj.lask.[[#Totals],[Painotetut pisteet 4]],0)</f>
        <v>3.7920164287513418E-3</v>
      </c>
      <c r="U68" s="26">
        <f>ROUND(IFERROR('1.1 Jakotaulu'!M$15*Ohj.lask.[[#This Row],[%-osuus 4]],0),0)</f>
        <v>43878</v>
      </c>
      <c r="V68" s="85">
        <f>IFERROR(ROUND(VLOOKUP($A68,'2.5 Päättäneet palaute'!$A:$AC,COLUMN('2.5 Päättäneet palaute'!AB:AB),FALSE),1),0)</f>
        <v>30738.6</v>
      </c>
      <c r="W68" s="23">
        <f>IFERROR(Ohj.lask.[[#This Row],[Painotetut pisteet 5]]/Ohj.lask.[[#Totals],[Painotetut pisteet 5]],0)</f>
        <v>4.6418242155035283E-3</v>
      </c>
      <c r="X68" s="20">
        <f>ROUND(IFERROR('1.1 Jakotaulu'!M$16*Ohj.lask.[[#This Row],[%-osuus 5]],0),0)</f>
        <v>161134</v>
      </c>
      <c r="Y68" s="22">
        <f>IFERROR(Ohj.lask.[[#This Row],[Jaettava € 6]]/Ohj.lask.[[#Totals],[Jaettava € 6]],"")</f>
        <v>1.4481093006868562E-3</v>
      </c>
      <c r="Z68" s="26">
        <f>IFERROR(Ohj.lask.[[#This Row],[Jaettava € 1]]+Ohj.lask.[[#This Row],[Jaettava € 2]]+Ohj.lask.[[#This Row],[Jaettava € 3]]+Ohj.lask.[[#This Row],[Jaettava € 4]]+Ohj.lask.[[#This Row],[Jaettava € 5]],"")</f>
        <v>2527110</v>
      </c>
      <c r="AA68" s="20">
        <v>300000</v>
      </c>
      <c r="AB68" s="20">
        <v>0</v>
      </c>
      <c r="AC68" s="21">
        <v>0</v>
      </c>
      <c r="AD68" s="20">
        <v>0</v>
      </c>
      <c r="AE68" s="21">
        <v>800000</v>
      </c>
      <c r="AF68" s="20">
        <v>0</v>
      </c>
      <c r="AG68" s="21">
        <v>0</v>
      </c>
      <c r="AH68" s="20">
        <v>0</v>
      </c>
      <c r="AI68" s="21">
        <v>50000</v>
      </c>
      <c r="AJ68" s="26">
        <v>50000</v>
      </c>
      <c r="AK68" s="20">
        <v>0</v>
      </c>
      <c r="AL68" s="20">
        <v>0</v>
      </c>
      <c r="AM68" s="21">
        <v>1150000</v>
      </c>
      <c r="AN68" s="136">
        <v>50000</v>
      </c>
      <c r="AO68" s="20">
        <f>Ohj.lask.[[#This Row],[Jaettava € 1]]+Ohj.lask.[[#This Row],[Päätös 7, €]]</f>
        <v>1506575</v>
      </c>
      <c r="AP68" s="119">
        <f>Ohj.lask.[[#This Row],[Jaettava € 2]]</f>
        <v>623409</v>
      </c>
      <c r="AQ68" s="20">
        <f>Ohj.lask.[[#This Row],[Jaettava € 3]]+Ohj.lask.[[#This Row],[Jaettava € 4]]+Ohj.lask.[[#This Row],[Jaettava € 5]]</f>
        <v>447126</v>
      </c>
      <c r="AR68" s="45">
        <f>Ohj.lask.[[#This Row],[Jaettava € 6]]+Ohj.lask.[[#This Row],[Päätös 7, €]]</f>
        <v>2577110</v>
      </c>
      <c r="AS68" s="45">
        <f>ROUND(IFERROR(VLOOKUP(Ohj.lask.[[#This Row],[Y-tunnus]],'3.1 Alv vahvistettu'!A:Y,COLUMN(C:C),FALSE),0),0)</f>
        <v>145404</v>
      </c>
      <c r="AT68" s="26">
        <f>Ohj.lask.[[#This Row],[Perus-, suoritus- ja vaikuttavuusrahoitus yhteensä, €]]+Ohj.lask.[[#This Row],[Alv-korvaus, €]]</f>
        <v>2722514</v>
      </c>
    </row>
    <row r="69" spans="1:46" ht="12.75" x14ac:dyDescent="0.2">
      <c r="A69" s="147" t="s">
        <v>349</v>
      </c>
      <c r="B69" s="17" t="s">
        <v>78</v>
      </c>
      <c r="C69" s="17" t="s">
        <v>256</v>
      </c>
      <c r="D69" s="17" t="s">
        <v>424</v>
      </c>
      <c r="E69" s="17" t="s">
        <v>663</v>
      </c>
      <c r="F69" s="128">
        <v>2256</v>
      </c>
      <c r="G69" s="135">
        <v>260</v>
      </c>
      <c r="H69" s="44">
        <f t="shared" si="2"/>
        <v>2516</v>
      </c>
      <c r="I69" s="18">
        <f>IFERROR(VLOOKUP($A69,'2.1 Toteut. op.vuodet'!$A:$Q,COLUMN('2.1 Toteut. op.vuodet'!Q:Q),FALSE),0)</f>
        <v>1.0098258880644133</v>
      </c>
      <c r="J69" s="85">
        <f t="shared" si="3"/>
        <v>2540.6999999999998</v>
      </c>
      <c r="K69" s="19">
        <f>IFERROR(Ohj.lask.[[#This Row],[Painotetut opiskelija-vuodet]]/Ohj.lask.[[#Totals],[Painotetut opiskelija-vuodet]],0)</f>
        <v>1.2603922708640386E-2</v>
      </c>
      <c r="L69" s="20">
        <f>ROUND(IFERROR('1.1 Jakotaulu'!L$10*Ohj.lask.[[#This Row],[%-osuus 1]],0),0)</f>
        <v>14994818</v>
      </c>
      <c r="M69" s="349">
        <f>IFERROR(ROUND(VLOOKUP($A69,'2.2 Tutk. ja osien pain. pist.'!$A:$Q,COLUMN('2.2 Tutk. ja osien pain. pist.'!P:P),FALSE),1),0)</f>
        <v>220200.7</v>
      </c>
      <c r="N69" s="19">
        <f>IFERROR(Ohj.lask.[[#This Row],[Painotetut pisteet 2]]/Ohj.lask.[[#Totals],[Painotetut pisteet 2]],0)</f>
        <v>1.4071762283114068E-2</v>
      </c>
      <c r="O69" s="26">
        <f>ROUND(IFERROR('1.1 Jakotaulu'!K$11*Ohj.lask.[[#This Row],[%-osuus 2]],0),0)</f>
        <v>5210450</v>
      </c>
      <c r="P69" s="350">
        <f>IFERROR(ROUND(VLOOKUP($A69,'2.3 Työll. ja jatko-opisk.'!$A:$K,COLUMN('2.3 Työll. ja jatko-opisk.'!I:I),FALSE),1),0)</f>
        <v>2364</v>
      </c>
      <c r="Q69" s="19">
        <f>IFERROR(Ohj.lask.[[#This Row],[Painotetut pisteet 3]]/Ohj.lask.[[#Totals],[Painotetut pisteet 3]],0)</f>
        <v>1.2479622950681207E-2</v>
      </c>
      <c r="R69" s="20">
        <f>ROUND(IFERROR('1.1 Jakotaulu'!L$13*Ohj.lask.[[#This Row],[%-osuus 3]],0),0)</f>
        <v>1732844</v>
      </c>
      <c r="S69" s="349">
        <f>IFERROR(ROUND(VLOOKUP($A69,'2.4 Aloittaneet palaute'!$A:$K,COLUMN('2.4 Aloittaneet palaute'!J:J),FALSE),1),0)</f>
        <v>13529.1</v>
      </c>
      <c r="T69" s="23">
        <f>IFERROR(Ohj.lask.[[#This Row],[Painotetut pisteet 4]]/Ohj.lask.[[#Totals],[Painotetut pisteet 4]],0)</f>
        <v>1.0866425795607003E-2</v>
      </c>
      <c r="U69" s="26">
        <f>ROUND(IFERROR('1.1 Jakotaulu'!M$15*Ohj.lask.[[#This Row],[%-osuus 4]],0),0)</f>
        <v>125737</v>
      </c>
      <c r="V69" s="85">
        <f>IFERROR(ROUND(VLOOKUP($A69,'2.5 Päättäneet palaute'!$A:$AC,COLUMN('2.5 Päättäneet palaute'!AB:AB),FALSE),1),0)</f>
        <v>92229.9</v>
      </c>
      <c r="W69" s="23">
        <f>IFERROR(Ohj.lask.[[#This Row],[Painotetut pisteet 5]]/Ohj.lask.[[#Totals],[Painotetut pisteet 5]],0)</f>
        <v>1.392760188211138E-2</v>
      </c>
      <c r="X69" s="20">
        <f>ROUND(IFERROR('1.1 Jakotaulu'!M$16*Ohj.lask.[[#This Row],[%-osuus 5]],0),0)</f>
        <v>483475</v>
      </c>
      <c r="Y69" s="22">
        <f>IFERROR(Ohj.lask.[[#This Row],[Jaettava € 6]]/Ohj.lask.[[#Totals],[Jaettava € 6]],"")</f>
        <v>1.2920288230429212E-2</v>
      </c>
      <c r="Z69" s="26">
        <f>IFERROR(Ohj.lask.[[#This Row],[Jaettava € 1]]+Ohj.lask.[[#This Row],[Jaettava € 2]]+Ohj.lask.[[#This Row],[Jaettava € 3]]+Ohj.lask.[[#This Row],[Jaettava € 4]]+Ohj.lask.[[#This Row],[Jaettava € 5]],"")</f>
        <v>22547324</v>
      </c>
      <c r="AA69" s="20">
        <v>222950</v>
      </c>
      <c r="AB69" s="20">
        <v>0</v>
      </c>
      <c r="AC69" s="21">
        <v>0</v>
      </c>
      <c r="AD69" s="20">
        <v>0</v>
      </c>
      <c r="AE69" s="21">
        <v>0</v>
      </c>
      <c r="AF69" s="20">
        <v>0</v>
      </c>
      <c r="AG69" s="21">
        <v>0</v>
      </c>
      <c r="AH69" s="20">
        <v>60000</v>
      </c>
      <c r="AI69" s="21">
        <v>100000</v>
      </c>
      <c r="AJ69" s="26">
        <v>100000</v>
      </c>
      <c r="AK69" s="20">
        <v>0</v>
      </c>
      <c r="AL69" s="20">
        <v>0</v>
      </c>
      <c r="AM69" s="21">
        <v>322950</v>
      </c>
      <c r="AN69" s="136">
        <v>160000</v>
      </c>
      <c r="AO69" s="20">
        <f>Ohj.lask.[[#This Row],[Jaettava € 1]]+Ohj.lask.[[#This Row],[Päätös 7, €]]</f>
        <v>15154818</v>
      </c>
      <c r="AP69" s="119">
        <f>Ohj.lask.[[#This Row],[Jaettava € 2]]</f>
        <v>5210450</v>
      </c>
      <c r="AQ69" s="20">
        <f>Ohj.lask.[[#This Row],[Jaettava € 3]]+Ohj.lask.[[#This Row],[Jaettava € 4]]+Ohj.lask.[[#This Row],[Jaettava € 5]]</f>
        <v>2342056</v>
      </c>
      <c r="AR69" s="45">
        <f>Ohj.lask.[[#This Row],[Jaettava € 6]]+Ohj.lask.[[#This Row],[Päätös 7, €]]</f>
        <v>22707324</v>
      </c>
      <c r="AS69" s="45">
        <f>ROUND(IFERROR(VLOOKUP(Ohj.lask.[[#This Row],[Y-tunnus]],'3.1 Alv vahvistettu'!A:Y,COLUMN(C:C),FALSE),0),0)</f>
        <v>0</v>
      </c>
      <c r="AT69" s="26">
        <f>Ohj.lask.[[#This Row],[Perus-, suoritus- ja vaikuttavuusrahoitus yhteensä, €]]+Ohj.lask.[[#This Row],[Alv-korvaus, €]]</f>
        <v>22707324</v>
      </c>
    </row>
    <row r="70" spans="1:46" ht="12.75" x14ac:dyDescent="0.2">
      <c r="A70" s="147" t="s">
        <v>345</v>
      </c>
      <c r="B70" s="17" t="s">
        <v>79</v>
      </c>
      <c r="C70" s="17" t="s">
        <v>246</v>
      </c>
      <c r="D70" s="17" t="s">
        <v>423</v>
      </c>
      <c r="E70" s="17" t="s">
        <v>663</v>
      </c>
      <c r="F70" s="128">
        <v>82</v>
      </c>
      <c r="G70" s="135">
        <v>18</v>
      </c>
      <c r="H70" s="44">
        <f t="shared" ref="H70:H101" si="4">IFERROR(F70+G70,0)</f>
        <v>100</v>
      </c>
      <c r="I70" s="18">
        <f>IFERROR(VLOOKUP($A70,'2.1 Toteut. op.vuodet'!$A:$Q,COLUMN('2.1 Toteut. op.vuodet'!Q:Q),FALSE),0)</f>
        <v>0.75264525828721907</v>
      </c>
      <c r="J70" s="85">
        <f t="shared" ref="J70:J101" si="5">IFERROR(ROUND(H70*I70,1),0)</f>
        <v>75.3</v>
      </c>
      <c r="K70" s="19">
        <f>IFERROR(Ohj.lask.[[#This Row],[Painotetut opiskelija-vuodet]]/Ohj.lask.[[#Totals],[Painotetut opiskelija-vuodet]],0)</f>
        <v>3.7354877788035623E-4</v>
      </c>
      <c r="L70" s="20">
        <f>ROUND(IFERROR('1.1 Jakotaulu'!L$10*Ohj.lask.[[#This Row],[%-osuus 1]],0),0)</f>
        <v>444409</v>
      </c>
      <c r="M70" s="349">
        <f>IFERROR(ROUND(VLOOKUP($A70,'2.2 Tutk. ja osien pain. pist.'!$A:$Q,COLUMN('2.2 Tutk. ja osien pain. pist.'!P:P),FALSE),1),0)</f>
        <v>6855.9</v>
      </c>
      <c r="N70" s="19">
        <f>IFERROR(Ohj.lask.[[#This Row],[Painotetut pisteet 2]]/Ohj.lask.[[#Totals],[Painotetut pisteet 2]],0)</f>
        <v>4.3812120050845308E-4</v>
      </c>
      <c r="O70" s="26">
        <f>ROUND(IFERROR('1.1 Jakotaulu'!K$11*Ohj.lask.[[#This Row],[%-osuus 2]],0),0)</f>
        <v>162226</v>
      </c>
      <c r="P70" s="350">
        <f>IFERROR(ROUND(VLOOKUP($A70,'2.3 Työll. ja jatko-opisk.'!$A:$K,COLUMN('2.3 Työll. ja jatko-opisk.'!I:I),FALSE),1),0)</f>
        <v>110.4</v>
      </c>
      <c r="Q70" s="19">
        <f>IFERROR(Ohj.lask.[[#This Row],[Painotetut pisteet 3]]/Ohj.lask.[[#Totals],[Painotetut pisteet 3]],0)</f>
        <v>5.8280472663079744E-4</v>
      </c>
      <c r="R70" s="20">
        <f>ROUND(IFERROR('1.1 Jakotaulu'!L$13*Ohj.lask.[[#This Row],[%-osuus 3]],0),0)</f>
        <v>80925</v>
      </c>
      <c r="S70" s="349">
        <f>IFERROR(ROUND(VLOOKUP($A70,'2.4 Aloittaneet palaute'!$A:$K,COLUMN('2.4 Aloittaneet palaute'!J:J),FALSE),1),0)</f>
        <v>1247.7</v>
      </c>
      <c r="T70" s="23">
        <f>IFERROR(Ohj.lask.[[#This Row],[Painotetut pisteet 4]]/Ohj.lask.[[#Totals],[Painotetut pisteet 4]],0)</f>
        <v>1.0021390532392294E-3</v>
      </c>
      <c r="U70" s="26">
        <f>ROUND(IFERROR('1.1 Jakotaulu'!M$15*Ohj.lask.[[#This Row],[%-osuus 4]],0),0)</f>
        <v>11596</v>
      </c>
      <c r="V70" s="85">
        <f>IFERROR(ROUND(VLOOKUP($A70,'2.5 Päättäneet palaute'!$A:$AC,COLUMN('2.5 Päättäneet palaute'!AB:AB),FALSE),1),0)</f>
        <v>7243.1</v>
      </c>
      <c r="W70" s="23">
        <f>IFERROR(Ohj.lask.[[#This Row],[Painotetut pisteet 5]]/Ohj.lask.[[#Totals],[Painotetut pisteet 5]],0)</f>
        <v>1.0937777574552389E-3</v>
      </c>
      <c r="X70" s="20">
        <f>ROUND(IFERROR('1.1 Jakotaulu'!M$16*Ohj.lask.[[#This Row],[%-osuus 5]],0),0)</f>
        <v>37969</v>
      </c>
      <c r="Y70" s="22">
        <f>IFERROR(Ohj.lask.[[#This Row],[Jaettava € 6]]/Ohj.lask.[[#Totals],[Jaettava € 6]],"")</f>
        <v>4.223945804768288E-4</v>
      </c>
      <c r="Z70" s="26">
        <f>IFERROR(Ohj.lask.[[#This Row],[Jaettava € 1]]+Ohj.lask.[[#This Row],[Jaettava € 2]]+Ohj.lask.[[#This Row],[Jaettava € 3]]+Ohj.lask.[[#This Row],[Jaettava € 4]]+Ohj.lask.[[#This Row],[Jaettava € 5]],"")</f>
        <v>737125</v>
      </c>
      <c r="AA70" s="20">
        <v>0</v>
      </c>
      <c r="AB70" s="20">
        <v>0</v>
      </c>
      <c r="AC70" s="21">
        <v>0</v>
      </c>
      <c r="AD70" s="20">
        <v>0</v>
      </c>
      <c r="AE70" s="21">
        <v>0</v>
      </c>
      <c r="AF70" s="20">
        <v>0</v>
      </c>
      <c r="AG70" s="21">
        <v>0</v>
      </c>
      <c r="AH70" s="20">
        <v>0</v>
      </c>
      <c r="AI70" s="21">
        <v>10000</v>
      </c>
      <c r="AJ70" s="26">
        <v>0</v>
      </c>
      <c r="AK70" s="20">
        <v>0</v>
      </c>
      <c r="AL70" s="20">
        <v>0</v>
      </c>
      <c r="AM70" s="21">
        <v>10000</v>
      </c>
      <c r="AN70" s="136">
        <v>0</v>
      </c>
      <c r="AO70" s="20">
        <f>Ohj.lask.[[#This Row],[Jaettava € 1]]+Ohj.lask.[[#This Row],[Päätös 7, €]]</f>
        <v>444409</v>
      </c>
      <c r="AP70" s="119">
        <f>Ohj.lask.[[#This Row],[Jaettava € 2]]</f>
        <v>162226</v>
      </c>
      <c r="AQ70" s="20">
        <f>Ohj.lask.[[#This Row],[Jaettava € 3]]+Ohj.lask.[[#This Row],[Jaettava € 4]]+Ohj.lask.[[#This Row],[Jaettava € 5]]</f>
        <v>130490</v>
      </c>
      <c r="AR70" s="45">
        <f>Ohj.lask.[[#This Row],[Jaettava € 6]]+Ohj.lask.[[#This Row],[Päätös 7, €]]</f>
        <v>737125</v>
      </c>
      <c r="AS70" s="45">
        <f>ROUND(IFERROR(VLOOKUP(Ohj.lask.[[#This Row],[Y-tunnus]],'3.1 Alv vahvistettu'!A:Y,COLUMN(C:C),FALSE),0),0)</f>
        <v>27484</v>
      </c>
      <c r="AT70" s="26">
        <f>Ohj.lask.[[#This Row],[Perus-, suoritus- ja vaikuttavuusrahoitus yhteensä, €]]+Ohj.lask.[[#This Row],[Alv-korvaus, €]]</f>
        <v>764609</v>
      </c>
    </row>
    <row r="71" spans="1:46" ht="12.75" x14ac:dyDescent="0.2">
      <c r="A71" s="147" t="s">
        <v>344</v>
      </c>
      <c r="B71" s="17" t="s">
        <v>80</v>
      </c>
      <c r="C71" s="17" t="s">
        <v>242</v>
      </c>
      <c r="D71" s="17" t="s">
        <v>423</v>
      </c>
      <c r="E71" s="17" t="s">
        <v>663</v>
      </c>
      <c r="F71" s="128">
        <v>52</v>
      </c>
      <c r="G71" s="135">
        <v>0</v>
      </c>
      <c r="H71" s="44">
        <f t="shared" si="4"/>
        <v>52</v>
      </c>
      <c r="I71" s="18">
        <f>IFERROR(VLOOKUP($A71,'2.1 Toteut. op.vuodet'!$A:$Q,COLUMN('2.1 Toteut. op.vuodet'!Q:Q),FALSE),0)</f>
        <v>1.5900000000000025</v>
      </c>
      <c r="J71" s="85">
        <f t="shared" si="5"/>
        <v>82.7</v>
      </c>
      <c r="K71" s="19">
        <f>IFERROR(Ohj.lask.[[#This Row],[Painotetut opiskelija-vuodet]]/Ohj.lask.[[#Totals],[Painotetut opiskelija-vuodet]],0)</f>
        <v>4.1025875073978039E-4</v>
      </c>
      <c r="L71" s="20">
        <f>ROUND(IFERROR('1.1 Jakotaulu'!L$10*Ohj.lask.[[#This Row],[%-osuus 1]],0),0)</f>
        <v>488083</v>
      </c>
      <c r="M71" s="349">
        <f>IFERROR(ROUND(VLOOKUP($A71,'2.2 Tutk. ja osien pain. pist.'!$A:$Q,COLUMN('2.2 Tutk. ja osien pain. pist.'!P:P),FALSE),1),0)</f>
        <v>9797.7000000000007</v>
      </c>
      <c r="N71" s="19">
        <f>IFERROR(Ohj.lask.[[#This Row],[Painotetut pisteet 2]]/Ohj.lask.[[#Totals],[Painotetut pisteet 2]],0)</f>
        <v>6.2611474587168298E-4</v>
      </c>
      <c r="O71" s="26">
        <f>ROUND(IFERROR('1.1 Jakotaulu'!K$11*Ohj.lask.[[#This Row],[%-osuus 2]],0),0)</f>
        <v>231836</v>
      </c>
      <c r="P71" s="350">
        <f>IFERROR(ROUND(VLOOKUP($A71,'2.3 Työll. ja jatko-opisk.'!$A:$K,COLUMN('2.3 Työll. ja jatko-opisk.'!I:I),FALSE),1),0)</f>
        <v>99.6</v>
      </c>
      <c r="Q71" s="19">
        <f>IFERROR(Ohj.lask.[[#This Row],[Painotetut pisteet 3]]/Ohj.lask.[[#Totals],[Painotetut pisteet 3]],0)</f>
        <v>5.2579122076474119E-4</v>
      </c>
      <c r="R71" s="20">
        <f>ROUND(IFERROR('1.1 Jakotaulu'!L$13*Ohj.lask.[[#This Row],[%-osuus 3]],0),0)</f>
        <v>73008</v>
      </c>
      <c r="S71" s="349">
        <f>IFERROR(ROUND(VLOOKUP($A71,'2.4 Aloittaneet palaute'!$A:$K,COLUMN('2.4 Aloittaneet palaute'!J:J),FALSE),1),0)</f>
        <v>328.7</v>
      </c>
      <c r="T71" s="23">
        <f>IFERROR(Ohj.lask.[[#This Row],[Painotetut pisteet 4]]/Ohj.lask.[[#Totals],[Painotetut pisteet 4]],0)</f>
        <v>2.6400826063936419E-4</v>
      </c>
      <c r="U71" s="26">
        <f>ROUND(IFERROR('1.1 Jakotaulu'!M$15*Ohj.lask.[[#This Row],[%-osuus 4]],0),0)</f>
        <v>3055</v>
      </c>
      <c r="V71" s="85">
        <f>IFERROR(ROUND(VLOOKUP($A71,'2.5 Päättäneet palaute'!$A:$AC,COLUMN('2.5 Päättäneet palaute'!AB:AB),FALSE),1),0)</f>
        <v>1125</v>
      </c>
      <c r="W71" s="23">
        <f>IFERROR(Ohj.lask.[[#This Row],[Painotetut pisteet 5]]/Ohj.lask.[[#Totals],[Painotetut pisteet 5]],0)</f>
        <v>1.6988581921237368E-4</v>
      </c>
      <c r="X71" s="20">
        <f>ROUND(IFERROR('1.1 Jakotaulu'!M$16*Ohj.lask.[[#This Row],[%-osuus 5]],0),0)</f>
        <v>5897</v>
      </c>
      <c r="Y71" s="22">
        <f>IFERROR(Ohj.lask.[[#This Row],[Jaettava € 6]]/Ohj.lask.[[#Totals],[Jaettava € 6]],"")</f>
        <v>4.5950055119305274E-4</v>
      </c>
      <c r="Z71" s="26">
        <f>IFERROR(Ohj.lask.[[#This Row],[Jaettava € 1]]+Ohj.lask.[[#This Row],[Jaettava € 2]]+Ohj.lask.[[#This Row],[Jaettava € 3]]+Ohj.lask.[[#This Row],[Jaettava € 4]]+Ohj.lask.[[#This Row],[Jaettava € 5]],"")</f>
        <v>801879</v>
      </c>
      <c r="AA71" s="20">
        <v>0</v>
      </c>
      <c r="AB71" s="20">
        <v>0</v>
      </c>
      <c r="AC71" s="21">
        <v>0</v>
      </c>
      <c r="AD71" s="20">
        <v>0</v>
      </c>
      <c r="AE71" s="21">
        <v>120000</v>
      </c>
      <c r="AF71" s="20">
        <v>0</v>
      </c>
      <c r="AG71" s="21">
        <v>0</v>
      </c>
      <c r="AH71" s="20">
        <v>0</v>
      </c>
      <c r="AI71" s="21">
        <v>0</v>
      </c>
      <c r="AJ71" s="26">
        <v>0</v>
      </c>
      <c r="AK71" s="20">
        <v>0</v>
      </c>
      <c r="AL71" s="20">
        <v>0</v>
      </c>
      <c r="AM71" s="21">
        <v>120000</v>
      </c>
      <c r="AN71" s="136">
        <v>0</v>
      </c>
      <c r="AO71" s="20">
        <f>Ohj.lask.[[#This Row],[Jaettava € 1]]+Ohj.lask.[[#This Row],[Päätös 7, €]]</f>
        <v>488083</v>
      </c>
      <c r="AP71" s="119">
        <f>Ohj.lask.[[#This Row],[Jaettava € 2]]</f>
        <v>231836</v>
      </c>
      <c r="AQ71" s="20">
        <f>Ohj.lask.[[#This Row],[Jaettava € 3]]+Ohj.lask.[[#This Row],[Jaettava € 4]]+Ohj.lask.[[#This Row],[Jaettava € 5]]</f>
        <v>81960</v>
      </c>
      <c r="AR71" s="45">
        <f>Ohj.lask.[[#This Row],[Jaettava € 6]]+Ohj.lask.[[#This Row],[Päätös 7, €]]</f>
        <v>801879</v>
      </c>
      <c r="AS71" s="45">
        <f>ROUND(IFERROR(VLOOKUP(Ohj.lask.[[#This Row],[Y-tunnus]],'3.1 Alv vahvistettu'!A:Y,COLUMN(C:C),FALSE),0),0)</f>
        <v>13349</v>
      </c>
      <c r="AT71" s="26">
        <f>Ohj.lask.[[#This Row],[Perus-, suoritus- ja vaikuttavuusrahoitus yhteensä, €]]+Ohj.lask.[[#This Row],[Alv-korvaus, €]]</f>
        <v>815228</v>
      </c>
    </row>
    <row r="72" spans="1:46" ht="12.75" x14ac:dyDescent="0.2">
      <c r="A72" s="147" t="s">
        <v>343</v>
      </c>
      <c r="B72" s="17" t="s">
        <v>81</v>
      </c>
      <c r="C72" s="17" t="s">
        <v>242</v>
      </c>
      <c r="D72" s="17" t="s">
        <v>423</v>
      </c>
      <c r="E72" s="17" t="s">
        <v>663</v>
      </c>
      <c r="F72" s="128">
        <v>90</v>
      </c>
      <c r="G72" s="135">
        <v>0</v>
      </c>
      <c r="H72" s="44">
        <f t="shared" si="4"/>
        <v>90</v>
      </c>
      <c r="I72" s="18">
        <f>IFERROR(VLOOKUP($A72,'2.1 Toteut. op.vuodet'!$A:$Q,COLUMN('2.1 Toteut. op.vuodet'!Q:Q),FALSE),0)</f>
        <v>1.079667167650741</v>
      </c>
      <c r="J72" s="85">
        <f t="shared" si="5"/>
        <v>97.2</v>
      </c>
      <c r="K72" s="19">
        <f>IFERROR(Ohj.lask.[[#This Row],[Painotetut opiskelija-vuodet]]/Ohj.lask.[[#Totals],[Painotetut opiskelija-vuodet]],0)</f>
        <v>4.8219045431567895E-4</v>
      </c>
      <c r="L72" s="20">
        <f>ROUND(IFERROR('1.1 Jakotaulu'!L$10*Ohj.lask.[[#This Row],[%-osuus 1]],0),0)</f>
        <v>573659</v>
      </c>
      <c r="M72" s="349">
        <f>IFERROR(ROUND(VLOOKUP($A72,'2.2 Tutk. ja osien pain. pist.'!$A:$Q,COLUMN('2.2 Tutk. ja osien pain. pist.'!P:P),FALSE),1),0)</f>
        <v>11784.8</v>
      </c>
      <c r="N72" s="19">
        <f>IFERROR(Ohj.lask.[[#This Row],[Painotetut pisteet 2]]/Ohj.lask.[[#Totals],[Painotetut pisteet 2]],0)</f>
        <v>7.5309889638880639E-4</v>
      </c>
      <c r="O72" s="26">
        <f>ROUND(IFERROR('1.1 Jakotaulu'!K$11*Ohj.lask.[[#This Row],[%-osuus 2]],0),0)</f>
        <v>278855</v>
      </c>
      <c r="P72" s="350">
        <f>IFERROR(ROUND(VLOOKUP($A72,'2.3 Työll. ja jatko-opisk.'!$A:$K,COLUMN('2.3 Työll. ja jatko-opisk.'!I:I),FALSE),1),0)</f>
        <v>94.1</v>
      </c>
      <c r="Q72" s="19">
        <f>IFERROR(Ohj.lask.[[#This Row],[Painotetut pisteet 3]]/Ohj.lask.[[#Totals],[Painotetut pisteet 3]],0)</f>
        <v>4.967565649996199E-4</v>
      </c>
      <c r="R72" s="20">
        <f>ROUND(IFERROR('1.1 Jakotaulu'!L$13*Ohj.lask.[[#This Row],[%-osuus 3]],0),0)</f>
        <v>68977</v>
      </c>
      <c r="S72" s="349">
        <f>IFERROR(ROUND(VLOOKUP($A72,'2.4 Aloittaneet palaute'!$A:$K,COLUMN('2.4 Aloittaneet palaute'!J:J),FALSE),1),0)</f>
        <v>904.8</v>
      </c>
      <c r="T72" s="23">
        <f>IFERROR(Ohj.lask.[[#This Row],[Painotetut pisteet 4]]/Ohj.lask.[[#Totals],[Painotetut pisteet 4]],0)</f>
        <v>7.2672550722998686E-4</v>
      </c>
      <c r="U72" s="26">
        <f>ROUND(IFERROR('1.1 Jakotaulu'!M$15*Ohj.lask.[[#This Row],[%-osuus 4]],0),0)</f>
        <v>8409</v>
      </c>
      <c r="V72" s="85">
        <f>IFERROR(ROUND(VLOOKUP($A72,'2.5 Päättäneet palaute'!$A:$AC,COLUMN('2.5 Päättäneet palaute'!AB:AB),FALSE),1),0)</f>
        <v>7979.6</v>
      </c>
      <c r="W72" s="23">
        <f>IFERROR(Ohj.lask.[[#This Row],[Painotetut pisteet 5]]/Ohj.lask.[[#Totals],[Painotetut pisteet 5]],0)</f>
        <v>1.2049963404329397E-3</v>
      </c>
      <c r="X72" s="20">
        <f>ROUND(IFERROR('1.1 Jakotaulu'!M$16*Ohj.lask.[[#This Row],[%-osuus 5]],0),0)</f>
        <v>41830</v>
      </c>
      <c r="Y72" s="22">
        <f>IFERROR(Ohj.lask.[[#This Row],[Jaettava € 6]]/Ohj.lask.[[#Totals],[Jaettava € 6]],"")</f>
        <v>5.5683023325317797E-4</v>
      </c>
      <c r="Z72" s="26">
        <f>IFERROR(Ohj.lask.[[#This Row],[Jaettava € 1]]+Ohj.lask.[[#This Row],[Jaettava € 2]]+Ohj.lask.[[#This Row],[Jaettava € 3]]+Ohj.lask.[[#This Row],[Jaettava € 4]]+Ohj.lask.[[#This Row],[Jaettava € 5]],"")</f>
        <v>971730</v>
      </c>
      <c r="AA72" s="20">
        <v>0</v>
      </c>
      <c r="AB72" s="20">
        <v>0</v>
      </c>
      <c r="AC72" s="21">
        <v>0</v>
      </c>
      <c r="AD72" s="20">
        <v>0</v>
      </c>
      <c r="AE72" s="21">
        <v>0</v>
      </c>
      <c r="AF72" s="20">
        <v>0</v>
      </c>
      <c r="AG72" s="21">
        <v>0</v>
      </c>
      <c r="AH72" s="20">
        <v>0</v>
      </c>
      <c r="AI72" s="21">
        <v>0</v>
      </c>
      <c r="AJ72" s="26">
        <v>0</v>
      </c>
      <c r="AK72" s="20">
        <v>0</v>
      </c>
      <c r="AL72" s="20">
        <v>0</v>
      </c>
      <c r="AM72" s="21">
        <v>0</v>
      </c>
      <c r="AN72" s="136">
        <v>0</v>
      </c>
      <c r="AO72" s="20">
        <f>Ohj.lask.[[#This Row],[Jaettava € 1]]+Ohj.lask.[[#This Row],[Päätös 7, €]]</f>
        <v>573659</v>
      </c>
      <c r="AP72" s="119">
        <f>Ohj.lask.[[#This Row],[Jaettava € 2]]</f>
        <v>278855</v>
      </c>
      <c r="AQ72" s="20">
        <f>Ohj.lask.[[#This Row],[Jaettava € 3]]+Ohj.lask.[[#This Row],[Jaettava € 4]]+Ohj.lask.[[#This Row],[Jaettava € 5]]</f>
        <v>119216</v>
      </c>
      <c r="AR72" s="45">
        <f>Ohj.lask.[[#This Row],[Jaettava € 6]]+Ohj.lask.[[#This Row],[Päätös 7, €]]</f>
        <v>971730</v>
      </c>
      <c r="AS72" s="45">
        <f>ROUND(IFERROR(VLOOKUP(Ohj.lask.[[#This Row],[Y-tunnus]],'3.1 Alv vahvistettu'!A:Y,COLUMN(C:C),FALSE),0),0)</f>
        <v>57260</v>
      </c>
      <c r="AT72" s="26">
        <f>Ohj.lask.[[#This Row],[Perus-, suoritus- ja vaikuttavuusrahoitus yhteensä, €]]+Ohj.lask.[[#This Row],[Alv-korvaus, €]]</f>
        <v>1028990</v>
      </c>
    </row>
    <row r="73" spans="1:46" ht="12.75" x14ac:dyDescent="0.2">
      <c r="A73" s="147" t="s">
        <v>342</v>
      </c>
      <c r="B73" s="17" t="s">
        <v>82</v>
      </c>
      <c r="C73" s="17" t="s">
        <v>271</v>
      </c>
      <c r="D73" s="17" t="s">
        <v>423</v>
      </c>
      <c r="E73" s="17" t="s">
        <v>663</v>
      </c>
      <c r="F73" s="128">
        <v>139</v>
      </c>
      <c r="G73" s="135">
        <v>10</v>
      </c>
      <c r="H73" s="44">
        <f t="shared" si="4"/>
        <v>149</v>
      </c>
      <c r="I73" s="18">
        <f>IFERROR(VLOOKUP($A73,'2.1 Toteut. op.vuodet'!$A:$Q,COLUMN('2.1 Toteut. op.vuodet'!Q:Q),FALSE),0)</f>
        <v>1.3139855592017669</v>
      </c>
      <c r="J73" s="85">
        <f t="shared" si="5"/>
        <v>195.8</v>
      </c>
      <c r="K73" s="19">
        <f>IFERROR(Ohj.lask.[[#This Row],[Painotetut opiskelija-vuodet]]/Ohj.lask.[[#Totals],[Painotetut opiskelija-vuodet]],0)</f>
        <v>9.7132603863178961E-4</v>
      </c>
      <c r="L73" s="20">
        <f>ROUND(IFERROR('1.1 Jakotaulu'!L$10*Ohj.lask.[[#This Row],[%-osuus 1]],0),0)</f>
        <v>1155581</v>
      </c>
      <c r="M73" s="349">
        <f>IFERROR(ROUND(VLOOKUP($A73,'2.2 Tutk. ja osien pain. pist.'!$A:$Q,COLUMN('2.2 Tutk. ja osien pain. pist.'!P:P),FALSE),1),0)</f>
        <v>19714.900000000001</v>
      </c>
      <c r="N73" s="19">
        <f>IFERROR(Ohj.lask.[[#This Row],[Painotetut pisteet 2]]/Ohj.lask.[[#Totals],[Painotetut pisteet 2]],0)</f>
        <v>1.259866050541009E-3</v>
      </c>
      <c r="O73" s="26">
        <f>ROUND(IFERROR('1.1 Jakotaulu'!K$11*Ohj.lask.[[#This Row],[%-osuus 2]],0),0)</f>
        <v>466499</v>
      </c>
      <c r="P73" s="350">
        <f>IFERROR(ROUND(VLOOKUP($A73,'2.3 Työll. ja jatko-opisk.'!$A:$K,COLUMN('2.3 Työll. ja jatko-opisk.'!I:I),FALSE),1),0)</f>
        <v>197.7</v>
      </c>
      <c r="Q73" s="19">
        <f>IFERROR(Ohj.lask.[[#This Row],[Painotetut pisteet 3]]/Ohj.lask.[[#Totals],[Painotetut pisteet 3]],0)</f>
        <v>1.0436638990480856E-3</v>
      </c>
      <c r="R73" s="20">
        <f>ROUND(IFERROR('1.1 Jakotaulu'!L$13*Ohj.lask.[[#This Row],[%-osuus 3]],0),0)</f>
        <v>144917</v>
      </c>
      <c r="S73" s="349">
        <f>IFERROR(ROUND(VLOOKUP($A73,'2.4 Aloittaneet palaute'!$A:$K,COLUMN('2.4 Aloittaneet palaute'!J:J),FALSE),1),0)</f>
        <v>1448.6</v>
      </c>
      <c r="T73" s="23">
        <f>IFERROR(Ohj.lask.[[#This Row],[Painotetut pisteet 4]]/Ohj.lask.[[#Totals],[Painotetut pisteet 4]],0)</f>
        <v>1.1634997455496894E-3</v>
      </c>
      <c r="U73" s="26">
        <f>ROUND(IFERROR('1.1 Jakotaulu'!M$15*Ohj.lask.[[#This Row],[%-osuus 4]],0),0)</f>
        <v>13463</v>
      </c>
      <c r="V73" s="85">
        <f>IFERROR(ROUND(VLOOKUP($A73,'2.5 Päättäneet palaute'!$A:$AC,COLUMN('2.5 Päättäneet palaute'!AB:AB),FALSE),1),0)</f>
        <v>13886.8</v>
      </c>
      <c r="W73" s="23">
        <f>IFERROR(Ohj.lask.[[#This Row],[Painotetut pisteet 5]]/Ohj.lask.[[#Totals],[Painotetut pisteet 5]],0)</f>
        <v>2.097040350434125E-3</v>
      </c>
      <c r="X73" s="20">
        <f>ROUND(IFERROR('1.1 Jakotaulu'!M$16*Ohj.lask.[[#This Row],[%-osuus 5]],0),0)</f>
        <v>72796</v>
      </c>
      <c r="Y73" s="22">
        <f>IFERROR(Ohj.lask.[[#This Row],[Jaettava € 6]]/Ohj.lask.[[#Totals],[Jaettava € 6]],"")</f>
        <v>1.0619708877546764E-3</v>
      </c>
      <c r="Z73" s="26">
        <f>IFERROR(Ohj.lask.[[#This Row],[Jaettava € 1]]+Ohj.lask.[[#This Row],[Jaettava € 2]]+Ohj.lask.[[#This Row],[Jaettava € 3]]+Ohj.lask.[[#This Row],[Jaettava € 4]]+Ohj.lask.[[#This Row],[Jaettava € 5]],"")</f>
        <v>1853256</v>
      </c>
      <c r="AA73" s="20">
        <v>0</v>
      </c>
      <c r="AB73" s="20">
        <v>0</v>
      </c>
      <c r="AC73" s="21">
        <v>0</v>
      </c>
      <c r="AD73" s="20">
        <v>0</v>
      </c>
      <c r="AE73" s="21">
        <v>0</v>
      </c>
      <c r="AF73" s="20">
        <v>0</v>
      </c>
      <c r="AG73" s="21">
        <v>0</v>
      </c>
      <c r="AH73" s="20">
        <v>0</v>
      </c>
      <c r="AI73" s="21">
        <v>0</v>
      </c>
      <c r="AJ73" s="26">
        <v>0</v>
      </c>
      <c r="AK73" s="20">
        <v>0</v>
      </c>
      <c r="AL73" s="20">
        <v>0</v>
      </c>
      <c r="AM73" s="21">
        <v>0</v>
      </c>
      <c r="AN73" s="136">
        <v>0</v>
      </c>
      <c r="AO73" s="20">
        <f>Ohj.lask.[[#This Row],[Jaettava € 1]]+Ohj.lask.[[#This Row],[Päätös 7, €]]</f>
        <v>1155581</v>
      </c>
      <c r="AP73" s="119">
        <f>Ohj.lask.[[#This Row],[Jaettava € 2]]</f>
        <v>466499</v>
      </c>
      <c r="AQ73" s="20">
        <f>Ohj.lask.[[#This Row],[Jaettava € 3]]+Ohj.lask.[[#This Row],[Jaettava € 4]]+Ohj.lask.[[#This Row],[Jaettava € 5]]</f>
        <v>231176</v>
      </c>
      <c r="AR73" s="45">
        <f>Ohj.lask.[[#This Row],[Jaettava € 6]]+Ohj.lask.[[#This Row],[Päätös 7, €]]</f>
        <v>1853256</v>
      </c>
      <c r="AS73" s="45">
        <f>ROUND(IFERROR(VLOOKUP(Ohj.lask.[[#This Row],[Y-tunnus]],'3.1 Alv vahvistettu'!A:Y,COLUMN(C:C),FALSE),0),0)</f>
        <v>142721</v>
      </c>
      <c r="AT73" s="26">
        <f>Ohj.lask.[[#This Row],[Perus-, suoritus- ja vaikuttavuusrahoitus yhteensä, €]]+Ohj.lask.[[#This Row],[Alv-korvaus, €]]</f>
        <v>1995977</v>
      </c>
    </row>
    <row r="74" spans="1:46" ht="12.75" x14ac:dyDescent="0.2">
      <c r="A74" s="147" t="s">
        <v>340</v>
      </c>
      <c r="B74" s="17" t="s">
        <v>172</v>
      </c>
      <c r="C74" s="17" t="s">
        <v>244</v>
      </c>
      <c r="D74" s="17" t="s">
        <v>422</v>
      </c>
      <c r="E74" s="17" t="s">
        <v>664</v>
      </c>
      <c r="F74" s="128">
        <v>32</v>
      </c>
      <c r="G74" s="135">
        <v>0</v>
      </c>
      <c r="H74" s="44">
        <f t="shared" si="4"/>
        <v>32</v>
      </c>
      <c r="I74" s="18">
        <f>IFERROR(VLOOKUP($A74,'2.1 Toteut. op.vuodet'!$A:$Q,COLUMN('2.1 Toteut. op.vuodet'!Q:Q),FALSE),0)</f>
        <v>0.94710000000000094</v>
      </c>
      <c r="J74" s="85">
        <f t="shared" si="5"/>
        <v>30.3</v>
      </c>
      <c r="K74" s="19">
        <f>IFERROR(Ohj.lask.[[#This Row],[Painotetut opiskelija-vuodet]]/Ohj.lask.[[#Totals],[Painotetut opiskelija-vuodet]],0)</f>
        <v>1.5031245643791228E-4</v>
      </c>
      <c r="L74" s="20">
        <f>ROUND(IFERROR('1.1 Jakotaulu'!L$10*Ohj.lask.[[#This Row],[%-osuus 1]],0),0)</f>
        <v>178826</v>
      </c>
      <c r="M74" s="349">
        <f>IFERROR(ROUND(VLOOKUP($A74,'2.2 Tutk. ja osien pain. pist.'!$A:$Q,COLUMN('2.2 Tutk. ja osien pain. pist.'!P:P),FALSE),1),0)</f>
        <v>0</v>
      </c>
      <c r="N74" s="19">
        <f>IFERROR(Ohj.lask.[[#This Row],[Painotetut pisteet 2]]/Ohj.lask.[[#Totals],[Painotetut pisteet 2]],0)</f>
        <v>0</v>
      </c>
      <c r="O74" s="26">
        <f>ROUND(IFERROR('1.1 Jakotaulu'!K$11*Ohj.lask.[[#This Row],[%-osuus 2]],0),0)</f>
        <v>0</v>
      </c>
      <c r="P74" s="350">
        <f>IFERROR(ROUND(VLOOKUP($A74,'2.3 Työll. ja jatko-opisk.'!$A:$K,COLUMN('2.3 Työll. ja jatko-opisk.'!I:I),FALSE),1),0)</f>
        <v>34.4</v>
      </c>
      <c r="Q74" s="19">
        <f>IFERROR(Ohj.lask.[[#This Row],[Painotetut pisteet 3]]/Ohj.lask.[[#Totals],[Painotetut pisteet 3]],0)</f>
        <v>1.8159857424003109E-4</v>
      </c>
      <c r="R74" s="20">
        <f>ROUND(IFERROR('1.1 Jakotaulu'!L$13*Ohj.lask.[[#This Row],[%-osuus 3]],0),0)</f>
        <v>25216</v>
      </c>
      <c r="S74" s="349">
        <f>IFERROR(ROUND(VLOOKUP($A74,'2.4 Aloittaneet palaute'!$A:$K,COLUMN('2.4 Aloittaneet palaute'!J:J),FALSE),1),0)</f>
        <v>0</v>
      </c>
      <c r="T74" s="23">
        <f>IFERROR(Ohj.lask.[[#This Row],[Painotetut pisteet 4]]/Ohj.lask.[[#Totals],[Painotetut pisteet 4]],0)</f>
        <v>0</v>
      </c>
      <c r="U74" s="26">
        <f>ROUND(IFERROR('1.1 Jakotaulu'!M$15*Ohj.lask.[[#This Row],[%-osuus 4]],0),0)</f>
        <v>0</v>
      </c>
      <c r="V74" s="85">
        <f>IFERROR(ROUND(VLOOKUP($A74,'2.5 Päättäneet palaute'!$A:$AC,COLUMN('2.5 Päättäneet palaute'!AB:AB),FALSE),1),0)</f>
        <v>0</v>
      </c>
      <c r="W74" s="23">
        <f>IFERROR(Ohj.lask.[[#This Row],[Painotetut pisteet 5]]/Ohj.lask.[[#Totals],[Painotetut pisteet 5]],0)</f>
        <v>0</v>
      </c>
      <c r="X74" s="20">
        <f>ROUND(IFERROR('1.1 Jakotaulu'!M$16*Ohj.lask.[[#This Row],[%-osuus 5]],0),0)</f>
        <v>0</v>
      </c>
      <c r="Y74" s="22">
        <f>IFERROR(Ohj.lask.[[#This Row],[Jaettava € 6]]/Ohj.lask.[[#Totals],[Jaettava € 6]],"")</f>
        <v>1.1692214344874086E-4</v>
      </c>
      <c r="Z74" s="26">
        <f>IFERROR(Ohj.lask.[[#This Row],[Jaettava € 1]]+Ohj.lask.[[#This Row],[Jaettava € 2]]+Ohj.lask.[[#This Row],[Jaettava € 3]]+Ohj.lask.[[#This Row],[Jaettava € 4]]+Ohj.lask.[[#This Row],[Jaettava € 5]],"")</f>
        <v>204042</v>
      </c>
      <c r="AA74" s="20">
        <v>15840</v>
      </c>
      <c r="AB74" s="20">
        <v>0</v>
      </c>
      <c r="AC74" s="21">
        <v>0</v>
      </c>
      <c r="AD74" s="20">
        <v>0</v>
      </c>
      <c r="AE74" s="21">
        <v>47520</v>
      </c>
      <c r="AF74" s="20">
        <v>50000</v>
      </c>
      <c r="AG74" s="21">
        <v>0</v>
      </c>
      <c r="AH74" s="20">
        <v>0</v>
      </c>
      <c r="AI74" s="21">
        <v>0</v>
      </c>
      <c r="AJ74" s="26">
        <v>0</v>
      </c>
      <c r="AK74" s="20">
        <v>0</v>
      </c>
      <c r="AL74" s="20">
        <v>0</v>
      </c>
      <c r="AM74" s="21">
        <v>63360</v>
      </c>
      <c r="AN74" s="136">
        <v>50000</v>
      </c>
      <c r="AO74" s="20">
        <f>Ohj.lask.[[#This Row],[Jaettava € 1]]+Ohj.lask.[[#This Row],[Päätös 7, €]]</f>
        <v>228826</v>
      </c>
      <c r="AP74" s="119">
        <f>Ohj.lask.[[#This Row],[Jaettava € 2]]</f>
        <v>0</v>
      </c>
      <c r="AQ74" s="20">
        <f>Ohj.lask.[[#This Row],[Jaettava € 3]]+Ohj.lask.[[#This Row],[Jaettava € 4]]+Ohj.lask.[[#This Row],[Jaettava € 5]]</f>
        <v>25216</v>
      </c>
      <c r="AR74" s="45">
        <f>Ohj.lask.[[#This Row],[Jaettava € 6]]+Ohj.lask.[[#This Row],[Päätös 7, €]]</f>
        <v>254042</v>
      </c>
      <c r="AS74" s="45">
        <f>ROUND(IFERROR(VLOOKUP(Ohj.lask.[[#This Row],[Y-tunnus]],'3.1 Alv vahvistettu'!A:Y,COLUMN(C:C),FALSE),0),0)</f>
        <v>0</v>
      </c>
      <c r="AT74" s="26">
        <f>Ohj.lask.[[#This Row],[Perus-, suoritus- ja vaikuttavuusrahoitus yhteensä, €]]+Ohj.lask.[[#This Row],[Alv-korvaus, €]]</f>
        <v>254042</v>
      </c>
    </row>
    <row r="75" spans="1:46" ht="12.75" x14ac:dyDescent="0.2">
      <c r="A75" s="147" t="s">
        <v>384</v>
      </c>
      <c r="B75" s="17" t="s">
        <v>83</v>
      </c>
      <c r="C75" s="17" t="s">
        <v>238</v>
      </c>
      <c r="D75" s="17" t="s">
        <v>423</v>
      </c>
      <c r="E75" s="17" t="s">
        <v>663</v>
      </c>
      <c r="F75" s="128">
        <v>37</v>
      </c>
      <c r="G75" s="135">
        <v>0</v>
      </c>
      <c r="H75" s="44">
        <f t="shared" si="4"/>
        <v>37</v>
      </c>
      <c r="I75" s="18">
        <f>IFERROR(VLOOKUP($A75,'2.1 Toteut. op.vuodet'!$A:$Q,COLUMN('2.1 Toteut. op.vuodet'!Q:Q),FALSE),0)</f>
        <v>0.7623000000000002</v>
      </c>
      <c r="J75" s="85">
        <f t="shared" si="5"/>
        <v>28.2</v>
      </c>
      <c r="K75" s="19">
        <f>IFERROR(Ohj.lask.[[#This Row],[Painotetut opiskelija-vuodet]]/Ohj.lask.[[#Totals],[Painotetut opiskelija-vuodet]],0)</f>
        <v>1.3989476143726488E-4</v>
      </c>
      <c r="L75" s="20">
        <f>ROUND(IFERROR('1.1 Jakotaulu'!L$10*Ohj.lask.[[#This Row],[%-osuus 1]],0),0)</f>
        <v>166432</v>
      </c>
      <c r="M75" s="349">
        <f>IFERROR(ROUND(VLOOKUP($A75,'2.2 Tutk. ja osien pain. pist.'!$A:$Q,COLUMN('2.2 Tutk. ja osien pain. pist.'!P:P),FALSE),1),0)</f>
        <v>3120.2</v>
      </c>
      <c r="N75" s="19">
        <f>IFERROR(Ohj.lask.[[#This Row],[Painotetut pisteet 2]]/Ohj.lask.[[#Totals],[Painotetut pisteet 2]],0)</f>
        <v>1.9939406494063147E-4</v>
      </c>
      <c r="O75" s="26">
        <f>ROUND(IFERROR('1.1 Jakotaulu'!K$11*Ohj.lask.[[#This Row],[%-osuus 2]],0),0)</f>
        <v>73831</v>
      </c>
      <c r="P75" s="350">
        <f>IFERROR(ROUND(VLOOKUP($A75,'2.3 Työll. ja jatko-opisk.'!$A:$K,COLUMN('2.3 Työll. ja jatko-opisk.'!I:I),FALSE),1),0)</f>
        <v>92.8</v>
      </c>
      <c r="Q75" s="19">
        <f>IFERROR(Ohj.lask.[[#This Row],[Painotetut pisteet 3]]/Ohj.lask.[[#Totals],[Painotetut pisteet 3]],0)</f>
        <v>4.898938281824094E-4</v>
      </c>
      <c r="R75" s="20">
        <f>ROUND(IFERROR('1.1 Jakotaulu'!L$13*Ohj.lask.[[#This Row],[%-osuus 3]],0),0)</f>
        <v>68024</v>
      </c>
      <c r="S75" s="349">
        <f>IFERROR(ROUND(VLOOKUP($A75,'2.4 Aloittaneet palaute'!$A:$K,COLUMN('2.4 Aloittaneet palaute'!J:J),FALSE),1),0)</f>
        <v>0</v>
      </c>
      <c r="T75" s="23">
        <f>IFERROR(Ohj.lask.[[#This Row],[Painotetut pisteet 4]]/Ohj.lask.[[#Totals],[Painotetut pisteet 4]],0)</f>
        <v>0</v>
      </c>
      <c r="U75" s="26">
        <f>ROUND(IFERROR('1.1 Jakotaulu'!M$15*Ohj.lask.[[#This Row],[%-osuus 4]],0),0)</f>
        <v>0</v>
      </c>
      <c r="V75" s="85">
        <f>IFERROR(ROUND(VLOOKUP($A75,'2.5 Päättäneet palaute'!$A:$AC,COLUMN('2.5 Päättäneet palaute'!AB:AB),FALSE),1),0)</f>
        <v>4018.7</v>
      </c>
      <c r="W75" s="23">
        <f>IFERROR(Ohj.lask.[[#This Row],[Painotetut pisteet 5]]/Ohj.lask.[[#Totals],[Painotetut pisteet 5]],0)</f>
        <v>6.0686234815001436E-4</v>
      </c>
      <c r="X75" s="20">
        <f>ROUND(IFERROR('1.1 Jakotaulu'!M$16*Ohj.lask.[[#This Row],[%-osuus 5]],0),0)</f>
        <v>21066</v>
      </c>
      <c r="Y75" s="22">
        <f>IFERROR(Ohj.lask.[[#This Row],[Jaettava € 6]]/Ohj.lask.[[#Totals],[Jaettava € 6]],"")</f>
        <v>1.8872907887235543E-4</v>
      </c>
      <c r="Z75" s="26">
        <f>IFERROR(Ohj.lask.[[#This Row],[Jaettava € 1]]+Ohj.lask.[[#This Row],[Jaettava € 2]]+Ohj.lask.[[#This Row],[Jaettava € 3]]+Ohj.lask.[[#This Row],[Jaettava € 4]]+Ohj.lask.[[#This Row],[Jaettava € 5]],"")</f>
        <v>329353</v>
      </c>
      <c r="AA75" s="20">
        <v>0</v>
      </c>
      <c r="AB75" s="20">
        <v>0</v>
      </c>
      <c r="AC75" s="21">
        <v>0</v>
      </c>
      <c r="AD75" s="20">
        <v>0</v>
      </c>
      <c r="AE75" s="21">
        <v>0</v>
      </c>
      <c r="AF75" s="20">
        <v>0</v>
      </c>
      <c r="AG75" s="21">
        <v>0</v>
      </c>
      <c r="AH75" s="20">
        <v>0</v>
      </c>
      <c r="AI75" s="21">
        <v>50000</v>
      </c>
      <c r="AJ75" s="26">
        <v>0</v>
      </c>
      <c r="AK75" s="20">
        <v>0</v>
      </c>
      <c r="AL75" s="20">
        <v>0</v>
      </c>
      <c r="AM75" s="21">
        <v>50000</v>
      </c>
      <c r="AN75" s="136">
        <v>0</v>
      </c>
      <c r="AO75" s="20">
        <f>Ohj.lask.[[#This Row],[Jaettava € 1]]+Ohj.lask.[[#This Row],[Päätös 7, €]]</f>
        <v>166432</v>
      </c>
      <c r="AP75" s="119">
        <f>Ohj.lask.[[#This Row],[Jaettava € 2]]</f>
        <v>73831</v>
      </c>
      <c r="AQ75" s="20">
        <f>Ohj.lask.[[#This Row],[Jaettava € 3]]+Ohj.lask.[[#This Row],[Jaettava € 4]]+Ohj.lask.[[#This Row],[Jaettava € 5]]</f>
        <v>89090</v>
      </c>
      <c r="AR75" s="45">
        <f>Ohj.lask.[[#This Row],[Jaettava € 6]]+Ohj.lask.[[#This Row],[Päätös 7, €]]</f>
        <v>329353</v>
      </c>
      <c r="AS75" s="45">
        <f>ROUND(IFERROR(VLOOKUP(Ohj.lask.[[#This Row],[Y-tunnus]],'3.1 Alv vahvistettu'!A:Y,COLUMN(C:C),FALSE),0),0)</f>
        <v>0</v>
      </c>
      <c r="AT75" s="26">
        <f>Ohj.lask.[[#This Row],[Perus-, suoritus- ja vaikuttavuusrahoitus yhteensä, €]]+Ohj.lask.[[#This Row],[Alv-korvaus, €]]</f>
        <v>329353</v>
      </c>
    </row>
    <row r="76" spans="1:46" ht="12.75" x14ac:dyDescent="0.2">
      <c r="A76" s="147" t="s">
        <v>338</v>
      </c>
      <c r="B76" s="17" t="s">
        <v>84</v>
      </c>
      <c r="C76" s="17" t="s">
        <v>252</v>
      </c>
      <c r="D76" s="17" t="s">
        <v>423</v>
      </c>
      <c r="E76" s="17" t="s">
        <v>663</v>
      </c>
      <c r="F76" s="128">
        <v>27</v>
      </c>
      <c r="G76" s="135">
        <v>0</v>
      </c>
      <c r="H76" s="44">
        <f t="shared" si="4"/>
        <v>27</v>
      </c>
      <c r="I76" s="18">
        <f>IFERROR(VLOOKUP($A76,'2.1 Toteut. op.vuodet'!$A:$Q,COLUMN('2.1 Toteut. op.vuodet'!Q:Q),FALSE),0)</f>
        <v>0.76230000000000031</v>
      </c>
      <c r="J76" s="85">
        <f t="shared" si="5"/>
        <v>20.6</v>
      </c>
      <c r="K76" s="19">
        <f>IFERROR(Ohj.lask.[[#This Row],[Painotetut opiskelija-vuodet]]/Ohj.lask.[[#Totals],[Painotetut opiskelija-vuodet]],0)</f>
        <v>1.0219262714920769E-4</v>
      </c>
      <c r="L76" s="20">
        <f>ROUND(IFERROR('1.1 Jakotaulu'!L$10*Ohj.lask.[[#This Row],[%-osuus 1]],0),0)</f>
        <v>121578</v>
      </c>
      <c r="M76" s="349">
        <f>IFERROR(ROUND(VLOOKUP($A76,'2.2 Tutk. ja osien pain. pist.'!$A:$Q,COLUMN('2.2 Tutk. ja osien pain. pist.'!P:P),FALSE),1),0)</f>
        <v>2335.1</v>
      </c>
      <c r="N76" s="19">
        <f>IFERROR(Ohj.lask.[[#This Row],[Painotetut pisteet 2]]/Ohj.lask.[[#Totals],[Painotetut pisteet 2]],0)</f>
        <v>1.4922283220398326E-4</v>
      </c>
      <c r="O76" s="26">
        <f>ROUND(IFERROR('1.1 Jakotaulu'!K$11*Ohj.lask.[[#This Row],[%-osuus 2]],0),0)</f>
        <v>55254</v>
      </c>
      <c r="P76" s="350">
        <f>IFERROR(ROUND(VLOOKUP($A76,'2.3 Työll. ja jatko-opisk.'!$A:$K,COLUMN('2.3 Työll. ja jatko-opisk.'!I:I),FALSE),1),0)</f>
        <v>89.5</v>
      </c>
      <c r="Q76" s="19">
        <f>IFERROR(Ohj.lask.[[#This Row],[Painotetut pisteet 3]]/Ohj.lask.[[#Totals],[Painotetut pisteet 3]],0)</f>
        <v>4.7247303472333673E-4</v>
      </c>
      <c r="R76" s="20">
        <f>ROUND(IFERROR('1.1 Jakotaulu'!L$13*Ohj.lask.[[#This Row],[%-osuus 3]],0),0)</f>
        <v>65605</v>
      </c>
      <c r="S76" s="349">
        <f>IFERROR(ROUND(VLOOKUP($A76,'2.4 Aloittaneet palaute'!$A:$K,COLUMN('2.4 Aloittaneet palaute'!J:J),FALSE),1),0)</f>
        <v>418.5</v>
      </c>
      <c r="T76" s="23">
        <f>IFERROR(Ohj.lask.[[#This Row],[Painotetut pisteet 4]]/Ohj.lask.[[#Totals],[Painotetut pisteet 4]],0)</f>
        <v>3.3613464276718559E-4</v>
      </c>
      <c r="U76" s="26">
        <f>ROUND(IFERROR('1.1 Jakotaulu'!M$15*Ohj.lask.[[#This Row],[%-osuus 4]],0),0)</f>
        <v>3889</v>
      </c>
      <c r="V76" s="85">
        <f>IFERROR(ROUND(VLOOKUP($A76,'2.5 Päättäneet palaute'!$A:$AC,COLUMN('2.5 Päättäneet palaute'!AB:AB),FALSE),1),0)</f>
        <v>2295</v>
      </c>
      <c r="W76" s="23">
        <f>IFERROR(Ohj.lask.[[#This Row],[Painotetut pisteet 5]]/Ohj.lask.[[#Totals],[Painotetut pisteet 5]],0)</f>
        <v>3.4656707119324232E-4</v>
      </c>
      <c r="X76" s="20">
        <f>ROUND(IFERROR('1.1 Jakotaulu'!M$16*Ohj.lask.[[#This Row],[%-osuus 5]],0),0)</f>
        <v>12031</v>
      </c>
      <c r="Y76" s="22">
        <f>IFERROR(Ohj.lask.[[#This Row],[Jaettava € 6]]/Ohj.lask.[[#Totals],[Jaettava € 6]],"")</f>
        <v>1.4804625623639418E-4</v>
      </c>
      <c r="Z76" s="26">
        <f>IFERROR(Ohj.lask.[[#This Row],[Jaettava € 1]]+Ohj.lask.[[#This Row],[Jaettava € 2]]+Ohj.lask.[[#This Row],[Jaettava € 3]]+Ohj.lask.[[#This Row],[Jaettava € 4]]+Ohj.lask.[[#This Row],[Jaettava € 5]],"")</f>
        <v>258357</v>
      </c>
      <c r="AA76" s="20">
        <v>0</v>
      </c>
      <c r="AB76" s="20">
        <v>0</v>
      </c>
      <c r="AC76" s="21">
        <v>0</v>
      </c>
      <c r="AD76" s="20">
        <v>0</v>
      </c>
      <c r="AE76" s="21">
        <v>0</v>
      </c>
      <c r="AF76" s="20">
        <v>0</v>
      </c>
      <c r="AG76" s="21">
        <v>0</v>
      </c>
      <c r="AH76" s="20">
        <v>0</v>
      </c>
      <c r="AI76" s="21">
        <v>0</v>
      </c>
      <c r="AJ76" s="26">
        <v>0</v>
      </c>
      <c r="AK76" s="20">
        <v>0</v>
      </c>
      <c r="AL76" s="20">
        <v>0</v>
      </c>
      <c r="AM76" s="21">
        <v>0</v>
      </c>
      <c r="AN76" s="136">
        <v>0</v>
      </c>
      <c r="AO76" s="20">
        <f>Ohj.lask.[[#This Row],[Jaettava € 1]]+Ohj.lask.[[#This Row],[Päätös 7, €]]</f>
        <v>121578</v>
      </c>
      <c r="AP76" s="119">
        <f>Ohj.lask.[[#This Row],[Jaettava € 2]]</f>
        <v>55254</v>
      </c>
      <c r="AQ76" s="20">
        <f>Ohj.lask.[[#This Row],[Jaettava € 3]]+Ohj.lask.[[#This Row],[Jaettava € 4]]+Ohj.lask.[[#This Row],[Jaettava € 5]]</f>
        <v>81525</v>
      </c>
      <c r="AR76" s="45">
        <f>Ohj.lask.[[#This Row],[Jaettava € 6]]+Ohj.lask.[[#This Row],[Päätös 7, €]]</f>
        <v>258357</v>
      </c>
      <c r="AS76" s="45">
        <f>ROUND(IFERROR(VLOOKUP(Ohj.lask.[[#This Row],[Y-tunnus]],'3.1 Alv vahvistettu'!A:Y,COLUMN(C:C),FALSE),0),0)</f>
        <v>1296</v>
      </c>
      <c r="AT76" s="26">
        <f>Ohj.lask.[[#This Row],[Perus-, suoritus- ja vaikuttavuusrahoitus yhteensä, €]]+Ohj.lask.[[#This Row],[Alv-korvaus, €]]</f>
        <v>259653</v>
      </c>
    </row>
    <row r="77" spans="1:46" ht="12.75" x14ac:dyDescent="0.2">
      <c r="A77" s="147" t="s">
        <v>337</v>
      </c>
      <c r="B77" s="17" t="s">
        <v>85</v>
      </c>
      <c r="C77" s="17" t="s">
        <v>252</v>
      </c>
      <c r="D77" s="17" t="s">
        <v>423</v>
      </c>
      <c r="E77" s="17" t="s">
        <v>663</v>
      </c>
      <c r="F77" s="128">
        <v>43</v>
      </c>
      <c r="G77" s="135">
        <v>0</v>
      </c>
      <c r="H77" s="44">
        <f t="shared" si="4"/>
        <v>43</v>
      </c>
      <c r="I77" s="18">
        <f>IFERROR(VLOOKUP($A77,'2.1 Toteut. op.vuodet'!$A:$Q,COLUMN('2.1 Toteut. op.vuodet'!Q:Q),FALSE),0)</f>
        <v>1.4554610502737675</v>
      </c>
      <c r="J77" s="85">
        <f t="shared" si="5"/>
        <v>62.6</v>
      </c>
      <c r="K77" s="19">
        <f>IFERROR(Ohj.lask.[[#This Row],[Painotetut opiskelija-vuodet]]/Ohj.lask.[[#Totals],[Painotetut opiskelija-vuodet]],0)</f>
        <v>3.1054652716215538E-4</v>
      </c>
      <c r="L77" s="20">
        <f>ROUND(IFERROR('1.1 Jakotaulu'!L$10*Ohj.lask.[[#This Row],[%-osuus 1]],0),0)</f>
        <v>369455</v>
      </c>
      <c r="M77" s="349">
        <f>IFERROR(ROUND(VLOOKUP($A77,'2.2 Tutk. ja osien pain. pist.'!$A:$Q,COLUMN('2.2 Tutk. ja osien pain. pist.'!P:P),FALSE),1),0)</f>
        <v>6579.9</v>
      </c>
      <c r="N77" s="19">
        <f>IFERROR(Ohj.lask.[[#This Row],[Painotetut pisteet 2]]/Ohj.lask.[[#Totals],[Painotetut pisteet 2]],0)</f>
        <v>4.2048362537749537E-4</v>
      </c>
      <c r="O77" s="26">
        <f>ROUND(IFERROR('1.1 Jakotaulu'!K$11*Ohj.lask.[[#This Row],[%-osuus 2]],0),0)</f>
        <v>155695</v>
      </c>
      <c r="P77" s="350">
        <f>IFERROR(ROUND(VLOOKUP($A77,'2.3 Työll. ja jatko-opisk.'!$A:$K,COLUMN('2.3 Työll. ja jatko-opisk.'!I:I),FALSE),1),0)</f>
        <v>71.099999999999994</v>
      </c>
      <c r="Q77" s="19">
        <f>IFERROR(Ohj.lask.[[#This Row],[Painotetut pisteet 3]]/Ohj.lask.[[#Totals],[Painotetut pisteet 3]],0)</f>
        <v>3.7533891361820379E-4</v>
      </c>
      <c r="R77" s="20">
        <f>ROUND(IFERROR('1.1 Jakotaulu'!L$13*Ohj.lask.[[#This Row],[%-osuus 3]],0),0)</f>
        <v>52117</v>
      </c>
      <c r="S77" s="349">
        <f>IFERROR(ROUND(VLOOKUP($A77,'2.4 Aloittaneet palaute'!$A:$K,COLUMN('2.4 Aloittaneet palaute'!J:J),FALSE),1),0)</f>
        <v>307.89999999999998</v>
      </c>
      <c r="T77" s="23">
        <f>IFERROR(Ohj.lask.[[#This Row],[Painotetut pisteet 4]]/Ohj.lask.[[#Totals],[Painotetut pisteet 4]],0)</f>
        <v>2.4730192713982423E-4</v>
      </c>
      <c r="U77" s="26">
        <f>ROUND(IFERROR('1.1 Jakotaulu'!M$15*Ohj.lask.[[#This Row],[%-osuus 4]],0),0)</f>
        <v>2862</v>
      </c>
      <c r="V77" s="85">
        <f>IFERROR(ROUND(VLOOKUP($A77,'2.5 Päättäneet palaute'!$A:$AC,COLUMN('2.5 Päättäneet palaute'!AB:AB),FALSE),1),0)</f>
        <v>2024.9</v>
      </c>
      <c r="W77" s="23">
        <f>IFERROR(Ohj.lask.[[#This Row],[Painotetut pisteet 5]]/Ohj.lask.[[#Totals],[Painotetut pisteet 5]],0)</f>
        <v>3.0577937362056488E-4</v>
      </c>
      <c r="X77" s="20">
        <f>ROUND(IFERROR('1.1 Jakotaulu'!M$16*Ohj.lask.[[#This Row],[%-osuus 5]],0),0)</f>
        <v>10615</v>
      </c>
      <c r="Y77" s="22">
        <f>IFERROR(Ohj.lask.[[#This Row],[Jaettava € 6]]/Ohj.lask.[[#Totals],[Jaettava € 6]],"")</f>
        <v>3.3851390747729863E-4</v>
      </c>
      <c r="Z77" s="26">
        <f>IFERROR(Ohj.lask.[[#This Row],[Jaettava € 1]]+Ohj.lask.[[#This Row],[Jaettava € 2]]+Ohj.lask.[[#This Row],[Jaettava € 3]]+Ohj.lask.[[#This Row],[Jaettava € 4]]+Ohj.lask.[[#This Row],[Jaettava € 5]],"")</f>
        <v>590744</v>
      </c>
      <c r="AA77" s="20">
        <v>0</v>
      </c>
      <c r="AB77" s="20">
        <v>0</v>
      </c>
      <c r="AC77" s="21">
        <v>0</v>
      </c>
      <c r="AD77" s="20">
        <v>0</v>
      </c>
      <c r="AE77" s="21">
        <v>0</v>
      </c>
      <c r="AF77" s="20">
        <v>0</v>
      </c>
      <c r="AG77" s="21">
        <v>0</v>
      </c>
      <c r="AH77" s="20">
        <v>0</v>
      </c>
      <c r="AI77" s="21">
        <v>0</v>
      </c>
      <c r="AJ77" s="26">
        <v>0</v>
      </c>
      <c r="AK77" s="20">
        <v>0</v>
      </c>
      <c r="AL77" s="20">
        <v>0</v>
      </c>
      <c r="AM77" s="21">
        <v>0</v>
      </c>
      <c r="AN77" s="136">
        <v>0</v>
      </c>
      <c r="AO77" s="20">
        <f>Ohj.lask.[[#This Row],[Jaettava € 1]]+Ohj.lask.[[#This Row],[Päätös 7, €]]</f>
        <v>369455</v>
      </c>
      <c r="AP77" s="119">
        <f>Ohj.lask.[[#This Row],[Jaettava € 2]]</f>
        <v>155695</v>
      </c>
      <c r="AQ77" s="20">
        <f>Ohj.lask.[[#This Row],[Jaettava € 3]]+Ohj.lask.[[#This Row],[Jaettava € 4]]+Ohj.lask.[[#This Row],[Jaettava € 5]]</f>
        <v>65594</v>
      </c>
      <c r="AR77" s="45">
        <f>Ohj.lask.[[#This Row],[Jaettava € 6]]+Ohj.lask.[[#This Row],[Päätös 7, €]]</f>
        <v>590744</v>
      </c>
      <c r="AS77" s="45">
        <f>ROUND(IFERROR(VLOOKUP(Ohj.lask.[[#This Row],[Y-tunnus]],'3.1 Alv vahvistettu'!A:Y,COLUMN(C:C),FALSE),0),0)</f>
        <v>11249</v>
      </c>
      <c r="AT77" s="26">
        <f>Ohj.lask.[[#This Row],[Perus-, suoritus- ja vaikuttavuusrahoitus yhteensä, €]]+Ohj.lask.[[#This Row],[Alv-korvaus, €]]</f>
        <v>601993</v>
      </c>
    </row>
    <row r="78" spans="1:46" ht="12.75" x14ac:dyDescent="0.2">
      <c r="A78" s="147" t="s">
        <v>335</v>
      </c>
      <c r="B78" s="17" t="s">
        <v>86</v>
      </c>
      <c r="C78" s="17" t="s">
        <v>334</v>
      </c>
      <c r="D78" s="17" t="s">
        <v>422</v>
      </c>
      <c r="E78" s="17" t="s">
        <v>663</v>
      </c>
      <c r="F78" s="128">
        <v>1130</v>
      </c>
      <c r="G78" s="135">
        <v>75</v>
      </c>
      <c r="H78" s="44">
        <f t="shared" si="4"/>
        <v>1205</v>
      </c>
      <c r="I78" s="18">
        <f>IFERROR(VLOOKUP($A78,'2.1 Toteut. op.vuodet'!$A:$Q,COLUMN('2.1 Toteut. op.vuodet'!Q:Q),FALSE),0)</f>
        <v>0.97143258818271572</v>
      </c>
      <c r="J78" s="85">
        <f t="shared" si="5"/>
        <v>1170.5999999999999</v>
      </c>
      <c r="K78" s="19">
        <f>IFERROR(Ohj.lask.[[#This Row],[Painotetut opiskelija-vuodet]]/Ohj.lask.[[#Totals],[Painotetut opiskelija-vuodet]],0)</f>
        <v>5.8071208417894418E-3</v>
      </c>
      <c r="L78" s="20">
        <f>ROUND(IFERROR('1.1 Jakotaulu'!L$10*Ohj.lask.[[#This Row],[%-osuus 1]],0),0)</f>
        <v>6908700</v>
      </c>
      <c r="M78" s="349">
        <f>IFERROR(ROUND(VLOOKUP($A78,'2.2 Tutk. ja osien pain. pist.'!$A:$Q,COLUMN('2.2 Tutk. ja osien pain. pist.'!P:P),FALSE),1),0)</f>
        <v>92642.4</v>
      </c>
      <c r="N78" s="19">
        <f>IFERROR(Ohj.lask.[[#This Row],[Painotetut pisteet 2]]/Ohj.lask.[[#Totals],[Painotetut pisteet 2]],0)</f>
        <v>5.9202438054791221E-3</v>
      </c>
      <c r="O78" s="26">
        <f>ROUND(IFERROR('1.1 Jakotaulu'!K$11*Ohj.lask.[[#This Row],[%-osuus 2]],0),0)</f>
        <v>2192130</v>
      </c>
      <c r="P78" s="350">
        <f>IFERROR(ROUND(VLOOKUP($A78,'2.3 Työll. ja jatko-opisk.'!$A:$K,COLUMN('2.3 Työll. ja jatko-opisk.'!I:I),FALSE),1),0)</f>
        <v>1437.6</v>
      </c>
      <c r="Q78" s="19">
        <f>IFERROR(Ohj.lask.[[#This Row],[Painotetut pisteet 3]]/Ohj.lask.[[#Totals],[Painotetut pisteet 3]],0)</f>
        <v>7.5891311141706016E-3</v>
      </c>
      <c r="R78" s="20">
        <f>ROUND(IFERROR('1.1 Jakotaulu'!L$13*Ohj.lask.[[#This Row],[%-osuus 3]],0),0)</f>
        <v>1053780</v>
      </c>
      <c r="S78" s="349">
        <f>IFERROR(ROUND(VLOOKUP($A78,'2.4 Aloittaneet palaute'!$A:$K,COLUMN('2.4 Aloittaneet palaute'!J:J),FALSE),1),0)</f>
        <v>9804.4</v>
      </c>
      <c r="T78" s="23">
        <f>IFERROR(Ohj.lask.[[#This Row],[Painotetut pisteet 4]]/Ohj.lask.[[#Totals],[Painotetut pisteet 4]],0)</f>
        <v>7.8747873155235234E-3</v>
      </c>
      <c r="U78" s="26">
        <f>ROUND(IFERROR('1.1 Jakotaulu'!M$15*Ohj.lask.[[#This Row],[%-osuus 4]],0),0)</f>
        <v>91120</v>
      </c>
      <c r="V78" s="85">
        <f>IFERROR(ROUND(VLOOKUP($A78,'2.5 Päättäneet palaute'!$A:$AC,COLUMN('2.5 Päättäneet palaute'!AB:AB),FALSE),1),0)</f>
        <v>64915.8</v>
      </c>
      <c r="W78" s="23">
        <f>IFERROR(Ohj.lask.[[#This Row],[Painotetut pisteet 5]]/Ohj.lask.[[#Totals],[Painotetut pisteet 5]],0)</f>
        <v>9.8029101002903192E-3</v>
      </c>
      <c r="X78" s="20">
        <f>ROUND(IFERROR('1.1 Jakotaulu'!M$16*Ohj.lask.[[#This Row],[%-osuus 5]],0),0)</f>
        <v>340293</v>
      </c>
      <c r="Y78" s="22">
        <f>IFERROR(Ohj.lask.[[#This Row],[Jaettava € 6]]/Ohj.lask.[[#Totals],[Jaettava € 6]],"")</f>
        <v>6.0661064866922984E-3</v>
      </c>
      <c r="Z78" s="26">
        <f>IFERROR(Ohj.lask.[[#This Row],[Jaettava € 1]]+Ohj.lask.[[#This Row],[Jaettava € 2]]+Ohj.lask.[[#This Row],[Jaettava € 3]]+Ohj.lask.[[#This Row],[Jaettava € 4]]+Ohj.lask.[[#This Row],[Jaettava € 5]],"")</f>
        <v>10586023</v>
      </c>
      <c r="AA78" s="20">
        <v>250000</v>
      </c>
      <c r="AB78" s="20">
        <v>0</v>
      </c>
      <c r="AC78" s="21">
        <v>0</v>
      </c>
      <c r="AD78" s="20">
        <v>0</v>
      </c>
      <c r="AE78" s="21">
        <v>0</v>
      </c>
      <c r="AF78" s="20">
        <v>0</v>
      </c>
      <c r="AG78" s="21">
        <v>0</v>
      </c>
      <c r="AH78" s="20">
        <v>170000</v>
      </c>
      <c r="AI78" s="21">
        <v>60000</v>
      </c>
      <c r="AJ78" s="26">
        <v>0</v>
      </c>
      <c r="AK78" s="20">
        <v>0</v>
      </c>
      <c r="AL78" s="20">
        <v>0</v>
      </c>
      <c r="AM78" s="21">
        <v>310000</v>
      </c>
      <c r="AN78" s="136">
        <v>170000</v>
      </c>
      <c r="AO78" s="20">
        <f>Ohj.lask.[[#This Row],[Jaettava € 1]]+Ohj.lask.[[#This Row],[Päätös 7, €]]</f>
        <v>7078700</v>
      </c>
      <c r="AP78" s="119">
        <f>Ohj.lask.[[#This Row],[Jaettava € 2]]</f>
        <v>2192130</v>
      </c>
      <c r="AQ78" s="20">
        <f>Ohj.lask.[[#This Row],[Jaettava € 3]]+Ohj.lask.[[#This Row],[Jaettava € 4]]+Ohj.lask.[[#This Row],[Jaettava € 5]]</f>
        <v>1485193</v>
      </c>
      <c r="AR78" s="45">
        <f>Ohj.lask.[[#This Row],[Jaettava € 6]]+Ohj.lask.[[#This Row],[Päätös 7, €]]</f>
        <v>10756023</v>
      </c>
      <c r="AS78" s="45">
        <f>ROUND(IFERROR(VLOOKUP(Ohj.lask.[[#This Row],[Y-tunnus]],'3.1 Alv vahvistettu'!A:Y,COLUMN(C:C),FALSE),0),0)</f>
        <v>0</v>
      </c>
      <c r="AT78" s="26">
        <f>Ohj.lask.[[#This Row],[Perus-, suoritus- ja vaikuttavuusrahoitus yhteensä, €]]+Ohj.lask.[[#This Row],[Alv-korvaus, €]]</f>
        <v>10756023</v>
      </c>
    </row>
    <row r="79" spans="1:46" ht="12.75" x14ac:dyDescent="0.2">
      <c r="A79" s="147" t="s">
        <v>333</v>
      </c>
      <c r="B79" s="17" t="s">
        <v>87</v>
      </c>
      <c r="C79" s="17" t="s">
        <v>254</v>
      </c>
      <c r="D79" s="17" t="s">
        <v>422</v>
      </c>
      <c r="E79" s="17" t="s">
        <v>663</v>
      </c>
      <c r="F79" s="128">
        <v>1604</v>
      </c>
      <c r="G79" s="135">
        <v>90</v>
      </c>
      <c r="H79" s="44">
        <f t="shared" si="4"/>
        <v>1694</v>
      </c>
      <c r="I79" s="18">
        <f>IFERROR(VLOOKUP($A79,'2.1 Toteut. op.vuodet'!$A:$Q,COLUMN('2.1 Toteut. op.vuodet'!Q:Q),FALSE),0)</f>
        <v>1.095744466439003</v>
      </c>
      <c r="J79" s="85">
        <f t="shared" si="5"/>
        <v>1856.2</v>
      </c>
      <c r="K79" s="19">
        <f>IFERROR(Ohj.lask.[[#This Row],[Painotetut opiskelija-vuodet]]/Ohj.lask.[[#Totals],[Painotetut opiskelija-vuodet]],0)</f>
        <v>9.2082502191436558E-3</v>
      </c>
      <c r="L79" s="20">
        <f>ROUND(IFERROR('1.1 Jakotaulu'!L$10*Ohj.lask.[[#This Row],[%-osuus 1]],0),0)</f>
        <v>10955005</v>
      </c>
      <c r="M79" s="349">
        <f>IFERROR(ROUND(VLOOKUP($A79,'2.2 Tutk. ja osien pain. pist.'!$A:$Q,COLUMN('2.2 Tutk. ja osien pain. pist.'!P:P),FALSE),1),0)</f>
        <v>160486.20000000001</v>
      </c>
      <c r="N79" s="19">
        <f>IFERROR(Ohj.lask.[[#This Row],[Painotetut pisteet 2]]/Ohj.lask.[[#Totals],[Painotetut pisteet 2]],0)</f>
        <v>1.0255751485441694E-2</v>
      </c>
      <c r="O79" s="26">
        <f>ROUND(IFERROR('1.1 Jakotaulu'!K$11*Ohj.lask.[[#This Row],[%-osuus 2]],0),0)</f>
        <v>3797469</v>
      </c>
      <c r="P79" s="350">
        <f>IFERROR(ROUND(VLOOKUP($A79,'2.3 Työll. ja jatko-opisk.'!$A:$K,COLUMN('2.3 Työll. ja jatko-opisk.'!I:I),FALSE),1),0)</f>
        <v>1965.4</v>
      </c>
      <c r="Q79" s="19">
        <f>IFERROR(Ohj.lask.[[#This Row],[Painotetut pisteet 3]]/Ohj.lask.[[#Totals],[Painotetut pisteet 3]],0)</f>
        <v>1.0375402261958057E-2</v>
      </c>
      <c r="R79" s="20">
        <f>ROUND(IFERROR('1.1 Jakotaulu'!L$13*Ohj.lask.[[#This Row],[%-osuus 3]],0),0)</f>
        <v>1440665</v>
      </c>
      <c r="S79" s="349">
        <f>IFERROR(ROUND(VLOOKUP($A79,'2.4 Aloittaneet palaute'!$A:$K,COLUMN('2.4 Aloittaneet palaute'!J:J),FALSE),1),0)</f>
        <v>15214.7</v>
      </c>
      <c r="T79" s="23">
        <f>IFERROR(Ohj.lask.[[#This Row],[Painotetut pisteet 4]]/Ohj.lask.[[#Totals],[Painotetut pisteet 4]],0)</f>
        <v>1.2220281360358182E-2</v>
      </c>
      <c r="U79" s="26">
        <f>ROUND(IFERROR('1.1 Jakotaulu'!M$15*Ohj.lask.[[#This Row],[%-osuus 4]],0),0)</f>
        <v>141403</v>
      </c>
      <c r="V79" s="85">
        <f>IFERROR(ROUND(VLOOKUP($A79,'2.5 Päättäneet palaute'!$A:$AC,COLUMN('2.5 Päättäneet palaute'!AB:AB),FALSE),1),0)</f>
        <v>79017.7</v>
      </c>
      <c r="W79" s="23">
        <f>IFERROR(Ohj.lask.[[#This Row],[Painotetut pisteet 5]]/Ohj.lask.[[#Totals],[Painotetut pisteet 5]],0)</f>
        <v>1.1932432619357848E-2</v>
      </c>
      <c r="X79" s="20">
        <f>ROUND(IFERROR('1.1 Jakotaulu'!M$16*Ohj.lask.[[#This Row],[%-osuus 5]],0),0)</f>
        <v>414216</v>
      </c>
      <c r="Y79" s="22">
        <f>IFERROR(Ohj.lask.[[#This Row],[Jaettava € 6]]/Ohj.lask.[[#Totals],[Jaettava € 6]],"")</f>
        <v>9.5975372004991413E-3</v>
      </c>
      <c r="Z79" s="26">
        <f>IFERROR(Ohj.lask.[[#This Row],[Jaettava € 1]]+Ohj.lask.[[#This Row],[Jaettava € 2]]+Ohj.lask.[[#This Row],[Jaettava € 3]]+Ohj.lask.[[#This Row],[Jaettava € 4]]+Ohj.lask.[[#This Row],[Jaettava € 5]],"")</f>
        <v>16748758</v>
      </c>
      <c r="AA79" s="20">
        <v>0</v>
      </c>
      <c r="AB79" s="20">
        <v>0</v>
      </c>
      <c r="AC79" s="21">
        <v>0</v>
      </c>
      <c r="AD79" s="20">
        <v>0</v>
      </c>
      <c r="AE79" s="21">
        <v>0</v>
      </c>
      <c r="AF79" s="20">
        <v>0</v>
      </c>
      <c r="AG79" s="21">
        <v>0</v>
      </c>
      <c r="AH79" s="20">
        <v>0</v>
      </c>
      <c r="AI79" s="21">
        <v>62000</v>
      </c>
      <c r="AJ79" s="26">
        <v>60000</v>
      </c>
      <c r="AK79" s="20">
        <v>0</v>
      </c>
      <c r="AL79" s="20">
        <v>0</v>
      </c>
      <c r="AM79" s="21">
        <v>62000</v>
      </c>
      <c r="AN79" s="136">
        <v>60000</v>
      </c>
      <c r="AO79" s="20">
        <f>Ohj.lask.[[#This Row],[Jaettava € 1]]+Ohj.lask.[[#This Row],[Päätös 7, €]]</f>
        <v>11015005</v>
      </c>
      <c r="AP79" s="119">
        <f>Ohj.lask.[[#This Row],[Jaettava € 2]]</f>
        <v>3797469</v>
      </c>
      <c r="AQ79" s="20">
        <f>Ohj.lask.[[#This Row],[Jaettava € 3]]+Ohj.lask.[[#This Row],[Jaettava € 4]]+Ohj.lask.[[#This Row],[Jaettava € 5]]</f>
        <v>1996284</v>
      </c>
      <c r="AR79" s="45">
        <f>Ohj.lask.[[#This Row],[Jaettava € 6]]+Ohj.lask.[[#This Row],[Päätös 7, €]]</f>
        <v>16808758</v>
      </c>
      <c r="AS79" s="45">
        <f>ROUND(IFERROR(VLOOKUP(Ohj.lask.[[#This Row],[Y-tunnus]],'3.1 Alv vahvistettu'!A:Y,COLUMN(C:C),FALSE),0),0)</f>
        <v>0</v>
      </c>
      <c r="AT79" s="26">
        <f>Ohj.lask.[[#This Row],[Perus-, suoritus- ja vaikuttavuusrahoitus yhteensä, €]]+Ohj.lask.[[#This Row],[Alv-korvaus, €]]</f>
        <v>16808758</v>
      </c>
    </row>
    <row r="80" spans="1:46" ht="12.75" x14ac:dyDescent="0.2">
      <c r="A80" s="147" t="s">
        <v>332</v>
      </c>
      <c r="B80" s="17" t="s">
        <v>88</v>
      </c>
      <c r="C80" s="17" t="s">
        <v>238</v>
      </c>
      <c r="D80" s="17" t="s">
        <v>422</v>
      </c>
      <c r="E80" s="17" t="s">
        <v>663</v>
      </c>
      <c r="F80" s="128">
        <v>2470</v>
      </c>
      <c r="G80" s="135">
        <v>410</v>
      </c>
      <c r="H80" s="44">
        <f t="shared" si="4"/>
        <v>2880</v>
      </c>
      <c r="I80" s="18">
        <f>IFERROR(VLOOKUP($A80,'2.1 Toteut. op.vuodet'!$A:$Q,COLUMN('2.1 Toteut. op.vuodet'!Q:Q),FALSE),0)</f>
        <v>1.0632182610548193</v>
      </c>
      <c r="J80" s="85">
        <f t="shared" si="5"/>
        <v>3062.1</v>
      </c>
      <c r="K80" s="19">
        <f>IFERROR(Ohj.lask.[[#This Row],[Painotetut opiskelija-vuodet]]/Ohj.lask.[[#Totals],[Painotetut opiskelija-vuodet]],0)</f>
        <v>1.5190487553086836E-2</v>
      </c>
      <c r="L80" s="20">
        <f>ROUND(IFERROR('1.1 Jakotaulu'!L$10*Ohj.lask.[[#This Row],[%-osuus 1]],0),0)</f>
        <v>18072039</v>
      </c>
      <c r="M80" s="349">
        <f>IFERROR(ROUND(VLOOKUP($A80,'2.2 Tutk. ja osien pain. pist.'!$A:$Q,COLUMN('2.2 Tutk. ja osien pain. pist.'!P:P),FALSE),1),0)</f>
        <v>223193.8</v>
      </c>
      <c r="N80" s="19">
        <f>IFERROR(Ohj.lask.[[#This Row],[Painotetut pisteet 2]]/Ohj.lask.[[#Totals],[Painotetut pisteet 2]],0)</f>
        <v>1.4263034116898375E-2</v>
      </c>
      <c r="O80" s="26">
        <f>ROUND(IFERROR('1.1 Jakotaulu'!K$11*Ohj.lask.[[#This Row],[%-osuus 2]],0),0)</f>
        <v>5281273</v>
      </c>
      <c r="P80" s="350">
        <f>IFERROR(ROUND(VLOOKUP($A80,'2.3 Työll. ja jatko-opisk.'!$A:$K,COLUMN('2.3 Työll. ja jatko-opisk.'!I:I),FALSE),1),0)</f>
        <v>2254.8000000000002</v>
      </c>
      <c r="Q80" s="19">
        <f>IFERROR(Ohj.lask.[[#This Row],[Painotetut pisteet 3]]/Ohj.lask.[[#Totals],[Painotetut pisteet 3]],0)</f>
        <v>1.1903153058035527E-2</v>
      </c>
      <c r="R80" s="20">
        <f>ROUND(IFERROR('1.1 Jakotaulu'!L$13*Ohj.lask.[[#This Row],[%-osuus 3]],0),0)</f>
        <v>1652799</v>
      </c>
      <c r="S80" s="349">
        <f>IFERROR(ROUND(VLOOKUP($A80,'2.4 Aloittaneet palaute'!$A:$K,COLUMN('2.4 Aloittaneet palaute'!J:J),FALSE),1),0)</f>
        <v>12438.3</v>
      </c>
      <c r="T80" s="23">
        <f>IFERROR(Ohj.lask.[[#This Row],[Painotetut pisteet 4]]/Ohj.lask.[[#Totals],[Painotetut pisteet 4]],0)</f>
        <v>9.9903071138138216E-3</v>
      </c>
      <c r="U80" s="26">
        <f>ROUND(IFERROR('1.1 Jakotaulu'!M$15*Ohj.lask.[[#This Row],[%-osuus 4]],0),0)</f>
        <v>115599</v>
      </c>
      <c r="V80" s="85">
        <f>IFERROR(ROUND(VLOOKUP($A80,'2.5 Päättäneet palaute'!$A:$AC,COLUMN('2.5 Päättäneet palaute'!AB:AB),FALSE),1),0)</f>
        <v>77515.7</v>
      </c>
      <c r="W80" s="23">
        <f>IFERROR(Ohj.lask.[[#This Row],[Painotetut pisteet 5]]/Ohj.lask.[[#Totals],[Painotetut pisteet 5]],0)</f>
        <v>1.1705616174507195E-2</v>
      </c>
      <c r="X80" s="20">
        <f>ROUND(IFERROR('1.1 Jakotaulu'!M$16*Ohj.lask.[[#This Row],[%-osuus 5]],0),0)</f>
        <v>406343</v>
      </c>
      <c r="Y80" s="22">
        <f>IFERROR(Ohj.lask.[[#This Row],[Jaettava € 6]]/Ohj.lask.[[#Totals],[Jaettava € 6]],"")</f>
        <v>1.4628334729286417E-2</v>
      </c>
      <c r="Z80" s="26">
        <f>IFERROR(Ohj.lask.[[#This Row],[Jaettava € 1]]+Ohj.lask.[[#This Row],[Jaettava € 2]]+Ohj.lask.[[#This Row],[Jaettava € 3]]+Ohj.lask.[[#This Row],[Jaettava € 4]]+Ohj.lask.[[#This Row],[Jaettava € 5]],"")</f>
        <v>25528053</v>
      </c>
      <c r="AA80" s="20">
        <v>0</v>
      </c>
      <c r="AB80" s="20">
        <v>0</v>
      </c>
      <c r="AC80" s="21">
        <v>0</v>
      </c>
      <c r="AD80" s="20">
        <v>0</v>
      </c>
      <c r="AE80" s="21">
        <v>0</v>
      </c>
      <c r="AF80" s="20">
        <v>0</v>
      </c>
      <c r="AG80" s="21">
        <v>115000</v>
      </c>
      <c r="AH80" s="20">
        <v>0</v>
      </c>
      <c r="AI80" s="21">
        <v>15000</v>
      </c>
      <c r="AJ80" s="26">
        <v>0</v>
      </c>
      <c r="AK80" s="20">
        <v>0</v>
      </c>
      <c r="AL80" s="20">
        <v>0</v>
      </c>
      <c r="AM80" s="21">
        <v>130000</v>
      </c>
      <c r="AN80" s="136">
        <v>0</v>
      </c>
      <c r="AO80" s="20">
        <f>Ohj.lask.[[#This Row],[Jaettava € 1]]+Ohj.lask.[[#This Row],[Päätös 7, €]]</f>
        <v>18072039</v>
      </c>
      <c r="AP80" s="119">
        <f>Ohj.lask.[[#This Row],[Jaettava € 2]]</f>
        <v>5281273</v>
      </c>
      <c r="AQ80" s="20">
        <f>Ohj.lask.[[#This Row],[Jaettava € 3]]+Ohj.lask.[[#This Row],[Jaettava € 4]]+Ohj.lask.[[#This Row],[Jaettava € 5]]</f>
        <v>2174741</v>
      </c>
      <c r="AR80" s="45">
        <f>Ohj.lask.[[#This Row],[Jaettava € 6]]+Ohj.lask.[[#This Row],[Päätös 7, €]]</f>
        <v>25528053</v>
      </c>
      <c r="AS80" s="45">
        <f>ROUND(IFERROR(VLOOKUP(Ohj.lask.[[#This Row],[Y-tunnus]],'3.1 Alv vahvistettu'!A:Y,COLUMN(C:C),FALSE),0),0)</f>
        <v>0</v>
      </c>
      <c r="AT80" s="26">
        <f>Ohj.lask.[[#This Row],[Perus-, suoritus- ja vaikuttavuusrahoitus yhteensä, €]]+Ohj.lask.[[#This Row],[Alv-korvaus, €]]</f>
        <v>25528053</v>
      </c>
    </row>
    <row r="81" spans="1:46" ht="12.75" x14ac:dyDescent="0.2">
      <c r="A81" s="147" t="s">
        <v>331</v>
      </c>
      <c r="B81" s="17" t="s">
        <v>89</v>
      </c>
      <c r="C81" s="17" t="s">
        <v>287</v>
      </c>
      <c r="D81" s="17" t="s">
        <v>423</v>
      </c>
      <c r="E81" s="17" t="s">
        <v>663</v>
      </c>
      <c r="F81" s="128">
        <v>4312</v>
      </c>
      <c r="G81" s="135">
        <v>352</v>
      </c>
      <c r="H81" s="44">
        <f t="shared" si="4"/>
        <v>4664</v>
      </c>
      <c r="I81" s="18">
        <f>IFERROR(VLOOKUP($A81,'2.1 Toteut. op.vuodet'!$A:$Q,COLUMN('2.1 Toteut. op.vuodet'!Q:Q),FALSE),0)</f>
        <v>1.0403404127433953</v>
      </c>
      <c r="J81" s="85">
        <f t="shared" si="5"/>
        <v>4852.1000000000004</v>
      </c>
      <c r="K81" s="19">
        <f>IFERROR(Ohj.lask.[[#This Row],[Painotetut opiskelija-vuodet]]/Ohj.lask.[[#Totals],[Painotetut opiskelija-vuodet]],0)</f>
        <v>2.4070332339352945E-2</v>
      </c>
      <c r="L81" s="20">
        <f>ROUND(IFERROR('1.1 Jakotaulu'!L$10*Ohj.lask.[[#This Row],[%-osuus 1]],0),0)</f>
        <v>28636342</v>
      </c>
      <c r="M81" s="349">
        <f>IFERROR(ROUND(VLOOKUP($A81,'2.2 Tutk. ja osien pain. pist.'!$A:$Q,COLUMN('2.2 Tutk. ja osien pain. pist.'!P:P),FALSE),1),0)</f>
        <v>353352.3</v>
      </c>
      <c r="N81" s="19">
        <f>IFERROR(Ohj.lask.[[#This Row],[Painotetut pisteet 2]]/Ohj.lask.[[#Totals],[Painotetut pisteet 2]],0)</f>
        <v>2.2580716445459104E-2</v>
      </c>
      <c r="O81" s="26">
        <f>ROUND(IFERROR('1.1 Jakotaulu'!K$11*Ohj.lask.[[#This Row],[%-osuus 2]],0),0)</f>
        <v>8361120</v>
      </c>
      <c r="P81" s="350">
        <f>IFERROR(ROUND(VLOOKUP($A81,'2.3 Työll. ja jatko-opisk.'!$A:$K,COLUMN('2.3 Työll. ja jatko-opisk.'!I:I),FALSE),1),0)</f>
        <v>5398</v>
      </c>
      <c r="Q81" s="19">
        <f>IFERROR(Ohj.lask.[[#This Row],[Painotetut pisteet 3]]/Ohj.lask.[[#Totals],[Painotetut pisteet 3]],0)</f>
        <v>2.8496194876386275E-2</v>
      </c>
      <c r="R81" s="20">
        <f>ROUND(IFERROR('1.1 Jakotaulu'!L$13*Ohj.lask.[[#This Row],[%-osuus 3]],0),0)</f>
        <v>3956807</v>
      </c>
      <c r="S81" s="349">
        <f>IFERROR(ROUND(VLOOKUP($A81,'2.4 Aloittaneet palaute'!$A:$K,COLUMN('2.4 Aloittaneet palaute'!J:J),FALSE),1),0)</f>
        <v>28516.799999999999</v>
      </c>
      <c r="T81" s="23">
        <f>IFERROR(Ohj.lask.[[#This Row],[Painotetut pisteet 4]]/Ohj.lask.[[#Totals],[Painotetut pisteet 4]],0)</f>
        <v>2.2904383227869241E-2</v>
      </c>
      <c r="U81" s="26">
        <f>ROUND(IFERROR('1.1 Jakotaulu'!M$15*Ohj.lask.[[#This Row],[%-osuus 4]],0),0)</f>
        <v>265030</v>
      </c>
      <c r="V81" s="85">
        <f>IFERROR(ROUND(VLOOKUP($A81,'2.5 Päättäneet palaute'!$A:$AC,COLUMN('2.5 Päättäneet palaute'!AB:AB),FALSE),1),0)</f>
        <v>188835.1</v>
      </c>
      <c r="W81" s="23">
        <f>IFERROR(Ohj.lask.[[#This Row],[Painotetut pisteet 5]]/Ohj.lask.[[#Totals],[Painotetut pisteet 5]],0)</f>
        <v>2.8515916141822674E-2</v>
      </c>
      <c r="X81" s="20">
        <f>ROUND(IFERROR('1.1 Jakotaulu'!M$16*Ohj.lask.[[#This Row],[%-osuus 5]],0),0)</f>
        <v>989886</v>
      </c>
      <c r="Y81" s="22">
        <f>IFERROR(Ohj.lask.[[#This Row],[Jaettava € 6]]/Ohj.lask.[[#Totals],[Jaettava € 6]],"")</f>
        <v>2.4187120217526004E-2</v>
      </c>
      <c r="Z81" s="26">
        <f>IFERROR(Ohj.lask.[[#This Row],[Jaettava € 1]]+Ohj.lask.[[#This Row],[Jaettava € 2]]+Ohj.lask.[[#This Row],[Jaettava € 3]]+Ohj.lask.[[#This Row],[Jaettava € 4]]+Ohj.lask.[[#This Row],[Jaettava € 5]],"")</f>
        <v>42209185</v>
      </c>
      <c r="AA81" s="20">
        <v>150000</v>
      </c>
      <c r="AB81" s="20">
        <v>0</v>
      </c>
      <c r="AC81" s="21">
        <v>0</v>
      </c>
      <c r="AD81" s="20">
        <v>0</v>
      </c>
      <c r="AE81" s="21">
        <v>2000000</v>
      </c>
      <c r="AF81" s="20">
        <v>0</v>
      </c>
      <c r="AG81" s="21">
        <v>0</v>
      </c>
      <c r="AH81" s="20">
        <v>45000</v>
      </c>
      <c r="AI81" s="21">
        <v>85000</v>
      </c>
      <c r="AJ81" s="26">
        <v>0</v>
      </c>
      <c r="AK81" s="20">
        <v>0</v>
      </c>
      <c r="AL81" s="20">
        <v>0</v>
      </c>
      <c r="AM81" s="21">
        <v>2235000</v>
      </c>
      <c r="AN81" s="136">
        <v>45000</v>
      </c>
      <c r="AO81" s="20">
        <f>Ohj.lask.[[#This Row],[Jaettava € 1]]+Ohj.lask.[[#This Row],[Päätös 7, €]]</f>
        <v>28681342</v>
      </c>
      <c r="AP81" s="119">
        <f>Ohj.lask.[[#This Row],[Jaettava € 2]]</f>
        <v>8361120</v>
      </c>
      <c r="AQ81" s="20">
        <f>Ohj.lask.[[#This Row],[Jaettava € 3]]+Ohj.lask.[[#This Row],[Jaettava € 4]]+Ohj.lask.[[#This Row],[Jaettava € 5]]</f>
        <v>5211723</v>
      </c>
      <c r="AR81" s="45">
        <f>Ohj.lask.[[#This Row],[Jaettava € 6]]+Ohj.lask.[[#This Row],[Päätös 7, €]]</f>
        <v>42254185</v>
      </c>
      <c r="AS81" s="45">
        <f>ROUND(IFERROR(VLOOKUP(Ohj.lask.[[#This Row],[Y-tunnus]],'3.1 Alv vahvistettu'!A:Y,COLUMN(C:C),FALSE),0),0)</f>
        <v>3092463</v>
      </c>
      <c r="AT81" s="26">
        <f>Ohj.lask.[[#This Row],[Perus-, suoritus- ja vaikuttavuusrahoitus yhteensä, €]]+Ohj.lask.[[#This Row],[Alv-korvaus, €]]</f>
        <v>45346648</v>
      </c>
    </row>
    <row r="82" spans="1:46" ht="12.75" x14ac:dyDescent="0.2">
      <c r="A82" s="147" t="s">
        <v>329</v>
      </c>
      <c r="B82" s="17" t="s">
        <v>90</v>
      </c>
      <c r="C82" s="113" t="s">
        <v>238</v>
      </c>
      <c r="D82" s="113" t="s">
        <v>423</v>
      </c>
      <c r="E82" s="113" t="s">
        <v>663</v>
      </c>
      <c r="F82" s="127">
        <v>199</v>
      </c>
      <c r="G82" s="135">
        <v>15</v>
      </c>
      <c r="H82" s="44">
        <f t="shared" si="4"/>
        <v>214</v>
      </c>
      <c r="I82" s="18">
        <f>IFERROR(VLOOKUP($A82,'2.1 Toteut. op.vuodet'!$A:$Q,COLUMN('2.1 Toteut. op.vuodet'!Q:Q),FALSE),0)</f>
        <v>1.0140919311502961</v>
      </c>
      <c r="J82" s="85">
        <f t="shared" si="5"/>
        <v>217</v>
      </c>
      <c r="K82" s="19">
        <f>IFERROR(Ohj.lask.[[#This Row],[Painotetut opiskelija-vuodet]]/Ohj.lask.[[#Totals],[Painotetut opiskelija-vuodet]],0)</f>
        <v>1.0764951500668964E-3</v>
      </c>
      <c r="L82" s="20">
        <f>ROUND(IFERROR('1.1 Jakotaulu'!L$10*Ohj.lask.[[#This Row],[%-osuus 1]],0),0)</f>
        <v>1280700</v>
      </c>
      <c r="M82" s="349">
        <f>IFERROR(ROUND(VLOOKUP($A82,'2.2 Tutk. ja osien pain. pist.'!$A:$Q,COLUMN('2.2 Tutk. ja osien pain. pist.'!P:P),FALSE),1),0)</f>
        <v>17161.5</v>
      </c>
      <c r="N82" s="19">
        <f>IFERROR(Ohj.lask.[[#This Row],[Painotetut pisteet 2]]/Ohj.lask.[[#Totals],[Painotetut pisteet 2]],0)</f>
        <v>1.0966929188765615E-3</v>
      </c>
      <c r="O82" s="26">
        <f>ROUND(IFERROR('1.1 Jakotaulu'!K$11*Ohj.lask.[[#This Row],[%-osuus 2]],0),0)</f>
        <v>406080</v>
      </c>
      <c r="P82" s="350">
        <f>IFERROR(ROUND(VLOOKUP($A82,'2.3 Työll. ja jatko-opisk.'!$A:$K,COLUMN('2.3 Työll. ja jatko-opisk.'!I:I),FALSE),1),0)</f>
        <v>200.1</v>
      </c>
      <c r="Q82" s="23">
        <f>IFERROR(Ohj.lask.[[#This Row],[Painotetut pisteet 3]]/Ohj.lask.[[#Totals],[Painotetut pisteet 3]],0)</f>
        <v>1.0563335670183203E-3</v>
      </c>
      <c r="R82" s="20">
        <f>ROUND(IFERROR('1.1 Jakotaulu'!L$13*Ohj.lask.[[#This Row],[%-osuus 3]],0),0)</f>
        <v>146676</v>
      </c>
      <c r="S82" s="349">
        <f>IFERROR(ROUND(VLOOKUP($A82,'2.4 Aloittaneet palaute'!$A:$K,COLUMN('2.4 Aloittaneet palaute'!J:J),FALSE),1),0)</f>
        <v>1505.3</v>
      </c>
      <c r="T82" s="23">
        <f>IFERROR(Ohj.lask.[[#This Row],[Painotetut pisteet 4]]/Ohj.lask.[[#Totals],[Painotetut pisteet 4]],0)</f>
        <v>1.2090405681181469E-3</v>
      </c>
      <c r="U82" s="26">
        <f>ROUND(IFERROR('1.1 Jakotaulu'!M$15*Ohj.lask.[[#This Row],[%-osuus 4]],0),0)</f>
        <v>13990</v>
      </c>
      <c r="V82" s="85">
        <f>IFERROR(ROUND(VLOOKUP($A82,'2.5 Päättäneet palaute'!$A:$AC,COLUMN('2.5 Päättäneet palaute'!AB:AB),FALSE),1),0)</f>
        <v>11640</v>
      </c>
      <c r="W82" s="23">
        <f>IFERROR(Ohj.lask.[[#This Row],[Painotetut pisteet 5]]/Ohj.lask.[[#Totals],[Painotetut pisteet 5]],0)</f>
        <v>1.7577519427840263E-3</v>
      </c>
      <c r="X82" s="20">
        <f>ROUND(IFERROR('1.1 Jakotaulu'!M$16*Ohj.lask.[[#This Row],[%-osuus 5]],0),0)</f>
        <v>61018</v>
      </c>
      <c r="Y82" s="22">
        <f>IFERROR(Ohj.lask.[[#This Row],[Jaettava € 6]]/Ohj.lask.[[#Totals],[Jaettava € 6]],"")</f>
        <v>1.0936067161405876E-3</v>
      </c>
      <c r="Z82" s="26">
        <f>IFERROR(Ohj.lask.[[#This Row],[Jaettava € 1]]+Ohj.lask.[[#This Row],[Jaettava € 2]]+Ohj.lask.[[#This Row],[Jaettava € 3]]+Ohj.lask.[[#This Row],[Jaettava € 4]]+Ohj.lask.[[#This Row],[Jaettava € 5]],"")</f>
        <v>1908464</v>
      </c>
      <c r="AA82" s="20">
        <v>0</v>
      </c>
      <c r="AB82" s="20">
        <v>0</v>
      </c>
      <c r="AC82" s="21">
        <v>0</v>
      </c>
      <c r="AD82" s="20">
        <v>0</v>
      </c>
      <c r="AE82" s="21">
        <v>36906</v>
      </c>
      <c r="AF82" s="20">
        <v>0</v>
      </c>
      <c r="AG82" s="21">
        <v>0</v>
      </c>
      <c r="AH82" s="20">
        <v>0</v>
      </c>
      <c r="AI82" s="21">
        <v>20000</v>
      </c>
      <c r="AJ82" s="26">
        <v>0</v>
      </c>
      <c r="AK82" s="20">
        <v>0</v>
      </c>
      <c r="AL82" s="20">
        <v>0</v>
      </c>
      <c r="AM82" s="21">
        <v>56906</v>
      </c>
      <c r="AN82" s="136">
        <v>0</v>
      </c>
      <c r="AO82" s="20">
        <f>Ohj.lask.[[#This Row],[Jaettava € 1]]+Ohj.lask.[[#This Row],[Päätös 7, €]]</f>
        <v>1280700</v>
      </c>
      <c r="AP82" s="119">
        <f>Ohj.lask.[[#This Row],[Jaettava € 2]]</f>
        <v>406080</v>
      </c>
      <c r="AQ82" s="20">
        <f>Ohj.lask.[[#This Row],[Jaettava € 3]]+Ohj.lask.[[#This Row],[Jaettava € 4]]+Ohj.lask.[[#This Row],[Jaettava € 5]]</f>
        <v>221684</v>
      </c>
      <c r="AR82" s="45">
        <f>Ohj.lask.[[#This Row],[Jaettava € 6]]+Ohj.lask.[[#This Row],[Päätös 7, €]]</f>
        <v>1908464</v>
      </c>
      <c r="AS82" s="45">
        <f>ROUND(IFERROR(VLOOKUP(Ohj.lask.[[#This Row],[Y-tunnus]],'3.1 Alv vahvistettu'!A:Y,COLUMN(C:C),FALSE),0),0)</f>
        <v>80404</v>
      </c>
      <c r="AT82" s="26">
        <f>Ohj.lask.[[#This Row],[Perus-, suoritus- ja vaikuttavuusrahoitus yhteensä, €]]+Ohj.lask.[[#This Row],[Alv-korvaus, €]]</f>
        <v>1988868</v>
      </c>
    </row>
    <row r="83" spans="1:46" ht="12.75" x14ac:dyDescent="0.2">
      <c r="A83" s="147" t="s">
        <v>325</v>
      </c>
      <c r="B83" s="17" t="s">
        <v>91</v>
      </c>
      <c r="C83" s="17" t="s">
        <v>238</v>
      </c>
      <c r="D83" s="17" t="s">
        <v>423</v>
      </c>
      <c r="E83" s="17" t="s">
        <v>663</v>
      </c>
      <c r="F83" s="128">
        <v>73</v>
      </c>
      <c r="G83" s="135">
        <v>0</v>
      </c>
      <c r="H83" s="44">
        <f t="shared" si="4"/>
        <v>73</v>
      </c>
      <c r="I83" s="18">
        <f>IFERROR(VLOOKUP($A83,'2.1 Toteut. op.vuodet'!$A:$Q,COLUMN('2.1 Toteut. op.vuodet'!Q:Q),FALSE),0)</f>
        <v>0.60735050165349558</v>
      </c>
      <c r="J83" s="85">
        <f t="shared" si="5"/>
        <v>44.3</v>
      </c>
      <c r="K83" s="19">
        <f>IFERROR(Ohj.lask.[[#This Row],[Painotetut opiskelija-vuodet]]/Ohj.lask.[[#Totals],[Painotetut opiskelija-vuodet]],0)</f>
        <v>2.1976375644222815E-4</v>
      </c>
      <c r="L83" s="20">
        <f>ROUND(IFERROR('1.1 Jakotaulu'!L$10*Ohj.lask.[[#This Row],[%-osuus 1]],0),0)</f>
        <v>261452</v>
      </c>
      <c r="M83" s="349">
        <f>IFERROR(ROUND(VLOOKUP($A83,'2.2 Tutk. ja osien pain. pist.'!$A:$Q,COLUMN('2.2 Tutk. ja osien pain. pist.'!P:P),FALSE),1),0)</f>
        <v>4594.7</v>
      </c>
      <c r="N83" s="19">
        <f>IFERROR(Ohj.lask.[[#This Row],[Painotetut pisteet 2]]/Ohj.lask.[[#Totals],[Painotetut pisteet 2]],0)</f>
        <v>2.9362089295004152E-4</v>
      </c>
      <c r="O83" s="26">
        <f>ROUND(IFERROR('1.1 Jakotaulu'!K$11*Ohj.lask.[[#This Row],[%-osuus 2]],0),0)</f>
        <v>108721</v>
      </c>
      <c r="P83" s="350">
        <f>IFERROR(ROUND(VLOOKUP($A83,'2.3 Työll. ja jatko-opisk.'!$A:$K,COLUMN('2.3 Työll. ja jatko-opisk.'!I:I),FALSE),1),0)</f>
        <v>175</v>
      </c>
      <c r="Q83" s="19">
        <f>IFERROR(Ohj.lask.[[#This Row],[Painotetut pisteet 3]]/Ohj.lask.[[#Totals],[Painotetut pisteet 3]],0)</f>
        <v>9.2382995616294887E-4</v>
      </c>
      <c r="R83" s="20">
        <f>ROUND(IFERROR('1.1 Jakotaulu'!L$13*Ohj.lask.[[#This Row],[%-osuus 3]],0),0)</f>
        <v>128277</v>
      </c>
      <c r="S83" s="349">
        <f>IFERROR(ROUND(VLOOKUP($A83,'2.4 Aloittaneet palaute'!$A:$K,COLUMN('2.4 Aloittaneet palaute'!J:J),FALSE),1),0)</f>
        <v>2026.4</v>
      </c>
      <c r="T83" s="23">
        <f>IFERROR(Ohj.lask.[[#This Row],[Painotetut pisteet 4]]/Ohj.lask.[[#Totals],[Painotetut pisteet 4]],0)</f>
        <v>1.6275824136282556E-3</v>
      </c>
      <c r="U83" s="26">
        <f>ROUND(IFERROR('1.1 Jakotaulu'!M$15*Ohj.lask.[[#This Row],[%-osuus 4]],0),0)</f>
        <v>18833</v>
      </c>
      <c r="V83" s="85">
        <f>IFERROR(ROUND(VLOOKUP($A83,'2.5 Päättäneet palaute'!$A:$AC,COLUMN('2.5 Päättäneet palaute'!AB:AB),FALSE),1),0)</f>
        <v>10784.2</v>
      </c>
      <c r="W83" s="23">
        <f>IFERROR(Ohj.lask.[[#This Row],[Painotetut pisteet 5]]/Ohj.lask.[[#Totals],[Painotetut pisteet 5]],0)</f>
        <v>1.6285179124889604E-3</v>
      </c>
      <c r="X83" s="20">
        <f>ROUND(IFERROR('1.1 Jakotaulu'!M$16*Ohj.lask.[[#This Row],[%-osuus 5]],0),0)</f>
        <v>56532</v>
      </c>
      <c r="Y83" s="22">
        <f>IFERROR(Ohj.lask.[[#This Row],[Jaettava € 6]]/Ohj.lask.[[#Totals],[Jaettava € 6]],"")</f>
        <v>3.2881308624224047E-4</v>
      </c>
      <c r="Z83" s="26">
        <f>IFERROR(Ohj.lask.[[#This Row],[Jaettava € 1]]+Ohj.lask.[[#This Row],[Jaettava € 2]]+Ohj.lask.[[#This Row],[Jaettava € 3]]+Ohj.lask.[[#This Row],[Jaettava € 4]]+Ohj.lask.[[#This Row],[Jaettava € 5]],"")</f>
        <v>573815</v>
      </c>
      <c r="AA83" s="20">
        <v>0</v>
      </c>
      <c r="AB83" s="20">
        <v>0</v>
      </c>
      <c r="AC83" s="21">
        <v>0</v>
      </c>
      <c r="AD83" s="20">
        <v>0</v>
      </c>
      <c r="AE83" s="21">
        <v>0</v>
      </c>
      <c r="AF83" s="20">
        <v>0</v>
      </c>
      <c r="AG83" s="21">
        <v>0</v>
      </c>
      <c r="AH83" s="20">
        <v>0</v>
      </c>
      <c r="AI83" s="21">
        <v>10000</v>
      </c>
      <c r="AJ83" s="26">
        <v>0</v>
      </c>
      <c r="AK83" s="20">
        <v>0</v>
      </c>
      <c r="AL83" s="20">
        <v>0</v>
      </c>
      <c r="AM83" s="21">
        <v>10000</v>
      </c>
      <c r="AN83" s="136">
        <v>0</v>
      </c>
      <c r="AO83" s="20">
        <f>Ohj.lask.[[#This Row],[Jaettava € 1]]+Ohj.lask.[[#This Row],[Päätös 7, €]]</f>
        <v>261452</v>
      </c>
      <c r="AP83" s="119">
        <f>Ohj.lask.[[#This Row],[Jaettava € 2]]</f>
        <v>108721</v>
      </c>
      <c r="AQ83" s="20">
        <f>Ohj.lask.[[#This Row],[Jaettava € 3]]+Ohj.lask.[[#This Row],[Jaettava € 4]]+Ohj.lask.[[#This Row],[Jaettava € 5]]</f>
        <v>203642</v>
      </c>
      <c r="AR83" s="45">
        <f>Ohj.lask.[[#This Row],[Jaettava € 6]]+Ohj.lask.[[#This Row],[Päätös 7, €]]</f>
        <v>573815</v>
      </c>
      <c r="AS83" s="45">
        <f>ROUND(IFERROR(VLOOKUP(Ohj.lask.[[#This Row],[Y-tunnus]],'3.1 Alv vahvistettu'!A:Y,COLUMN(C:C),FALSE),0),0)</f>
        <v>173884</v>
      </c>
      <c r="AT83" s="26">
        <f>Ohj.lask.[[#This Row],[Perus-, suoritus- ja vaikuttavuusrahoitus yhteensä, €]]+Ohj.lask.[[#This Row],[Alv-korvaus, €]]</f>
        <v>747699</v>
      </c>
    </row>
    <row r="84" spans="1:46" ht="12.75" x14ac:dyDescent="0.2">
      <c r="A84" s="147" t="s">
        <v>328</v>
      </c>
      <c r="B84" s="17" t="s">
        <v>92</v>
      </c>
      <c r="C84" s="17" t="s">
        <v>238</v>
      </c>
      <c r="D84" s="17" t="s">
        <v>423</v>
      </c>
      <c r="E84" s="17" t="s">
        <v>663</v>
      </c>
      <c r="F84" s="128">
        <v>1430</v>
      </c>
      <c r="G84" s="135">
        <v>0</v>
      </c>
      <c r="H84" s="44">
        <f t="shared" si="4"/>
        <v>1430</v>
      </c>
      <c r="I84" s="18">
        <f>IFERROR(VLOOKUP($A84,'2.1 Toteut. op.vuodet'!$A:$Q,COLUMN('2.1 Toteut. op.vuodet'!Q:Q),FALSE),0)</f>
        <v>0.63492729292062466</v>
      </c>
      <c r="J84" s="85">
        <f t="shared" si="5"/>
        <v>907.9</v>
      </c>
      <c r="K84" s="19">
        <f>IFERROR(Ohj.lask.[[#This Row],[Painotetut opiskelija-vuodet]]/Ohj.lask.[[#Totals],[Painotetut opiskelija-vuodet]],0)</f>
        <v>4.5039168052798863E-3</v>
      </c>
      <c r="L84" s="20">
        <f>ROUND(IFERROR('1.1 Jakotaulu'!L$10*Ohj.lask.[[#This Row],[%-osuus 1]],0),0)</f>
        <v>5358285</v>
      </c>
      <c r="M84" s="349">
        <f>IFERROR(ROUND(VLOOKUP($A84,'2.2 Tutk. ja osien pain. pist.'!$A:$Q,COLUMN('2.2 Tutk. ja osien pain. pist.'!P:P),FALSE),1),0)</f>
        <v>88545.5</v>
      </c>
      <c r="N84" s="19">
        <f>IFERROR(Ohj.lask.[[#This Row],[Painotetut pisteet 2]]/Ohj.lask.[[#Totals],[Painotetut pisteet 2]],0)</f>
        <v>5.6584344520225257E-3</v>
      </c>
      <c r="O84" s="26">
        <f>ROUND(IFERROR('1.1 Jakotaulu'!K$11*Ohj.lask.[[#This Row],[%-osuus 2]],0),0)</f>
        <v>2095188</v>
      </c>
      <c r="P84" s="350">
        <f>IFERROR(ROUND(VLOOKUP($A84,'2.3 Työll. ja jatko-opisk.'!$A:$K,COLUMN('2.3 Työll. ja jatko-opisk.'!I:I),FALSE),1),0)</f>
        <v>1846.3</v>
      </c>
      <c r="Q84" s="19">
        <f>IFERROR(Ohj.lask.[[#This Row],[Painotetut pisteet 3]]/Ohj.lask.[[#Totals],[Painotetut pisteet 3]],0)</f>
        <v>9.7466699889351572E-3</v>
      </c>
      <c r="R84" s="20">
        <f>ROUND(IFERROR('1.1 Jakotaulu'!L$13*Ohj.lask.[[#This Row],[%-osuus 3]],0),0)</f>
        <v>1353363</v>
      </c>
      <c r="S84" s="349">
        <f>IFERROR(ROUND(VLOOKUP($A84,'2.4 Aloittaneet palaute'!$A:$K,COLUMN('2.4 Aloittaneet palaute'!J:J),FALSE),1),0)</f>
        <v>10992.4</v>
      </c>
      <c r="T84" s="23">
        <f>IFERROR(Ohj.lask.[[#This Row],[Painotetut pisteet 4]]/Ohj.lask.[[#Totals],[Painotetut pisteet 4]],0)</f>
        <v>8.8289759788626309E-3</v>
      </c>
      <c r="U84" s="26">
        <f>ROUND(IFERROR('1.1 Jakotaulu'!M$15*Ohj.lask.[[#This Row],[%-osuus 4]],0),0)</f>
        <v>102161</v>
      </c>
      <c r="V84" s="85">
        <f>IFERROR(ROUND(VLOOKUP($A84,'2.5 Päättäneet palaute'!$A:$AC,COLUMN('2.5 Päättäneet palaute'!AB:AB),FALSE),1),0)</f>
        <v>86532.800000000003</v>
      </c>
      <c r="W84" s="23">
        <f>IFERROR(Ohj.lask.[[#This Row],[Painotetut pisteet 5]]/Ohj.lask.[[#Totals],[Painotetut pisteet 5]],0)</f>
        <v>1.3067284992658213E-2</v>
      </c>
      <c r="X84" s="20">
        <f>ROUND(IFERROR('1.1 Jakotaulu'!M$16*Ohj.lask.[[#This Row],[%-osuus 5]],0),0)</f>
        <v>453611</v>
      </c>
      <c r="Y84" s="22">
        <f>IFERROR(Ohj.lask.[[#This Row],[Jaettava € 6]]/Ohj.lask.[[#Totals],[Jaettava € 6]],"")</f>
        <v>5.3650532519301354E-3</v>
      </c>
      <c r="Z84" s="26">
        <f>IFERROR(Ohj.lask.[[#This Row],[Jaettava € 1]]+Ohj.lask.[[#This Row],[Jaettava € 2]]+Ohj.lask.[[#This Row],[Jaettava € 3]]+Ohj.lask.[[#This Row],[Jaettava € 4]]+Ohj.lask.[[#This Row],[Jaettava € 5]],"")</f>
        <v>9362608</v>
      </c>
      <c r="AA84" s="20">
        <v>0</v>
      </c>
      <c r="AB84" s="20">
        <v>0</v>
      </c>
      <c r="AC84" s="21">
        <v>0</v>
      </c>
      <c r="AD84" s="20">
        <v>0</v>
      </c>
      <c r="AE84" s="21">
        <v>0</v>
      </c>
      <c r="AF84" s="20">
        <v>0</v>
      </c>
      <c r="AG84" s="21">
        <v>0</v>
      </c>
      <c r="AH84" s="20">
        <v>0</v>
      </c>
      <c r="AI84" s="21">
        <v>0</v>
      </c>
      <c r="AJ84" s="26">
        <v>0</v>
      </c>
      <c r="AK84" s="20">
        <v>0</v>
      </c>
      <c r="AL84" s="20">
        <v>0</v>
      </c>
      <c r="AM84" s="21">
        <v>0</v>
      </c>
      <c r="AN84" s="136">
        <v>0</v>
      </c>
      <c r="AO84" s="20">
        <f>Ohj.lask.[[#This Row],[Jaettava € 1]]+Ohj.lask.[[#This Row],[Päätös 7, €]]</f>
        <v>5358285</v>
      </c>
      <c r="AP84" s="119">
        <f>Ohj.lask.[[#This Row],[Jaettava € 2]]</f>
        <v>2095188</v>
      </c>
      <c r="AQ84" s="20">
        <f>Ohj.lask.[[#This Row],[Jaettava € 3]]+Ohj.lask.[[#This Row],[Jaettava € 4]]+Ohj.lask.[[#This Row],[Jaettava € 5]]</f>
        <v>1909135</v>
      </c>
      <c r="AR84" s="45">
        <f>Ohj.lask.[[#This Row],[Jaettava € 6]]+Ohj.lask.[[#This Row],[Päätös 7, €]]</f>
        <v>9362608</v>
      </c>
      <c r="AS84" s="45">
        <f>ROUND(IFERROR(VLOOKUP(Ohj.lask.[[#This Row],[Y-tunnus]],'3.1 Alv vahvistettu'!A:Y,COLUMN(C:C),FALSE),0),0)</f>
        <v>1171032</v>
      </c>
      <c r="AT84" s="26">
        <f>Ohj.lask.[[#This Row],[Perus-, suoritus- ja vaikuttavuusrahoitus yhteensä, €]]+Ohj.lask.[[#This Row],[Alv-korvaus, €]]</f>
        <v>10533640</v>
      </c>
    </row>
    <row r="85" spans="1:46" ht="12.75" x14ac:dyDescent="0.2">
      <c r="A85" s="147" t="s">
        <v>327</v>
      </c>
      <c r="B85" s="17" t="s">
        <v>93</v>
      </c>
      <c r="C85" s="113" t="s">
        <v>246</v>
      </c>
      <c r="D85" s="113" t="s">
        <v>423</v>
      </c>
      <c r="E85" s="113" t="s">
        <v>663</v>
      </c>
      <c r="F85" s="127">
        <v>153</v>
      </c>
      <c r="G85" s="135">
        <v>57</v>
      </c>
      <c r="H85" s="44">
        <f t="shared" si="4"/>
        <v>210</v>
      </c>
      <c r="I85" s="18">
        <f>IFERROR(VLOOKUP($A85,'2.1 Toteut. op.vuodet'!$A:$Q,COLUMN('2.1 Toteut. op.vuodet'!Q:Q),FALSE),0)</f>
        <v>0.99465592819677384</v>
      </c>
      <c r="J85" s="85">
        <f t="shared" si="5"/>
        <v>208.9</v>
      </c>
      <c r="K85" s="19">
        <f>IFERROR(Ohj.lask.[[#This Row],[Painotetut opiskelija-vuodet]]/Ohj.lask.[[#Totals],[Painotetut opiskelija-vuodet]],0)</f>
        <v>1.0363126122072566E-3</v>
      </c>
      <c r="L85" s="20">
        <f>ROUND(IFERROR('1.1 Jakotaulu'!L$10*Ohj.lask.[[#This Row],[%-osuus 1]],0),0)</f>
        <v>1232895</v>
      </c>
      <c r="M85" s="349">
        <f>IFERROR(ROUND(VLOOKUP($A85,'2.2 Tutk. ja osien pain. pist.'!$A:$Q,COLUMN('2.2 Tutk. ja osien pain. pist.'!P:P),FALSE),1),0)</f>
        <v>16233</v>
      </c>
      <c r="N85" s="19">
        <f>IFERROR(Ohj.lask.[[#This Row],[Painotetut pisteet 2]]/Ohj.lask.[[#Totals],[Painotetut pisteet 2]],0)</f>
        <v>1.0373578155827418E-3</v>
      </c>
      <c r="O85" s="26">
        <f>ROUND(IFERROR('1.1 Jakotaulu'!K$11*Ohj.lask.[[#This Row],[%-osuus 2]],0),0)</f>
        <v>384110</v>
      </c>
      <c r="P85" s="350">
        <f>IFERROR(ROUND(VLOOKUP($A85,'2.3 Työll. ja jatko-opisk.'!$A:$K,COLUMN('2.3 Työll. ja jatko-opisk.'!I:I),FALSE),1),0)</f>
        <v>238.6</v>
      </c>
      <c r="Q85" s="23">
        <f>IFERROR(Ohj.lask.[[#This Row],[Painotetut pisteet 3]]/Ohj.lask.[[#Totals],[Painotetut pisteet 3]],0)</f>
        <v>1.2595761573741691E-3</v>
      </c>
      <c r="R85" s="20">
        <f>ROUND(IFERROR('1.1 Jakotaulu'!L$13*Ohj.lask.[[#This Row],[%-osuus 3]],0),0)</f>
        <v>174897</v>
      </c>
      <c r="S85" s="349">
        <f>IFERROR(ROUND(VLOOKUP($A85,'2.4 Aloittaneet palaute'!$A:$K,COLUMN('2.4 Aloittaneet palaute'!J:J),FALSE),1),0)</f>
        <v>2668.8</v>
      </c>
      <c r="T85" s="23">
        <f>IFERROR(Ohj.lask.[[#This Row],[Painotetut pisteet 4]]/Ohj.lask.[[#Totals],[Painotetut pisteet 4]],0)</f>
        <v>2.1435510982486619E-3</v>
      </c>
      <c r="U85" s="26">
        <f>ROUND(IFERROR('1.1 Jakotaulu'!M$15*Ohj.lask.[[#This Row],[%-osuus 4]],0),0)</f>
        <v>24803</v>
      </c>
      <c r="V85" s="85">
        <f>IFERROR(ROUND(VLOOKUP($A85,'2.5 Päättäneet palaute'!$A:$AC,COLUMN('2.5 Päättäneet palaute'!AB:AB),FALSE),1),0)</f>
        <v>9080.1</v>
      </c>
      <c r="W85" s="23">
        <f>IFERROR(Ohj.lask.[[#This Row],[Painotetut pisteet 5]]/Ohj.lask.[[#Totals],[Painotetut pisteet 5]],0)</f>
        <v>1.3711824240269105E-3</v>
      </c>
      <c r="X85" s="20">
        <f>ROUND(IFERROR('1.1 Jakotaulu'!M$16*Ohj.lask.[[#This Row],[%-osuus 5]],0),0)</f>
        <v>47598</v>
      </c>
      <c r="Y85" s="22">
        <f>IFERROR(Ohj.lask.[[#This Row],[Jaettava € 6]]/Ohj.lask.[[#Totals],[Jaettava € 6]],"")</f>
        <v>1.0683011477926991E-3</v>
      </c>
      <c r="Z85" s="26">
        <f>IFERROR(Ohj.lask.[[#This Row],[Jaettava € 1]]+Ohj.lask.[[#This Row],[Jaettava € 2]]+Ohj.lask.[[#This Row],[Jaettava € 3]]+Ohj.lask.[[#This Row],[Jaettava € 4]]+Ohj.lask.[[#This Row],[Jaettava € 5]],"")</f>
        <v>1864303</v>
      </c>
      <c r="AA85" s="20">
        <v>0</v>
      </c>
      <c r="AB85" s="20">
        <v>0</v>
      </c>
      <c r="AC85" s="21">
        <v>50000</v>
      </c>
      <c r="AD85" s="20">
        <v>0</v>
      </c>
      <c r="AE85" s="21">
        <v>0</v>
      </c>
      <c r="AF85" s="20">
        <v>0</v>
      </c>
      <c r="AG85" s="21">
        <v>0</v>
      </c>
      <c r="AH85" s="20">
        <v>0</v>
      </c>
      <c r="AI85" s="21">
        <v>27000</v>
      </c>
      <c r="AJ85" s="26">
        <v>0</v>
      </c>
      <c r="AK85" s="20">
        <v>0</v>
      </c>
      <c r="AL85" s="20">
        <v>0</v>
      </c>
      <c r="AM85" s="21">
        <v>77000</v>
      </c>
      <c r="AN85" s="136">
        <v>0</v>
      </c>
      <c r="AO85" s="20">
        <f>Ohj.lask.[[#This Row],[Jaettava € 1]]+Ohj.lask.[[#This Row],[Päätös 7, €]]</f>
        <v>1232895</v>
      </c>
      <c r="AP85" s="119">
        <f>Ohj.lask.[[#This Row],[Jaettava € 2]]</f>
        <v>384110</v>
      </c>
      <c r="AQ85" s="20">
        <f>Ohj.lask.[[#This Row],[Jaettava € 3]]+Ohj.lask.[[#This Row],[Jaettava € 4]]+Ohj.lask.[[#This Row],[Jaettava € 5]]</f>
        <v>247298</v>
      </c>
      <c r="AR85" s="45">
        <f>Ohj.lask.[[#This Row],[Jaettava € 6]]+Ohj.lask.[[#This Row],[Päätös 7, €]]</f>
        <v>1864303</v>
      </c>
      <c r="AS85" s="45">
        <f>ROUND(IFERROR(VLOOKUP(Ohj.lask.[[#This Row],[Y-tunnus]],'3.1 Alv vahvistettu'!A:Y,COLUMN(C:C),FALSE),0),0)</f>
        <v>102813</v>
      </c>
      <c r="AT85" s="26">
        <f>Ohj.lask.[[#This Row],[Perus-, suoritus- ja vaikuttavuusrahoitus yhteensä, €]]+Ohj.lask.[[#This Row],[Alv-korvaus, €]]</f>
        <v>1967116</v>
      </c>
    </row>
    <row r="86" spans="1:46" ht="12.75" x14ac:dyDescent="0.2">
      <c r="A86" s="147" t="s">
        <v>326</v>
      </c>
      <c r="B86" s="17" t="s">
        <v>173</v>
      </c>
      <c r="C86" s="17" t="s">
        <v>254</v>
      </c>
      <c r="D86" s="17" t="s">
        <v>423</v>
      </c>
      <c r="E86" s="17" t="s">
        <v>663</v>
      </c>
      <c r="F86" s="128">
        <v>0</v>
      </c>
      <c r="G86" s="135">
        <v>13</v>
      </c>
      <c r="H86" s="44">
        <f t="shared" si="4"/>
        <v>13</v>
      </c>
      <c r="I86" s="18">
        <f>IFERROR(VLOOKUP($A86,'2.1 Toteut. op.vuodet'!$A:$Q,COLUMN('2.1 Toteut. op.vuodet'!Q:Q),FALSE),0)</f>
        <v>0.45127704141743613</v>
      </c>
      <c r="J86" s="85">
        <f t="shared" si="5"/>
        <v>5.9</v>
      </c>
      <c r="K86" s="19">
        <f>IFERROR(Ohj.lask.[[#This Row],[Painotetut opiskelija-vuodet]]/Ohj.lask.[[#Totals],[Painotetut opiskelija-vuodet]],0)</f>
        <v>2.9268762144675988E-5</v>
      </c>
      <c r="L86" s="20">
        <f>ROUND(IFERROR('1.1 Jakotaulu'!L$10*Ohj.lask.[[#This Row],[%-osuus 1]],0),0)</f>
        <v>34821</v>
      </c>
      <c r="M86" s="349">
        <f>IFERROR(ROUND(VLOOKUP($A86,'2.2 Tutk. ja osien pain. pist.'!$A:$Q,COLUMN('2.2 Tutk. ja osien pain. pist.'!P:P),FALSE),1),0)</f>
        <v>0</v>
      </c>
      <c r="N86" s="19">
        <f>IFERROR(Ohj.lask.[[#This Row],[Painotetut pisteet 2]]/Ohj.lask.[[#Totals],[Painotetut pisteet 2]],0)</f>
        <v>0</v>
      </c>
      <c r="O86" s="26">
        <f>ROUND(IFERROR('1.1 Jakotaulu'!K$11*Ohj.lask.[[#This Row],[%-osuus 2]],0),0)</f>
        <v>0</v>
      </c>
      <c r="P86" s="350">
        <f>IFERROR(ROUND(VLOOKUP($A86,'2.3 Työll. ja jatko-opisk.'!$A:$K,COLUMN('2.3 Työll. ja jatko-opisk.'!I:I),FALSE),1),0)</f>
        <v>0</v>
      </c>
      <c r="Q86" s="19">
        <f>IFERROR(Ohj.lask.[[#This Row],[Painotetut pisteet 3]]/Ohj.lask.[[#Totals],[Painotetut pisteet 3]],0)</f>
        <v>0</v>
      </c>
      <c r="R86" s="20">
        <f>ROUND(IFERROR('1.1 Jakotaulu'!L$13*Ohj.lask.[[#This Row],[%-osuus 3]],0),0)</f>
        <v>0</v>
      </c>
      <c r="S86" s="349">
        <f>IFERROR(ROUND(VLOOKUP($A86,'2.4 Aloittaneet palaute'!$A:$K,COLUMN('2.4 Aloittaneet palaute'!J:J),FALSE),1),0)</f>
        <v>0</v>
      </c>
      <c r="T86" s="23">
        <f>IFERROR(Ohj.lask.[[#This Row],[Painotetut pisteet 4]]/Ohj.lask.[[#Totals],[Painotetut pisteet 4]],0)</f>
        <v>0</v>
      </c>
      <c r="U86" s="26">
        <f>ROUND(IFERROR('1.1 Jakotaulu'!M$15*Ohj.lask.[[#This Row],[%-osuus 4]],0),0)</f>
        <v>0</v>
      </c>
      <c r="V86" s="85">
        <f>IFERROR(ROUND(VLOOKUP($A86,'2.5 Päättäneet palaute'!$A:$AC,COLUMN('2.5 Päättäneet palaute'!AB:AB),FALSE),1),0)</f>
        <v>0</v>
      </c>
      <c r="W86" s="23">
        <f>IFERROR(Ohj.lask.[[#This Row],[Painotetut pisteet 5]]/Ohj.lask.[[#Totals],[Painotetut pisteet 5]],0)</f>
        <v>0</v>
      </c>
      <c r="X86" s="20">
        <f>ROUND(IFERROR('1.1 Jakotaulu'!M$16*Ohj.lask.[[#This Row],[%-osuus 5]],0),0)</f>
        <v>0</v>
      </c>
      <c r="Y86" s="22">
        <f>IFERROR(Ohj.lask.[[#This Row],[Jaettava € 6]]/Ohj.lask.[[#Totals],[Jaettava € 6]],"")</f>
        <v>1.9953470153343944E-5</v>
      </c>
      <c r="Z86" s="26">
        <f>IFERROR(Ohj.lask.[[#This Row],[Jaettava € 1]]+Ohj.lask.[[#This Row],[Jaettava € 2]]+Ohj.lask.[[#This Row],[Jaettava € 3]]+Ohj.lask.[[#This Row],[Jaettava € 4]]+Ohj.lask.[[#This Row],[Jaettava € 5]],"")</f>
        <v>34821</v>
      </c>
      <c r="AA86" s="20">
        <v>0</v>
      </c>
      <c r="AB86" s="20">
        <v>0</v>
      </c>
      <c r="AC86" s="21">
        <v>0</v>
      </c>
      <c r="AD86" s="20">
        <v>0</v>
      </c>
      <c r="AE86" s="21">
        <v>0</v>
      </c>
      <c r="AF86" s="20">
        <v>0</v>
      </c>
      <c r="AG86" s="21">
        <v>0</v>
      </c>
      <c r="AH86" s="20">
        <v>0</v>
      </c>
      <c r="AI86" s="21">
        <v>0</v>
      </c>
      <c r="AJ86" s="26">
        <v>0</v>
      </c>
      <c r="AK86" s="20">
        <v>0</v>
      </c>
      <c r="AL86" s="20">
        <v>0</v>
      </c>
      <c r="AM86" s="21">
        <v>0</v>
      </c>
      <c r="AN86" s="136">
        <v>0</v>
      </c>
      <c r="AO86" s="20">
        <f>Ohj.lask.[[#This Row],[Jaettava € 1]]+Ohj.lask.[[#This Row],[Päätös 7, €]]</f>
        <v>34821</v>
      </c>
      <c r="AP86" s="119">
        <f>Ohj.lask.[[#This Row],[Jaettava € 2]]</f>
        <v>0</v>
      </c>
      <c r="AQ86" s="20">
        <f>Ohj.lask.[[#This Row],[Jaettava € 3]]+Ohj.lask.[[#This Row],[Jaettava € 4]]+Ohj.lask.[[#This Row],[Jaettava € 5]]</f>
        <v>0</v>
      </c>
      <c r="AR86" s="45">
        <f>Ohj.lask.[[#This Row],[Jaettava € 6]]+Ohj.lask.[[#This Row],[Päätös 7, €]]</f>
        <v>34821</v>
      </c>
      <c r="AS86" s="45">
        <f>ROUND(IFERROR(VLOOKUP(Ohj.lask.[[#This Row],[Y-tunnus]],'3.1 Alv vahvistettu'!A:Y,COLUMN(C:C),FALSE),0),0)</f>
        <v>0</v>
      </c>
      <c r="AT86" s="26">
        <f>Ohj.lask.[[#This Row],[Perus-, suoritus- ja vaikuttavuusrahoitus yhteensä, €]]+Ohj.lask.[[#This Row],[Alv-korvaus, €]]</f>
        <v>34821</v>
      </c>
    </row>
    <row r="87" spans="1:46" ht="12.75" x14ac:dyDescent="0.2">
      <c r="A87" s="147" t="s">
        <v>324</v>
      </c>
      <c r="B87" s="17" t="s">
        <v>182</v>
      </c>
      <c r="C87" s="17" t="s">
        <v>249</v>
      </c>
      <c r="D87" s="17" t="s">
        <v>423</v>
      </c>
      <c r="E87" s="17" t="s">
        <v>663</v>
      </c>
      <c r="F87" s="128">
        <v>0</v>
      </c>
      <c r="G87" s="135">
        <v>0</v>
      </c>
      <c r="H87" s="44">
        <f t="shared" si="4"/>
        <v>0</v>
      </c>
      <c r="I87" s="18">
        <f>IFERROR(VLOOKUP($A87,'2.1 Toteut. op.vuodet'!$A:$Q,COLUMN('2.1 Toteut. op.vuodet'!Q:Q),FALSE),0)</f>
        <v>0</v>
      </c>
      <c r="J87" s="85">
        <f t="shared" si="5"/>
        <v>0</v>
      </c>
      <c r="K87" s="19">
        <f>IFERROR(Ohj.lask.[[#This Row],[Painotetut opiskelija-vuodet]]/Ohj.lask.[[#Totals],[Painotetut opiskelija-vuodet]],0)</f>
        <v>0</v>
      </c>
      <c r="L87" s="20">
        <f>ROUND(IFERROR('1.1 Jakotaulu'!L$10*Ohj.lask.[[#This Row],[%-osuus 1]],0),0)</f>
        <v>0</v>
      </c>
      <c r="M87" s="349">
        <f>IFERROR(ROUND(VLOOKUP($A87,'2.2 Tutk. ja osien pain. pist.'!$A:$Q,COLUMN('2.2 Tutk. ja osien pain. pist.'!P:P),FALSE),1),0)</f>
        <v>0</v>
      </c>
      <c r="N87" s="19">
        <f>IFERROR(Ohj.lask.[[#This Row],[Painotetut pisteet 2]]/Ohj.lask.[[#Totals],[Painotetut pisteet 2]],0)</f>
        <v>0</v>
      </c>
      <c r="O87" s="26">
        <f>ROUND(IFERROR('1.1 Jakotaulu'!K$11*Ohj.lask.[[#This Row],[%-osuus 2]],0),0)</f>
        <v>0</v>
      </c>
      <c r="P87" s="350">
        <f>IFERROR(ROUND(VLOOKUP($A87,'2.3 Työll. ja jatko-opisk.'!$A:$K,COLUMN('2.3 Työll. ja jatko-opisk.'!I:I),FALSE),1),0)</f>
        <v>0</v>
      </c>
      <c r="Q87" s="19">
        <f>IFERROR(Ohj.lask.[[#This Row],[Painotetut pisteet 3]]/Ohj.lask.[[#Totals],[Painotetut pisteet 3]],0)</f>
        <v>0</v>
      </c>
      <c r="R87" s="20">
        <f>ROUND(IFERROR('1.1 Jakotaulu'!L$13*Ohj.lask.[[#This Row],[%-osuus 3]],0),0)</f>
        <v>0</v>
      </c>
      <c r="S87" s="349">
        <f>IFERROR(ROUND(VLOOKUP($A87,'2.4 Aloittaneet palaute'!$A:$K,COLUMN('2.4 Aloittaneet palaute'!J:J),FALSE),1),0)</f>
        <v>0</v>
      </c>
      <c r="T87" s="23">
        <f>IFERROR(Ohj.lask.[[#This Row],[Painotetut pisteet 4]]/Ohj.lask.[[#Totals],[Painotetut pisteet 4]],0)</f>
        <v>0</v>
      </c>
      <c r="U87" s="26">
        <f>ROUND(IFERROR('1.1 Jakotaulu'!M$15*Ohj.lask.[[#This Row],[%-osuus 4]],0),0)</f>
        <v>0</v>
      </c>
      <c r="V87" s="85">
        <f>IFERROR(ROUND(VLOOKUP($A87,'2.5 Päättäneet palaute'!$A:$AC,COLUMN('2.5 Päättäneet palaute'!AB:AB),FALSE),1),0)</f>
        <v>0</v>
      </c>
      <c r="W87" s="23">
        <f>IFERROR(Ohj.lask.[[#This Row],[Painotetut pisteet 5]]/Ohj.lask.[[#Totals],[Painotetut pisteet 5]],0)</f>
        <v>0</v>
      </c>
      <c r="X87" s="20">
        <f>ROUND(IFERROR('1.1 Jakotaulu'!M$16*Ohj.lask.[[#This Row],[%-osuus 5]],0),0)</f>
        <v>0</v>
      </c>
      <c r="Y87" s="22">
        <f>IFERROR(Ohj.lask.[[#This Row],[Jaettava € 6]]/Ohj.lask.[[#Totals],[Jaettava € 6]],"")</f>
        <v>0</v>
      </c>
      <c r="Z87" s="26">
        <f>IFERROR(Ohj.lask.[[#This Row],[Jaettava € 1]]+Ohj.lask.[[#This Row],[Jaettava € 2]]+Ohj.lask.[[#This Row],[Jaettava € 3]]+Ohj.lask.[[#This Row],[Jaettava € 4]]+Ohj.lask.[[#This Row],[Jaettava € 5]],"")</f>
        <v>0</v>
      </c>
      <c r="AA87" s="20">
        <v>0</v>
      </c>
      <c r="AB87" s="20">
        <v>0</v>
      </c>
      <c r="AC87" s="21">
        <v>0</v>
      </c>
      <c r="AD87" s="20">
        <v>0</v>
      </c>
      <c r="AE87" s="21">
        <v>0</v>
      </c>
      <c r="AF87" s="20">
        <v>0</v>
      </c>
      <c r="AG87" s="21">
        <v>0</v>
      </c>
      <c r="AH87" s="20">
        <v>0</v>
      </c>
      <c r="AI87" s="21">
        <v>0</v>
      </c>
      <c r="AJ87" s="26">
        <v>0</v>
      </c>
      <c r="AK87" s="20">
        <v>0</v>
      </c>
      <c r="AL87" s="20">
        <v>0</v>
      </c>
      <c r="AM87" s="21">
        <v>0</v>
      </c>
      <c r="AN87" s="136">
        <v>0</v>
      </c>
      <c r="AO87" s="20">
        <f>Ohj.lask.[[#This Row],[Jaettava € 1]]+Ohj.lask.[[#This Row],[Päätös 7, €]]</f>
        <v>0</v>
      </c>
      <c r="AP87" s="119">
        <f>Ohj.lask.[[#This Row],[Jaettava € 2]]</f>
        <v>0</v>
      </c>
      <c r="AQ87" s="20">
        <f>Ohj.lask.[[#This Row],[Jaettava € 3]]+Ohj.lask.[[#This Row],[Jaettava € 4]]+Ohj.lask.[[#This Row],[Jaettava € 5]]</f>
        <v>0</v>
      </c>
      <c r="AR87" s="45">
        <f>Ohj.lask.[[#This Row],[Jaettava € 6]]+Ohj.lask.[[#This Row],[Päätös 7, €]]</f>
        <v>0</v>
      </c>
      <c r="AS87" s="45">
        <f>ROUND(IFERROR(VLOOKUP(Ohj.lask.[[#This Row],[Y-tunnus]],'3.1 Alv vahvistettu'!A:Y,COLUMN(C:C),FALSE),0),0)</f>
        <v>0</v>
      </c>
      <c r="AT87" s="26">
        <f>Ohj.lask.[[#This Row],[Perus-, suoritus- ja vaikuttavuusrahoitus yhteensä, €]]+Ohj.lask.[[#This Row],[Alv-korvaus, €]]</f>
        <v>0</v>
      </c>
    </row>
    <row r="88" spans="1:46" ht="12.75" x14ac:dyDescent="0.2">
      <c r="A88" s="147" t="s">
        <v>323</v>
      </c>
      <c r="B88" s="17" t="s">
        <v>192</v>
      </c>
      <c r="C88" s="17" t="s">
        <v>238</v>
      </c>
      <c r="D88" s="17" t="s">
        <v>423</v>
      </c>
      <c r="E88" s="17" t="s">
        <v>663</v>
      </c>
      <c r="F88" s="128">
        <v>0</v>
      </c>
      <c r="G88" s="135">
        <v>0</v>
      </c>
      <c r="H88" s="44">
        <f t="shared" si="4"/>
        <v>0</v>
      </c>
      <c r="I88" s="18">
        <f>IFERROR(VLOOKUP($A88,'2.1 Toteut. op.vuodet'!$A:$Q,COLUMN('2.1 Toteut. op.vuodet'!Q:Q),FALSE),0)</f>
        <v>0.43000000000000005</v>
      </c>
      <c r="J88" s="85">
        <f t="shared" si="5"/>
        <v>0</v>
      </c>
      <c r="K88" s="19">
        <f>IFERROR(Ohj.lask.[[#This Row],[Painotetut opiskelija-vuodet]]/Ohj.lask.[[#Totals],[Painotetut opiskelija-vuodet]],0)</f>
        <v>0</v>
      </c>
      <c r="L88" s="20">
        <f>ROUND(IFERROR('1.1 Jakotaulu'!L$10*Ohj.lask.[[#This Row],[%-osuus 1]],0),0)</f>
        <v>0</v>
      </c>
      <c r="M88" s="349">
        <f>IFERROR(ROUND(VLOOKUP($A88,'2.2 Tutk. ja osien pain. pist.'!$A:$Q,COLUMN('2.2 Tutk. ja osien pain. pist.'!P:P),FALSE),1),0)</f>
        <v>0</v>
      </c>
      <c r="N88" s="19">
        <f>IFERROR(Ohj.lask.[[#This Row],[Painotetut pisteet 2]]/Ohj.lask.[[#Totals],[Painotetut pisteet 2]],0)</f>
        <v>0</v>
      </c>
      <c r="O88" s="26">
        <f>ROUND(IFERROR('1.1 Jakotaulu'!K$11*Ohj.lask.[[#This Row],[%-osuus 2]],0),0)</f>
        <v>0</v>
      </c>
      <c r="P88" s="350">
        <f>IFERROR(ROUND(VLOOKUP($A88,'2.3 Työll. ja jatko-opisk.'!$A:$K,COLUMN('2.3 Työll. ja jatko-opisk.'!I:I),FALSE),1),0)</f>
        <v>0</v>
      </c>
      <c r="Q88" s="19">
        <f>IFERROR(Ohj.lask.[[#This Row],[Painotetut pisteet 3]]/Ohj.lask.[[#Totals],[Painotetut pisteet 3]],0)</f>
        <v>0</v>
      </c>
      <c r="R88" s="20">
        <f>ROUND(IFERROR('1.1 Jakotaulu'!L$13*Ohj.lask.[[#This Row],[%-osuus 3]],0),0)</f>
        <v>0</v>
      </c>
      <c r="S88" s="349">
        <f>IFERROR(ROUND(VLOOKUP($A88,'2.4 Aloittaneet palaute'!$A:$K,COLUMN('2.4 Aloittaneet palaute'!J:J),FALSE),1),0)</f>
        <v>0</v>
      </c>
      <c r="T88" s="23">
        <f>IFERROR(Ohj.lask.[[#This Row],[Painotetut pisteet 4]]/Ohj.lask.[[#Totals],[Painotetut pisteet 4]],0)</f>
        <v>0</v>
      </c>
      <c r="U88" s="26">
        <f>ROUND(IFERROR('1.1 Jakotaulu'!M$15*Ohj.lask.[[#This Row],[%-osuus 4]],0),0)</f>
        <v>0</v>
      </c>
      <c r="V88" s="85">
        <f>IFERROR(ROUND(VLOOKUP($A88,'2.5 Päättäneet palaute'!$A:$AC,COLUMN('2.5 Päättäneet palaute'!AB:AB),FALSE),1),0)</f>
        <v>0</v>
      </c>
      <c r="W88" s="23">
        <f>IFERROR(Ohj.lask.[[#This Row],[Painotetut pisteet 5]]/Ohj.lask.[[#Totals],[Painotetut pisteet 5]],0)</f>
        <v>0</v>
      </c>
      <c r="X88" s="20">
        <f>ROUND(IFERROR('1.1 Jakotaulu'!M$16*Ohj.lask.[[#This Row],[%-osuus 5]],0),0)</f>
        <v>0</v>
      </c>
      <c r="Y88" s="22">
        <f>IFERROR(Ohj.lask.[[#This Row],[Jaettava € 6]]/Ohj.lask.[[#Totals],[Jaettava € 6]],"")</f>
        <v>0</v>
      </c>
      <c r="Z88" s="26">
        <f>IFERROR(Ohj.lask.[[#This Row],[Jaettava € 1]]+Ohj.lask.[[#This Row],[Jaettava € 2]]+Ohj.lask.[[#This Row],[Jaettava € 3]]+Ohj.lask.[[#This Row],[Jaettava € 4]]+Ohj.lask.[[#This Row],[Jaettava € 5]],"")</f>
        <v>0</v>
      </c>
      <c r="AA88" s="20">
        <v>0</v>
      </c>
      <c r="AB88" s="20">
        <v>0</v>
      </c>
      <c r="AC88" s="21">
        <v>0</v>
      </c>
      <c r="AD88" s="20">
        <v>0</v>
      </c>
      <c r="AE88" s="21">
        <v>0</v>
      </c>
      <c r="AF88" s="20">
        <v>0</v>
      </c>
      <c r="AG88" s="21">
        <v>0</v>
      </c>
      <c r="AH88" s="20">
        <v>0</v>
      </c>
      <c r="AI88" s="21">
        <v>0</v>
      </c>
      <c r="AJ88" s="26">
        <v>0</v>
      </c>
      <c r="AK88" s="20">
        <v>0</v>
      </c>
      <c r="AL88" s="20">
        <v>0</v>
      </c>
      <c r="AM88" s="21">
        <v>0</v>
      </c>
      <c r="AN88" s="136">
        <v>0</v>
      </c>
      <c r="AO88" s="20">
        <f>Ohj.lask.[[#This Row],[Jaettava € 1]]+Ohj.lask.[[#This Row],[Päätös 7, €]]</f>
        <v>0</v>
      </c>
      <c r="AP88" s="119">
        <f>Ohj.lask.[[#This Row],[Jaettava € 2]]</f>
        <v>0</v>
      </c>
      <c r="AQ88" s="20">
        <f>Ohj.lask.[[#This Row],[Jaettava € 3]]+Ohj.lask.[[#This Row],[Jaettava € 4]]+Ohj.lask.[[#This Row],[Jaettava € 5]]</f>
        <v>0</v>
      </c>
      <c r="AR88" s="45">
        <f>Ohj.lask.[[#This Row],[Jaettava € 6]]+Ohj.lask.[[#This Row],[Päätös 7, €]]</f>
        <v>0</v>
      </c>
      <c r="AS88" s="45">
        <f>ROUND(IFERROR(VLOOKUP(Ohj.lask.[[#This Row],[Y-tunnus]],'3.1 Alv vahvistettu'!A:Y,COLUMN(C:C),FALSE),0),0)</f>
        <v>0</v>
      </c>
      <c r="AT88" s="26">
        <f>Ohj.lask.[[#This Row],[Perus-, suoritus- ja vaikuttavuusrahoitus yhteensä, €]]+Ohj.lask.[[#This Row],[Alv-korvaus, €]]</f>
        <v>0</v>
      </c>
    </row>
    <row r="89" spans="1:46" ht="12.75" x14ac:dyDescent="0.2">
      <c r="A89" s="147" t="s">
        <v>322</v>
      </c>
      <c r="B89" s="17" t="s">
        <v>488</v>
      </c>
      <c r="C89" s="17" t="s">
        <v>238</v>
      </c>
      <c r="D89" s="17" t="s">
        <v>423</v>
      </c>
      <c r="E89" s="17" t="s">
        <v>663</v>
      </c>
      <c r="F89" s="128">
        <v>0</v>
      </c>
      <c r="G89" s="135">
        <v>2</v>
      </c>
      <c r="H89" s="44">
        <f t="shared" si="4"/>
        <v>2</v>
      </c>
      <c r="I89" s="18">
        <f>IFERROR(VLOOKUP($A89,'2.1 Toteut. op.vuodet'!$A:$Q,COLUMN('2.1 Toteut. op.vuodet'!Q:Q),FALSE),0)</f>
        <v>0.72913043478260864</v>
      </c>
      <c r="J89" s="85">
        <f t="shared" si="5"/>
        <v>1.5</v>
      </c>
      <c r="K89" s="19">
        <f>IFERROR(Ohj.lask.[[#This Row],[Painotetut opiskelija-vuodet]]/Ohj.lask.[[#Totals],[Painotetut opiskelija-vuodet]],0)</f>
        <v>7.4412107147481322E-6</v>
      </c>
      <c r="L89" s="20">
        <f>ROUND(IFERROR('1.1 Jakotaulu'!L$10*Ohj.lask.[[#This Row],[%-osuus 1]],0),0)</f>
        <v>8853</v>
      </c>
      <c r="M89" s="349">
        <f>IFERROR(ROUND(VLOOKUP($A89,'2.2 Tutk. ja osien pain. pist.'!$A:$Q,COLUMN('2.2 Tutk. ja osien pain. pist.'!P:P),FALSE),1),0)</f>
        <v>0</v>
      </c>
      <c r="N89" s="19">
        <f>IFERROR(Ohj.lask.[[#This Row],[Painotetut pisteet 2]]/Ohj.lask.[[#Totals],[Painotetut pisteet 2]],0)</f>
        <v>0</v>
      </c>
      <c r="O89" s="26">
        <f>ROUND(IFERROR('1.1 Jakotaulu'!K$11*Ohj.lask.[[#This Row],[%-osuus 2]],0),0)</f>
        <v>0</v>
      </c>
      <c r="P89" s="350">
        <f>IFERROR(ROUND(VLOOKUP($A89,'2.3 Työll. ja jatko-opisk.'!$A:$K,COLUMN('2.3 Työll. ja jatko-opisk.'!I:I),FALSE),1),0)</f>
        <v>0</v>
      </c>
      <c r="Q89" s="19">
        <f>IFERROR(Ohj.lask.[[#This Row],[Painotetut pisteet 3]]/Ohj.lask.[[#Totals],[Painotetut pisteet 3]],0)</f>
        <v>0</v>
      </c>
      <c r="R89" s="20">
        <f>ROUND(IFERROR('1.1 Jakotaulu'!L$13*Ohj.lask.[[#This Row],[%-osuus 3]],0),0)</f>
        <v>0</v>
      </c>
      <c r="S89" s="349">
        <f>IFERROR(ROUND(VLOOKUP($A89,'2.4 Aloittaneet palaute'!$A:$K,COLUMN('2.4 Aloittaneet palaute'!J:J),FALSE),1),0)</f>
        <v>0</v>
      </c>
      <c r="T89" s="23">
        <f>IFERROR(Ohj.lask.[[#This Row],[Painotetut pisteet 4]]/Ohj.lask.[[#Totals],[Painotetut pisteet 4]],0)</f>
        <v>0</v>
      </c>
      <c r="U89" s="26">
        <f>ROUND(IFERROR('1.1 Jakotaulu'!M$15*Ohj.lask.[[#This Row],[%-osuus 4]],0),0)</f>
        <v>0</v>
      </c>
      <c r="V89" s="85">
        <f>IFERROR(ROUND(VLOOKUP($A89,'2.5 Päättäneet palaute'!$A:$AC,COLUMN('2.5 Päättäneet palaute'!AB:AB),FALSE),1),0)</f>
        <v>0</v>
      </c>
      <c r="W89" s="23">
        <f>IFERROR(Ohj.lask.[[#This Row],[Painotetut pisteet 5]]/Ohj.lask.[[#Totals],[Painotetut pisteet 5]],0)</f>
        <v>0</v>
      </c>
      <c r="X89" s="20">
        <f>ROUND(IFERROR('1.1 Jakotaulu'!M$16*Ohj.lask.[[#This Row],[%-osuus 5]],0),0)</f>
        <v>0</v>
      </c>
      <c r="Y89" s="22">
        <f>IFERROR(Ohj.lask.[[#This Row],[Jaettava € 6]]/Ohj.lask.[[#Totals],[Jaettava € 6]],"")</f>
        <v>5.0730326891115693E-6</v>
      </c>
      <c r="Z89" s="26">
        <f>IFERROR(Ohj.lask.[[#This Row],[Jaettava € 1]]+Ohj.lask.[[#This Row],[Jaettava € 2]]+Ohj.lask.[[#This Row],[Jaettava € 3]]+Ohj.lask.[[#This Row],[Jaettava € 4]]+Ohj.lask.[[#This Row],[Jaettava € 5]],"")</f>
        <v>8853</v>
      </c>
      <c r="AA89" s="20">
        <v>0</v>
      </c>
      <c r="AB89" s="20">
        <v>0</v>
      </c>
      <c r="AC89" s="21">
        <v>0</v>
      </c>
      <c r="AD89" s="20">
        <v>0</v>
      </c>
      <c r="AE89" s="21">
        <v>0</v>
      </c>
      <c r="AF89" s="20">
        <v>0</v>
      </c>
      <c r="AG89" s="21">
        <v>0</v>
      </c>
      <c r="AH89" s="20">
        <v>0</v>
      </c>
      <c r="AI89" s="21">
        <v>0</v>
      </c>
      <c r="AJ89" s="26">
        <v>0</v>
      </c>
      <c r="AK89" s="20">
        <v>0</v>
      </c>
      <c r="AL89" s="20">
        <v>0</v>
      </c>
      <c r="AM89" s="21">
        <v>0</v>
      </c>
      <c r="AN89" s="136">
        <v>0</v>
      </c>
      <c r="AO89" s="20">
        <f>Ohj.lask.[[#This Row],[Jaettava € 1]]+Ohj.lask.[[#This Row],[Päätös 7, €]]</f>
        <v>8853</v>
      </c>
      <c r="AP89" s="119">
        <f>Ohj.lask.[[#This Row],[Jaettava € 2]]</f>
        <v>0</v>
      </c>
      <c r="AQ89" s="20">
        <f>Ohj.lask.[[#This Row],[Jaettava € 3]]+Ohj.lask.[[#This Row],[Jaettava € 4]]+Ohj.lask.[[#This Row],[Jaettava € 5]]</f>
        <v>0</v>
      </c>
      <c r="AR89" s="45">
        <f>Ohj.lask.[[#This Row],[Jaettava € 6]]+Ohj.lask.[[#This Row],[Päätös 7, €]]</f>
        <v>8853</v>
      </c>
      <c r="AS89" s="45">
        <f>ROUND(IFERROR(VLOOKUP(Ohj.lask.[[#This Row],[Y-tunnus]],'3.1 Alv vahvistettu'!A:Y,COLUMN(C:C),FALSE),0),0)</f>
        <v>15918</v>
      </c>
      <c r="AT89" s="26">
        <f>Ohj.lask.[[#This Row],[Perus-, suoritus- ja vaikuttavuusrahoitus yhteensä, €]]+Ohj.lask.[[#This Row],[Alv-korvaus, €]]</f>
        <v>24771</v>
      </c>
    </row>
    <row r="90" spans="1:46" ht="12.75" x14ac:dyDescent="0.2">
      <c r="A90" s="147" t="s">
        <v>321</v>
      </c>
      <c r="B90" s="17" t="s">
        <v>94</v>
      </c>
      <c r="C90" s="17" t="s">
        <v>244</v>
      </c>
      <c r="D90" s="17" t="s">
        <v>422</v>
      </c>
      <c r="E90" s="17" t="s">
        <v>664</v>
      </c>
      <c r="F90" s="128">
        <v>1198</v>
      </c>
      <c r="G90" s="135">
        <v>4</v>
      </c>
      <c r="H90" s="44">
        <f t="shared" si="4"/>
        <v>1202</v>
      </c>
      <c r="I90" s="18">
        <f>IFERROR(VLOOKUP($A90,'2.1 Toteut. op.vuodet'!$A:$Q,COLUMN('2.1 Toteut. op.vuodet'!Q:Q),FALSE),0)</f>
        <v>1.4297234730666259</v>
      </c>
      <c r="J90" s="85">
        <f t="shared" si="5"/>
        <v>1718.5</v>
      </c>
      <c r="K90" s="19">
        <f>IFERROR(Ohj.lask.[[#This Row],[Painotetut opiskelija-vuodet]]/Ohj.lask.[[#Totals],[Painotetut opiskelija-vuodet]],0)</f>
        <v>8.5251470755297772E-3</v>
      </c>
      <c r="L90" s="20">
        <f>ROUND(IFERROR('1.1 Jakotaulu'!L$10*Ohj.lask.[[#This Row],[%-osuus 1]],0),0)</f>
        <v>10142321</v>
      </c>
      <c r="M90" s="349">
        <f>IFERROR(ROUND(VLOOKUP($A90,'2.2 Tutk. ja osien pain. pist.'!$A:$Q,COLUMN('2.2 Tutk. ja osien pain. pist.'!P:P),FALSE),1),0)</f>
        <v>122360.4</v>
      </c>
      <c r="N90" s="19">
        <f>IFERROR(Ohj.lask.[[#This Row],[Painotetut pisteet 2]]/Ohj.lask.[[#Totals],[Painotetut pisteet 2]],0)</f>
        <v>7.8193505364276793E-3</v>
      </c>
      <c r="O90" s="26">
        <f>ROUND(IFERROR('1.1 Jakotaulu'!K$11*Ohj.lask.[[#This Row],[%-osuus 2]],0),0)</f>
        <v>2895326</v>
      </c>
      <c r="P90" s="350">
        <f>IFERROR(ROUND(VLOOKUP($A90,'2.3 Työll. ja jatko-opisk.'!$A:$K,COLUMN('2.3 Työll. ja jatko-opisk.'!I:I),FALSE),1),0)</f>
        <v>1446.9</v>
      </c>
      <c r="Q90" s="19">
        <f>IFERROR(Ohj.lask.[[#This Row],[Painotetut pisteet 3]]/Ohj.lask.[[#Totals],[Painotetut pisteet 3]],0)</f>
        <v>7.6382260775552614E-3</v>
      </c>
      <c r="R90" s="20">
        <f>ROUND(IFERROR('1.1 Jakotaulu'!L$13*Ohj.lask.[[#This Row],[%-osuus 3]],0),0)</f>
        <v>1060597</v>
      </c>
      <c r="S90" s="349">
        <f>IFERROR(ROUND(VLOOKUP($A90,'2.4 Aloittaneet palaute'!$A:$K,COLUMN('2.4 Aloittaneet palaute'!J:J),FALSE),1),0)</f>
        <v>8124</v>
      </c>
      <c r="T90" s="23">
        <f>IFERROR(Ohj.lask.[[#This Row],[Painotetut pisteet 4]]/Ohj.lask.[[#Totals],[Painotetut pisteet 4]],0)</f>
        <v>6.5251083341472298E-3</v>
      </c>
      <c r="U90" s="26">
        <f>ROUND(IFERROR('1.1 Jakotaulu'!M$15*Ohj.lask.[[#This Row],[%-osuus 4]],0),0)</f>
        <v>75503</v>
      </c>
      <c r="V90" s="85">
        <f>IFERROR(ROUND(VLOOKUP($A90,'2.5 Päättäneet palaute'!$A:$AC,COLUMN('2.5 Päättäneet palaute'!AB:AB),FALSE),1),0)</f>
        <v>76145.5</v>
      </c>
      <c r="W90" s="23">
        <f>IFERROR(Ohj.lask.[[#This Row],[Painotetut pisteet 5]]/Ohj.lask.[[#Totals],[Painotetut pisteet 5]],0)</f>
        <v>1.1498702797187378E-2</v>
      </c>
      <c r="X90" s="20">
        <f>ROUND(IFERROR('1.1 Jakotaulu'!M$16*Ohj.lask.[[#This Row],[%-osuus 5]],0),0)</f>
        <v>399160</v>
      </c>
      <c r="Y90" s="22">
        <f>IFERROR(Ohj.lask.[[#This Row],[Jaettava € 6]]/Ohj.lask.[[#Totals],[Jaettava € 6]],"")</f>
        <v>8.3507097691610539E-3</v>
      </c>
      <c r="Z90" s="26">
        <f>IFERROR(Ohj.lask.[[#This Row],[Jaettava € 1]]+Ohj.lask.[[#This Row],[Jaettava € 2]]+Ohj.lask.[[#This Row],[Jaettava € 3]]+Ohj.lask.[[#This Row],[Jaettava € 4]]+Ohj.lask.[[#This Row],[Jaettava € 5]],"")</f>
        <v>14572907</v>
      </c>
      <c r="AA90" s="20">
        <v>250000</v>
      </c>
      <c r="AB90" s="20">
        <v>0</v>
      </c>
      <c r="AC90" s="21">
        <v>150000</v>
      </c>
      <c r="AD90" s="20">
        <v>0</v>
      </c>
      <c r="AE90" s="21">
        <v>400000</v>
      </c>
      <c r="AF90" s="20">
        <v>0</v>
      </c>
      <c r="AG90" s="21">
        <v>120000</v>
      </c>
      <c r="AH90" s="20">
        <v>0</v>
      </c>
      <c r="AI90" s="21">
        <v>45000</v>
      </c>
      <c r="AJ90" s="26">
        <v>0</v>
      </c>
      <c r="AK90" s="20">
        <v>0</v>
      </c>
      <c r="AL90" s="20">
        <v>0</v>
      </c>
      <c r="AM90" s="21">
        <v>965000</v>
      </c>
      <c r="AN90" s="136">
        <v>0</v>
      </c>
      <c r="AO90" s="20">
        <f>Ohj.lask.[[#This Row],[Jaettava € 1]]+Ohj.lask.[[#This Row],[Päätös 7, €]]</f>
        <v>10142321</v>
      </c>
      <c r="AP90" s="119">
        <f>Ohj.lask.[[#This Row],[Jaettava € 2]]</f>
        <v>2895326</v>
      </c>
      <c r="AQ90" s="20">
        <f>Ohj.lask.[[#This Row],[Jaettava € 3]]+Ohj.lask.[[#This Row],[Jaettava € 4]]+Ohj.lask.[[#This Row],[Jaettava € 5]]</f>
        <v>1535260</v>
      </c>
      <c r="AR90" s="45">
        <f>Ohj.lask.[[#This Row],[Jaettava € 6]]+Ohj.lask.[[#This Row],[Päätös 7, €]]</f>
        <v>14572907</v>
      </c>
      <c r="AS90" s="45">
        <f>ROUND(IFERROR(VLOOKUP(Ohj.lask.[[#This Row],[Y-tunnus]],'3.1 Alv vahvistettu'!A:Y,COLUMN(C:C),FALSE),0),0)</f>
        <v>0</v>
      </c>
      <c r="AT90" s="26">
        <f>Ohj.lask.[[#This Row],[Perus-, suoritus- ja vaikuttavuusrahoitus yhteensä, €]]+Ohj.lask.[[#This Row],[Alv-korvaus, €]]</f>
        <v>14572907</v>
      </c>
    </row>
    <row r="91" spans="1:46" ht="12.75" x14ac:dyDescent="0.2">
      <c r="A91" s="147" t="s">
        <v>320</v>
      </c>
      <c r="B91" s="17" t="s">
        <v>95</v>
      </c>
      <c r="C91" s="17" t="s">
        <v>246</v>
      </c>
      <c r="D91" s="17" t="s">
        <v>424</v>
      </c>
      <c r="E91" s="17" t="s">
        <v>663</v>
      </c>
      <c r="F91" s="128">
        <v>43</v>
      </c>
      <c r="G91" s="135">
        <v>0</v>
      </c>
      <c r="H91" s="44">
        <f t="shared" si="4"/>
        <v>43</v>
      </c>
      <c r="I91" s="18">
        <f>IFERROR(VLOOKUP($A91,'2.1 Toteut. op.vuodet'!$A:$Q,COLUMN('2.1 Toteut. op.vuodet'!Q:Q),FALSE),0)</f>
        <v>1.4901144350926299</v>
      </c>
      <c r="J91" s="85">
        <f t="shared" si="5"/>
        <v>64.099999999999994</v>
      </c>
      <c r="K91" s="19">
        <f>IFERROR(Ohj.lask.[[#This Row],[Painotetut opiskelija-vuodet]]/Ohj.lask.[[#Totals],[Painotetut opiskelija-vuodet]],0)</f>
        <v>3.179877378769035E-4</v>
      </c>
      <c r="L91" s="20">
        <f>ROUND(IFERROR('1.1 Jakotaulu'!L$10*Ohj.lask.[[#This Row],[%-osuus 1]],0),0)</f>
        <v>378308</v>
      </c>
      <c r="M91" s="349">
        <f>IFERROR(ROUND(VLOOKUP($A91,'2.2 Tutk. ja osien pain. pist.'!$A:$Q,COLUMN('2.2 Tutk. ja osien pain. pist.'!P:P),FALSE),1),0)</f>
        <v>8926.7999999999993</v>
      </c>
      <c r="N91" s="19">
        <f>IFERROR(Ohj.lask.[[#This Row],[Painotetut pisteet 2]]/Ohj.lask.[[#Totals],[Painotetut pisteet 2]],0)</f>
        <v>5.7046052782258475E-4</v>
      </c>
      <c r="O91" s="26">
        <f>ROUND(IFERROR('1.1 Jakotaulu'!K$11*Ohj.lask.[[#This Row],[%-osuus 2]],0),0)</f>
        <v>211228</v>
      </c>
      <c r="P91" s="350">
        <f>IFERROR(ROUND(VLOOKUP($A91,'2.3 Työll. ja jatko-opisk.'!$A:$K,COLUMN('2.3 Työll. ja jatko-opisk.'!I:I),FALSE),1),0)</f>
        <v>30.4</v>
      </c>
      <c r="Q91" s="19">
        <f>IFERROR(Ohj.lask.[[#This Row],[Painotetut pisteet 3]]/Ohj.lask.[[#Totals],[Painotetut pisteet 3]],0)</f>
        <v>1.6048246095630653E-4</v>
      </c>
      <c r="R91" s="20">
        <f>ROUND(IFERROR('1.1 Jakotaulu'!L$13*Ohj.lask.[[#This Row],[%-osuus 3]],0),0)</f>
        <v>22284</v>
      </c>
      <c r="S91" s="349">
        <f>IFERROR(ROUND(VLOOKUP($A91,'2.4 Aloittaneet palaute'!$A:$K,COLUMN('2.4 Aloittaneet palaute'!J:J),FALSE),1),0)</f>
        <v>423</v>
      </c>
      <c r="T91" s="23">
        <f>IFERROR(Ohj.lask.[[#This Row],[Painotetut pisteet 4]]/Ohj.lask.[[#Totals],[Painotetut pisteet 4]],0)</f>
        <v>3.3974899376468221E-4</v>
      </c>
      <c r="U91" s="26">
        <f>ROUND(IFERROR('1.1 Jakotaulu'!M$15*Ohj.lask.[[#This Row],[%-osuus 4]],0),0)</f>
        <v>3931</v>
      </c>
      <c r="V91" s="85">
        <f>IFERROR(ROUND(VLOOKUP($A91,'2.5 Päättäneet palaute'!$A:$AC,COLUMN('2.5 Päättäneet palaute'!AB:AB),FALSE),1),0)</f>
        <v>0</v>
      </c>
      <c r="W91" s="23">
        <f>IFERROR(Ohj.lask.[[#This Row],[Painotetut pisteet 5]]/Ohj.lask.[[#Totals],[Painotetut pisteet 5]],0)</f>
        <v>0</v>
      </c>
      <c r="X91" s="20">
        <f>ROUND(IFERROR('1.1 Jakotaulu'!M$16*Ohj.lask.[[#This Row],[%-osuus 5]],0),0)</f>
        <v>0</v>
      </c>
      <c r="Y91" s="22">
        <f>IFERROR(Ohj.lask.[[#This Row],[Jaettava € 6]]/Ohj.lask.[[#Totals],[Jaettava € 6]],"")</f>
        <v>3.5284366331787392E-4</v>
      </c>
      <c r="Z91" s="26">
        <f>IFERROR(Ohj.lask.[[#This Row],[Jaettava € 1]]+Ohj.lask.[[#This Row],[Jaettava € 2]]+Ohj.lask.[[#This Row],[Jaettava € 3]]+Ohj.lask.[[#This Row],[Jaettava € 4]]+Ohj.lask.[[#This Row],[Jaettava € 5]],"")</f>
        <v>615751</v>
      </c>
      <c r="AA91" s="20">
        <v>0</v>
      </c>
      <c r="AB91" s="20">
        <v>0</v>
      </c>
      <c r="AC91" s="21">
        <v>0</v>
      </c>
      <c r="AD91" s="20">
        <v>0</v>
      </c>
      <c r="AE91" s="21">
        <v>0</v>
      </c>
      <c r="AF91" s="20">
        <v>0</v>
      </c>
      <c r="AG91" s="21">
        <v>0</v>
      </c>
      <c r="AH91" s="20">
        <v>0</v>
      </c>
      <c r="AI91" s="21">
        <v>0</v>
      </c>
      <c r="AJ91" s="26">
        <v>0</v>
      </c>
      <c r="AK91" s="20">
        <v>0</v>
      </c>
      <c r="AL91" s="20">
        <v>0</v>
      </c>
      <c r="AM91" s="21">
        <v>0</v>
      </c>
      <c r="AN91" s="136">
        <v>0</v>
      </c>
      <c r="AO91" s="20">
        <f>Ohj.lask.[[#This Row],[Jaettava € 1]]+Ohj.lask.[[#This Row],[Päätös 7, €]]</f>
        <v>378308</v>
      </c>
      <c r="AP91" s="119">
        <f>Ohj.lask.[[#This Row],[Jaettava € 2]]</f>
        <v>211228</v>
      </c>
      <c r="AQ91" s="20">
        <f>Ohj.lask.[[#This Row],[Jaettava € 3]]+Ohj.lask.[[#This Row],[Jaettava € 4]]+Ohj.lask.[[#This Row],[Jaettava € 5]]</f>
        <v>26215</v>
      </c>
      <c r="AR91" s="45">
        <f>Ohj.lask.[[#This Row],[Jaettava € 6]]+Ohj.lask.[[#This Row],[Päätös 7, €]]</f>
        <v>615751</v>
      </c>
      <c r="AS91" s="45">
        <f>ROUND(IFERROR(VLOOKUP(Ohj.lask.[[#This Row],[Y-tunnus]],'3.1 Alv vahvistettu'!A:Y,COLUMN(C:C),FALSE),0),0)</f>
        <v>0</v>
      </c>
      <c r="AT91" s="26">
        <f>Ohj.lask.[[#This Row],[Perus-, suoritus- ja vaikuttavuusrahoitus yhteensä, €]]+Ohj.lask.[[#This Row],[Alv-korvaus, €]]</f>
        <v>615751</v>
      </c>
    </row>
    <row r="92" spans="1:46" ht="12.75" x14ac:dyDescent="0.2">
      <c r="A92" s="147" t="s">
        <v>319</v>
      </c>
      <c r="B92" s="17" t="s">
        <v>96</v>
      </c>
      <c r="C92" s="17" t="s">
        <v>246</v>
      </c>
      <c r="D92" s="17" t="s">
        <v>422</v>
      </c>
      <c r="E92" s="17" t="s">
        <v>663</v>
      </c>
      <c r="F92" s="128">
        <v>6829</v>
      </c>
      <c r="G92" s="135">
        <v>108</v>
      </c>
      <c r="H92" s="44">
        <f t="shared" si="4"/>
        <v>6937</v>
      </c>
      <c r="I92" s="18">
        <f>IFERROR(VLOOKUP($A92,'2.1 Toteut. op.vuodet'!$A:$Q,COLUMN('2.1 Toteut. op.vuodet'!Q:Q),FALSE),0)</f>
        <v>1.0986703842680368</v>
      </c>
      <c r="J92" s="85">
        <f t="shared" si="5"/>
        <v>7621.5</v>
      </c>
      <c r="K92" s="19">
        <f>IFERROR(Ohj.lask.[[#This Row],[Painotetut opiskelija-vuodet]]/Ohj.lask.[[#Totals],[Painotetut opiskelija-vuodet]],0)</f>
        <v>3.780879164163526E-2</v>
      </c>
      <c r="L92" s="20">
        <f>ROUND(IFERROR('1.1 Jakotaulu'!L$10*Ohj.lask.[[#This Row],[%-osuus 1]],0),0)</f>
        <v>44980911</v>
      </c>
      <c r="M92" s="349">
        <f>IFERROR(ROUND(VLOOKUP($A92,'2.2 Tutk. ja osien pain. pist.'!$A:$Q,COLUMN('2.2 Tutk. ja osien pain. pist.'!P:P),FALSE),1),0)</f>
        <v>614365</v>
      </c>
      <c r="N92" s="19">
        <f>IFERROR(Ohj.lask.[[#This Row],[Painotetut pisteet 2]]/Ohj.lask.[[#Totals],[Painotetut pisteet 2]],0)</f>
        <v>3.9260539294676967E-2</v>
      </c>
      <c r="O92" s="26">
        <f>ROUND(IFERROR('1.1 Jakotaulu'!K$11*Ohj.lask.[[#This Row],[%-osuus 2]],0),0)</f>
        <v>14537275</v>
      </c>
      <c r="P92" s="350">
        <f>IFERROR(ROUND(VLOOKUP($A92,'2.3 Työll. ja jatko-opisk.'!$A:$K,COLUMN('2.3 Työll. ja jatko-opisk.'!I:I),FALSE),1),0)</f>
        <v>8651.9</v>
      </c>
      <c r="Q92" s="19">
        <f>IFERROR(Ohj.lask.[[#This Row],[Painotetut pisteet 3]]/Ohj.lask.[[#Totals],[Painotetut pisteet 3]],0)</f>
        <v>4.5673625129864094E-2</v>
      </c>
      <c r="R92" s="20">
        <f>ROUND(IFERROR('1.1 Jakotaulu'!L$13*Ohj.lask.[[#This Row],[%-osuus 3]],0),0)</f>
        <v>6341960</v>
      </c>
      <c r="S92" s="349">
        <f>IFERROR(ROUND(VLOOKUP($A92,'2.4 Aloittaneet palaute'!$A:$K,COLUMN('2.4 Aloittaneet palaute'!J:J),FALSE),1),0)</f>
        <v>69642.2</v>
      </c>
      <c r="T92" s="23">
        <f>IFERROR(Ohj.lask.[[#This Row],[Painotetut pisteet 4]]/Ohj.lask.[[#Totals],[Painotetut pisteet 4]],0)</f>
        <v>5.593585667507979E-2</v>
      </c>
      <c r="U92" s="26">
        <f>ROUND(IFERROR('1.1 Jakotaulu'!M$15*Ohj.lask.[[#This Row],[%-osuus 4]],0),0)</f>
        <v>647243</v>
      </c>
      <c r="V92" s="85">
        <f>IFERROR(ROUND(VLOOKUP($A92,'2.5 Päättäneet palaute'!$A:$AC,COLUMN('2.5 Päättäneet palaute'!AB:AB),FALSE),1),0)</f>
        <v>382097.7</v>
      </c>
      <c r="W92" s="23">
        <f>IFERROR(Ohj.lask.[[#This Row],[Painotetut pisteet 5]]/Ohj.lask.[[#Totals],[Painotetut pisteet 5]],0)</f>
        <v>5.7700427363256708E-2</v>
      </c>
      <c r="X92" s="20">
        <f>ROUND(IFERROR('1.1 Jakotaulu'!M$16*Ohj.lask.[[#This Row],[%-osuus 5]],0),0)</f>
        <v>2002982</v>
      </c>
      <c r="Y92" s="22">
        <f>IFERROR(Ohj.lask.[[#This Row],[Jaettava € 6]]/Ohj.lask.[[#Totals],[Jaettava € 6]],"")</f>
        <v>3.9258483183797724E-2</v>
      </c>
      <c r="Z92" s="26">
        <f>IFERROR(Ohj.lask.[[#This Row],[Jaettava € 1]]+Ohj.lask.[[#This Row],[Jaettava € 2]]+Ohj.lask.[[#This Row],[Jaettava € 3]]+Ohj.lask.[[#This Row],[Jaettava € 4]]+Ohj.lask.[[#This Row],[Jaettava € 5]],"")</f>
        <v>68510371</v>
      </c>
      <c r="AA92" s="20">
        <v>1200000</v>
      </c>
      <c r="AB92" s="20">
        <v>0</v>
      </c>
      <c r="AC92" s="21">
        <v>0</v>
      </c>
      <c r="AD92" s="20">
        <v>0</v>
      </c>
      <c r="AE92" s="21">
        <v>2000000</v>
      </c>
      <c r="AF92" s="20">
        <v>0</v>
      </c>
      <c r="AG92" s="21">
        <v>0</v>
      </c>
      <c r="AH92" s="20">
        <v>0</v>
      </c>
      <c r="AI92" s="21">
        <v>175000</v>
      </c>
      <c r="AJ92" s="26">
        <v>0</v>
      </c>
      <c r="AK92" s="20">
        <v>70000</v>
      </c>
      <c r="AL92" s="20">
        <v>40000</v>
      </c>
      <c r="AM92" s="21">
        <v>3445000</v>
      </c>
      <c r="AN92" s="136">
        <v>40000</v>
      </c>
      <c r="AO92" s="20">
        <f>Ohj.lask.[[#This Row],[Jaettava € 1]]+Ohj.lask.[[#This Row],[Päätös 7, €]]</f>
        <v>45020911</v>
      </c>
      <c r="AP92" s="119">
        <f>Ohj.lask.[[#This Row],[Jaettava € 2]]</f>
        <v>14537275</v>
      </c>
      <c r="AQ92" s="20">
        <f>Ohj.lask.[[#This Row],[Jaettava € 3]]+Ohj.lask.[[#This Row],[Jaettava € 4]]+Ohj.lask.[[#This Row],[Jaettava € 5]]</f>
        <v>8992185</v>
      </c>
      <c r="AR92" s="45">
        <f>Ohj.lask.[[#This Row],[Jaettava € 6]]+Ohj.lask.[[#This Row],[Päätös 7, €]]</f>
        <v>68550371</v>
      </c>
      <c r="AS92" s="45">
        <f>ROUND(IFERROR(VLOOKUP(Ohj.lask.[[#This Row],[Y-tunnus]],'3.1 Alv vahvistettu'!A:Y,COLUMN(C:C),FALSE),0),0)</f>
        <v>0</v>
      </c>
      <c r="AT92" s="26">
        <f>Ohj.lask.[[#This Row],[Perus-, suoritus- ja vaikuttavuusrahoitus yhteensä, €]]+Ohj.lask.[[#This Row],[Alv-korvaus, €]]</f>
        <v>68550371</v>
      </c>
    </row>
    <row r="93" spans="1:46" ht="12.75" x14ac:dyDescent="0.2">
      <c r="A93" s="147" t="s">
        <v>316</v>
      </c>
      <c r="B93" s="17" t="s">
        <v>97</v>
      </c>
      <c r="C93" s="17" t="s">
        <v>238</v>
      </c>
      <c r="D93" s="17" t="s">
        <v>423</v>
      </c>
      <c r="E93" s="17" t="s">
        <v>663</v>
      </c>
      <c r="F93" s="128">
        <v>45</v>
      </c>
      <c r="G93" s="135">
        <v>0</v>
      </c>
      <c r="H93" s="44">
        <f t="shared" si="4"/>
        <v>45</v>
      </c>
      <c r="I93" s="18">
        <f>IFERROR(VLOOKUP($A93,'2.1 Toteut. op.vuodet'!$A:$Q,COLUMN('2.1 Toteut. op.vuodet'!Q:Q),FALSE),0)</f>
        <v>1.4224469717006045</v>
      </c>
      <c r="J93" s="85">
        <f t="shared" si="5"/>
        <v>64</v>
      </c>
      <c r="K93" s="19">
        <f>IFERROR(Ohj.lask.[[#This Row],[Painotetut opiskelija-vuodet]]/Ohj.lask.[[#Totals],[Painotetut opiskelija-vuodet]],0)</f>
        <v>3.1749165716258698E-4</v>
      </c>
      <c r="L93" s="20">
        <f>ROUND(IFERROR('1.1 Jakotaulu'!L$10*Ohj.lask.[[#This Row],[%-osuus 1]],0),0)</f>
        <v>377718</v>
      </c>
      <c r="M93" s="349">
        <f>IFERROR(ROUND(VLOOKUP($A93,'2.2 Tutk. ja osien pain. pist.'!$A:$Q,COLUMN('2.2 Tutk. ja osien pain. pist.'!P:P),FALSE),1),0)</f>
        <v>4783.8</v>
      </c>
      <c r="N93" s="19">
        <f>IFERROR(Ohj.lask.[[#This Row],[Painotetut pisteet 2]]/Ohj.lask.[[#Totals],[Painotetut pisteet 2]],0)</f>
        <v>3.057051880850564E-4</v>
      </c>
      <c r="O93" s="26">
        <f>ROUND(IFERROR('1.1 Jakotaulu'!K$11*Ohj.lask.[[#This Row],[%-osuus 2]],0),0)</f>
        <v>113196</v>
      </c>
      <c r="P93" s="350">
        <f>IFERROR(ROUND(VLOOKUP($A93,'2.3 Työll. ja jatko-opisk.'!$A:$K,COLUMN('2.3 Työll. ja jatko-opisk.'!I:I),FALSE),1),0)</f>
        <v>36.6</v>
      </c>
      <c r="Q93" s="19">
        <f>IFERROR(Ohj.lask.[[#This Row],[Painotetut pisteet 3]]/Ohj.lask.[[#Totals],[Painotetut pisteet 3]],0)</f>
        <v>1.9321243654607959E-4</v>
      </c>
      <c r="R93" s="20">
        <f>ROUND(IFERROR('1.1 Jakotaulu'!L$13*Ohj.lask.[[#This Row],[%-osuus 3]],0),0)</f>
        <v>26828</v>
      </c>
      <c r="S93" s="349">
        <f>IFERROR(ROUND(VLOOKUP($A93,'2.4 Aloittaneet palaute'!$A:$K,COLUMN('2.4 Aloittaneet palaute'!J:J),FALSE),1),0)</f>
        <v>836.5</v>
      </c>
      <c r="T93" s="23">
        <f>IFERROR(Ohj.lask.[[#This Row],[Painotetut pisteet 4]]/Ohj.lask.[[#Totals],[Painotetut pisteet 4]],0)</f>
        <v>6.7186769097909375E-4</v>
      </c>
      <c r="U93" s="26">
        <f>ROUND(IFERROR('1.1 Jakotaulu'!M$15*Ohj.lask.[[#This Row],[%-osuus 4]],0),0)</f>
        <v>7774</v>
      </c>
      <c r="V93" s="85">
        <f>IFERROR(ROUND(VLOOKUP($A93,'2.5 Päättäneet palaute'!$A:$AC,COLUMN('2.5 Päättäneet palaute'!AB:AB),FALSE),1),0)</f>
        <v>2031.5</v>
      </c>
      <c r="W93" s="23">
        <f>IFERROR(Ohj.lask.[[#This Row],[Painotetut pisteet 5]]/Ohj.lask.[[#Totals],[Painotetut pisteet 5]],0)</f>
        <v>3.0677603709327748E-4</v>
      </c>
      <c r="X93" s="20">
        <f>ROUND(IFERROR('1.1 Jakotaulu'!M$16*Ohj.lask.[[#This Row],[%-osuus 5]],0),0)</f>
        <v>10649</v>
      </c>
      <c r="Y93" s="22">
        <f>IFERROR(Ohj.lask.[[#This Row],[Jaettava € 6]]/Ohj.lask.[[#Totals],[Jaettava € 6]],"")</f>
        <v>3.0723851482633053E-4</v>
      </c>
      <c r="Z93" s="26">
        <f>IFERROR(Ohj.lask.[[#This Row],[Jaettava € 1]]+Ohj.lask.[[#This Row],[Jaettava € 2]]+Ohj.lask.[[#This Row],[Jaettava € 3]]+Ohj.lask.[[#This Row],[Jaettava € 4]]+Ohj.lask.[[#This Row],[Jaettava € 5]],"")</f>
        <v>536165</v>
      </c>
      <c r="AA93" s="20">
        <v>0</v>
      </c>
      <c r="AB93" s="20">
        <v>0</v>
      </c>
      <c r="AC93" s="21">
        <v>0</v>
      </c>
      <c r="AD93" s="20">
        <v>0</v>
      </c>
      <c r="AE93" s="21">
        <v>0</v>
      </c>
      <c r="AF93" s="20">
        <v>0</v>
      </c>
      <c r="AG93" s="21">
        <v>0</v>
      </c>
      <c r="AH93" s="20">
        <v>0</v>
      </c>
      <c r="AI93" s="21">
        <v>7840</v>
      </c>
      <c r="AJ93" s="26">
        <v>0</v>
      </c>
      <c r="AK93" s="20">
        <v>0</v>
      </c>
      <c r="AL93" s="20">
        <v>0</v>
      </c>
      <c r="AM93" s="21">
        <v>7840</v>
      </c>
      <c r="AN93" s="136">
        <v>0</v>
      </c>
      <c r="AO93" s="20">
        <f>Ohj.lask.[[#This Row],[Jaettava € 1]]+Ohj.lask.[[#This Row],[Päätös 7, €]]</f>
        <v>377718</v>
      </c>
      <c r="AP93" s="119">
        <f>Ohj.lask.[[#This Row],[Jaettava € 2]]</f>
        <v>113196</v>
      </c>
      <c r="AQ93" s="20">
        <f>Ohj.lask.[[#This Row],[Jaettava € 3]]+Ohj.lask.[[#This Row],[Jaettava € 4]]+Ohj.lask.[[#This Row],[Jaettava € 5]]</f>
        <v>45251</v>
      </c>
      <c r="AR93" s="45">
        <f>Ohj.lask.[[#This Row],[Jaettava € 6]]+Ohj.lask.[[#This Row],[Päätös 7, €]]</f>
        <v>536165</v>
      </c>
      <c r="AS93" s="45">
        <f>ROUND(IFERROR(VLOOKUP(Ohj.lask.[[#This Row],[Y-tunnus]],'3.1 Alv vahvistettu'!A:Y,COLUMN(C:C),FALSE),0),0)</f>
        <v>43902</v>
      </c>
      <c r="AT93" s="26">
        <f>Ohj.lask.[[#This Row],[Perus-, suoritus- ja vaikuttavuusrahoitus yhteensä, €]]+Ohj.lask.[[#This Row],[Alv-korvaus, €]]</f>
        <v>580067</v>
      </c>
    </row>
    <row r="94" spans="1:46" ht="12.75" x14ac:dyDescent="0.2">
      <c r="A94" s="147" t="s">
        <v>315</v>
      </c>
      <c r="B94" s="17" t="s">
        <v>98</v>
      </c>
      <c r="C94" s="17" t="s">
        <v>238</v>
      </c>
      <c r="D94" s="17" t="s">
        <v>423</v>
      </c>
      <c r="E94" s="17" t="s">
        <v>663</v>
      </c>
      <c r="F94" s="128">
        <v>81</v>
      </c>
      <c r="G94" s="135">
        <v>0</v>
      </c>
      <c r="H94" s="44">
        <f t="shared" si="4"/>
        <v>81</v>
      </c>
      <c r="I94" s="18">
        <f>IFERROR(VLOOKUP($A94,'2.1 Toteut. op.vuodet'!$A:$Q,COLUMN('2.1 Toteut. op.vuodet'!Q:Q),FALSE),0)</f>
        <v>0.8628134725952854</v>
      </c>
      <c r="J94" s="85">
        <f t="shared" si="5"/>
        <v>69.900000000000006</v>
      </c>
      <c r="K94" s="19">
        <f>IFERROR(Ohj.lask.[[#This Row],[Painotetut opiskelija-vuodet]]/Ohj.lask.[[#Totals],[Painotetut opiskelija-vuodet]],0)</f>
        <v>3.46760419307263E-4</v>
      </c>
      <c r="L94" s="20">
        <f>ROUND(IFERROR('1.1 Jakotaulu'!L$10*Ohj.lask.[[#This Row],[%-osuus 1]],0),0)</f>
        <v>412539</v>
      </c>
      <c r="M94" s="349">
        <f>IFERROR(ROUND(VLOOKUP($A94,'2.2 Tutk. ja osien pain. pist.'!$A:$Q,COLUMN('2.2 Tutk. ja osien pain. pist.'!P:P),FALSE),1),0)</f>
        <v>7517.5</v>
      </c>
      <c r="N94" s="19">
        <f>IFERROR(Ohj.lask.[[#This Row],[Painotetut pisteet 2]]/Ohj.lask.[[#Totals],[Painotetut pisteet 2]],0)</f>
        <v>4.8040025741657495E-4</v>
      </c>
      <c r="O94" s="26">
        <f>ROUND(IFERROR('1.1 Jakotaulu'!K$11*Ohj.lask.[[#This Row],[%-osuus 2]],0),0)</f>
        <v>177881</v>
      </c>
      <c r="P94" s="350">
        <f>IFERROR(ROUND(VLOOKUP($A94,'2.3 Työll. ja jatko-opisk.'!$A:$K,COLUMN('2.3 Työll. ja jatko-opisk.'!I:I),FALSE),1),0)</f>
        <v>159.5</v>
      </c>
      <c r="Q94" s="19">
        <f>IFERROR(Ohj.lask.[[#This Row],[Painotetut pisteet 3]]/Ohj.lask.[[#Totals],[Painotetut pisteet 3]],0)</f>
        <v>8.4200501718851629E-4</v>
      </c>
      <c r="R94" s="20">
        <f>ROUND(IFERROR('1.1 Jakotaulu'!L$13*Ohj.lask.[[#This Row],[%-osuus 3]],0),0)</f>
        <v>116916</v>
      </c>
      <c r="S94" s="349">
        <f>IFERROR(ROUND(VLOOKUP($A94,'2.4 Aloittaneet palaute'!$A:$K,COLUMN('2.4 Aloittaneet palaute'!J:J),FALSE),1),0)</f>
        <v>1303.4000000000001</v>
      </c>
      <c r="T94" s="23">
        <f>IFERROR(Ohj.lask.[[#This Row],[Painotetut pisteet 4]]/Ohj.lask.[[#Totals],[Painotetut pisteet 4]],0)</f>
        <v>1.0468766866971321E-3</v>
      </c>
      <c r="U94" s="26">
        <f>ROUND(IFERROR('1.1 Jakotaulu'!M$15*Ohj.lask.[[#This Row],[%-osuus 4]],0),0)</f>
        <v>12114</v>
      </c>
      <c r="V94" s="85">
        <f>IFERROR(ROUND(VLOOKUP($A94,'2.5 Päättäneet palaute'!$A:$AC,COLUMN('2.5 Päättäneet palaute'!AB:AB),FALSE),1),0)</f>
        <v>3101.5</v>
      </c>
      <c r="W94" s="23">
        <f>IFERROR(Ohj.lask.[[#This Row],[Painotetut pisteet 5]]/Ohj.lask.[[#Totals],[Painotetut pisteet 5]],0)</f>
        <v>4.6835632736637951E-4</v>
      </c>
      <c r="X94" s="20">
        <f>ROUND(IFERROR('1.1 Jakotaulu'!M$16*Ohj.lask.[[#This Row],[%-osuus 5]],0),0)</f>
        <v>16258</v>
      </c>
      <c r="Y94" s="22">
        <f>IFERROR(Ohj.lask.[[#This Row],[Jaettava € 6]]/Ohj.lask.[[#Totals],[Jaettava € 6]],"")</f>
        <v>4.2158259727108262E-4</v>
      </c>
      <c r="Z94" s="26">
        <f>IFERROR(Ohj.lask.[[#This Row],[Jaettava € 1]]+Ohj.lask.[[#This Row],[Jaettava € 2]]+Ohj.lask.[[#This Row],[Jaettava € 3]]+Ohj.lask.[[#This Row],[Jaettava € 4]]+Ohj.lask.[[#This Row],[Jaettava € 5]],"")</f>
        <v>735708</v>
      </c>
      <c r="AA94" s="20">
        <v>0</v>
      </c>
      <c r="AB94" s="20">
        <v>0</v>
      </c>
      <c r="AC94" s="21">
        <v>0</v>
      </c>
      <c r="AD94" s="20">
        <v>0</v>
      </c>
      <c r="AE94" s="21">
        <v>240000</v>
      </c>
      <c r="AF94" s="20">
        <v>0</v>
      </c>
      <c r="AG94" s="21">
        <v>0</v>
      </c>
      <c r="AH94" s="20">
        <v>0</v>
      </c>
      <c r="AI94" s="21">
        <v>0</v>
      </c>
      <c r="AJ94" s="26">
        <v>0</v>
      </c>
      <c r="AK94" s="20">
        <v>0</v>
      </c>
      <c r="AL94" s="20">
        <v>0</v>
      </c>
      <c r="AM94" s="21">
        <v>240000</v>
      </c>
      <c r="AN94" s="136">
        <v>0</v>
      </c>
      <c r="AO94" s="20">
        <f>Ohj.lask.[[#This Row],[Jaettava € 1]]+Ohj.lask.[[#This Row],[Päätös 7, €]]</f>
        <v>412539</v>
      </c>
      <c r="AP94" s="119">
        <f>Ohj.lask.[[#This Row],[Jaettava € 2]]</f>
        <v>177881</v>
      </c>
      <c r="AQ94" s="20">
        <f>Ohj.lask.[[#This Row],[Jaettava € 3]]+Ohj.lask.[[#This Row],[Jaettava € 4]]+Ohj.lask.[[#This Row],[Jaettava € 5]]</f>
        <v>145288</v>
      </c>
      <c r="AR94" s="45">
        <f>Ohj.lask.[[#This Row],[Jaettava € 6]]+Ohj.lask.[[#This Row],[Päätös 7, €]]</f>
        <v>735708</v>
      </c>
      <c r="AS94" s="45">
        <f>ROUND(IFERROR(VLOOKUP(Ohj.lask.[[#This Row],[Y-tunnus]],'3.1 Alv vahvistettu'!A:Y,COLUMN(C:C),FALSE),0),0)</f>
        <v>36566</v>
      </c>
      <c r="AT94" s="26">
        <f>Ohj.lask.[[#This Row],[Perus-, suoritus- ja vaikuttavuusrahoitus yhteensä, €]]+Ohj.lask.[[#This Row],[Alv-korvaus, €]]</f>
        <v>772274</v>
      </c>
    </row>
    <row r="95" spans="1:46" ht="12.75" x14ac:dyDescent="0.2">
      <c r="A95" s="147" t="s">
        <v>314</v>
      </c>
      <c r="B95" s="17" t="s">
        <v>99</v>
      </c>
      <c r="C95" s="17" t="s">
        <v>334</v>
      </c>
      <c r="D95" s="17" t="s">
        <v>423</v>
      </c>
      <c r="E95" s="17" t="s">
        <v>663</v>
      </c>
      <c r="F95" s="128">
        <v>47</v>
      </c>
      <c r="G95" s="135">
        <v>20</v>
      </c>
      <c r="H95" s="44">
        <f t="shared" si="4"/>
        <v>67</v>
      </c>
      <c r="I95" s="18">
        <f>IFERROR(VLOOKUP($A95,'2.1 Toteut. op.vuodet'!$A:$Q,COLUMN('2.1 Toteut. op.vuodet'!Q:Q),FALSE),0)</f>
        <v>0.82606925621201321</v>
      </c>
      <c r="J95" s="85">
        <f t="shared" si="5"/>
        <v>55.3</v>
      </c>
      <c r="K95" s="19">
        <f>IFERROR(Ohj.lask.[[#This Row],[Painotetut opiskelija-vuodet]]/Ohj.lask.[[#Totals],[Painotetut opiskelija-vuodet]],0)</f>
        <v>2.743326350170478E-4</v>
      </c>
      <c r="L95" s="20">
        <f>ROUND(IFERROR('1.1 Jakotaulu'!L$10*Ohj.lask.[[#This Row],[%-osuus 1]],0),0)</f>
        <v>326372</v>
      </c>
      <c r="M95" s="349">
        <f>IFERROR(ROUND(VLOOKUP($A95,'2.2 Tutk. ja osien pain. pist.'!$A:$Q,COLUMN('2.2 Tutk. ja osien pain. pist.'!P:P),FALSE),1),0)</f>
        <v>5545.2</v>
      </c>
      <c r="N95" s="19">
        <f>IFERROR(Ohj.lask.[[#This Row],[Painotetut pisteet 2]]/Ohj.lask.[[#Totals],[Painotetut pisteet 2]],0)</f>
        <v>3.5436188991372017E-4</v>
      </c>
      <c r="O95" s="26">
        <f>ROUND(IFERROR('1.1 Jakotaulu'!K$11*Ohj.lask.[[#This Row],[%-osuus 2]],0),0)</f>
        <v>131212</v>
      </c>
      <c r="P95" s="350">
        <f>IFERROR(ROUND(VLOOKUP($A95,'2.3 Työll. ja jatko-opisk.'!$A:$K,COLUMN('2.3 Työll. ja jatko-opisk.'!I:I),FALSE),1),0)</f>
        <v>206.4</v>
      </c>
      <c r="Q95" s="19">
        <f>IFERROR(Ohj.lask.[[#This Row],[Painotetut pisteet 3]]/Ohj.lask.[[#Totals],[Painotetut pisteet 3]],0)</f>
        <v>1.0895914454401867E-3</v>
      </c>
      <c r="R95" s="20">
        <f>ROUND(IFERROR('1.1 Jakotaulu'!L$13*Ohj.lask.[[#This Row],[%-osuus 3]],0),0)</f>
        <v>151294</v>
      </c>
      <c r="S95" s="349">
        <f>IFERROR(ROUND(VLOOKUP($A95,'2.4 Aloittaneet palaute'!$A:$K,COLUMN('2.4 Aloittaneet palaute'!J:J),FALSE),1),0)</f>
        <v>1542.8</v>
      </c>
      <c r="T95" s="23">
        <f>IFERROR(Ohj.lask.[[#This Row],[Painotetut pisteet 4]]/Ohj.lask.[[#Totals],[Painotetut pisteet 4]],0)</f>
        <v>1.2391601597639521E-3</v>
      </c>
      <c r="U95" s="26">
        <f>ROUND(IFERROR('1.1 Jakotaulu'!M$15*Ohj.lask.[[#This Row],[%-osuus 4]],0),0)</f>
        <v>14339</v>
      </c>
      <c r="V95" s="85">
        <f>IFERROR(ROUND(VLOOKUP($A95,'2.5 Päättäneet palaute'!$A:$AC,COLUMN('2.5 Päättäneet palaute'!AB:AB),FALSE),1),0)</f>
        <v>9188.4</v>
      </c>
      <c r="W95" s="23">
        <f>IFERROR(Ohj.lask.[[#This Row],[Painotetut pisteet 5]]/Ohj.lask.[[#Totals],[Painotetut pisteet 5]],0)</f>
        <v>1.3875367655564216E-3</v>
      </c>
      <c r="X95" s="20">
        <f>ROUND(IFERROR('1.1 Jakotaulu'!M$16*Ohj.lask.[[#This Row],[%-osuus 5]],0),0)</f>
        <v>48166</v>
      </c>
      <c r="Y95" s="22">
        <f>IFERROR(Ohj.lask.[[#This Row],[Jaettava € 6]]/Ohj.lask.[[#Totals],[Jaettava € 6]],"")</f>
        <v>3.8472245633274513E-4</v>
      </c>
      <c r="Z95" s="26">
        <f>IFERROR(Ohj.lask.[[#This Row],[Jaettava € 1]]+Ohj.lask.[[#This Row],[Jaettava € 2]]+Ohj.lask.[[#This Row],[Jaettava € 3]]+Ohj.lask.[[#This Row],[Jaettava € 4]]+Ohj.lask.[[#This Row],[Jaettava € 5]],"")</f>
        <v>671383</v>
      </c>
      <c r="AA95" s="20">
        <v>0</v>
      </c>
      <c r="AB95" s="20">
        <v>0</v>
      </c>
      <c r="AC95" s="21">
        <v>0</v>
      </c>
      <c r="AD95" s="20">
        <v>0</v>
      </c>
      <c r="AE95" s="21">
        <v>0</v>
      </c>
      <c r="AF95" s="20">
        <v>0</v>
      </c>
      <c r="AG95" s="21">
        <v>0</v>
      </c>
      <c r="AH95" s="20">
        <v>0</v>
      </c>
      <c r="AI95" s="21">
        <v>30000</v>
      </c>
      <c r="AJ95" s="26">
        <v>0</v>
      </c>
      <c r="AK95" s="20">
        <v>0</v>
      </c>
      <c r="AL95" s="20">
        <v>0</v>
      </c>
      <c r="AM95" s="21">
        <v>30000</v>
      </c>
      <c r="AN95" s="136">
        <v>0</v>
      </c>
      <c r="AO95" s="20">
        <f>Ohj.lask.[[#This Row],[Jaettava € 1]]+Ohj.lask.[[#This Row],[Päätös 7, €]]</f>
        <v>326372</v>
      </c>
      <c r="AP95" s="119">
        <f>Ohj.lask.[[#This Row],[Jaettava € 2]]</f>
        <v>131212</v>
      </c>
      <c r="AQ95" s="20">
        <f>Ohj.lask.[[#This Row],[Jaettava € 3]]+Ohj.lask.[[#This Row],[Jaettava € 4]]+Ohj.lask.[[#This Row],[Jaettava € 5]]</f>
        <v>213799</v>
      </c>
      <c r="AR95" s="45">
        <f>Ohj.lask.[[#This Row],[Jaettava € 6]]+Ohj.lask.[[#This Row],[Päätös 7, €]]</f>
        <v>671383</v>
      </c>
      <c r="AS95" s="45">
        <f>ROUND(IFERROR(VLOOKUP(Ohj.lask.[[#This Row],[Y-tunnus]],'3.1 Alv vahvistettu'!A:Y,COLUMN(C:C),FALSE),0),0)</f>
        <v>22453</v>
      </c>
      <c r="AT95" s="26">
        <f>Ohj.lask.[[#This Row],[Perus-, suoritus- ja vaikuttavuusrahoitus yhteensä, €]]+Ohj.lask.[[#This Row],[Alv-korvaus, €]]</f>
        <v>693836</v>
      </c>
    </row>
    <row r="96" spans="1:46" ht="12.75" x14ac:dyDescent="0.2">
      <c r="A96" s="147" t="s">
        <v>313</v>
      </c>
      <c r="B96" s="17" t="s">
        <v>100</v>
      </c>
      <c r="C96" s="17" t="s">
        <v>254</v>
      </c>
      <c r="D96" s="17" t="s">
        <v>422</v>
      </c>
      <c r="E96" s="17" t="s">
        <v>663</v>
      </c>
      <c r="F96" s="128">
        <v>945</v>
      </c>
      <c r="G96" s="135">
        <v>49</v>
      </c>
      <c r="H96" s="44">
        <f t="shared" si="4"/>
        <v>994</v>
      </c>
      <c r="I96" s="18">
        <f>IFERROR(VLOOKUP($A96,'2.1 Toteut. op.vuodet'!$A:$Q,COLUMN('2.1 Toteut. op.vuodet'!Q:Q),FALSE),0)</f>
        <v>1.2494573366780208</v>
      </c>
      <c r="J96" s="85">
        <f t="shared" si="5"/>
        <v>1242</v>
      </c>
      <c r="K96" s="19">
        <f>IFERROR(Ohj.lask.[[#This Row],[Painotetut opiskelija-vuodet]]/Ohj.lask.[[#Totals],[Painotetut opiskelija-vuodet]],0)</f>
        <v>6.1613224718114531E-3</v>
      </c>
      <c r="L96" s="20">
        <f>ROUND(IFERROR('1.1 Jakotaulu'!L$10*Ohj.lask.[[#This Row],[%-osuus 1]],0),0)</f>
        <v>7330091</v>
      </c>
      <c r="M96" s="349">
        <f>IFERROR(ROUND(VLOOKUP($A96,'2.2 Tutk. ja osien pain. pist.'!$A:$Q,COLUMN('2.2 Tutk. ja osien pain. pist.'!P:P),FALSE),1),0)</f>
        <v>100938.2</v>
      </c>
      <c r="N96" s="19">
        <f>IFERROR(Ohj.lask.[[#This Row],[Painotetut pisteet 2]]/Ohj.lask.[[#Totals],[Painotetut pisteet 2]],0)</f>
        <v>6.4503807466798442E-3</v>
      </c>
      <c r="O96" s="26">
        <f>ROUND(IFERROR('1.1 Jakotaulu'!K$11*Ohj.lask.[[#This Row],[%-osuus 2]],0),0)</f>
        <v>2388428</v>
      </c>
      <c r="P96" s="350">
        <f>IFERROR(ROUND(VLOOKUP($A96,'2.3 Työll. ja jatko-opisk.'!$A:$K,COLUMN('2.3 Työll. ja jatko-opisk.'!I:I),FALSE),1),0)</f>
        <v>748.7</v>
      </c>
      <c r="Q96" s="19">
        <f>IFERROR(Ohj.lask.[[#This Row],[Painotetut pisteet 3]]/Ohj.lask.[[#Totals],[Painotetut pisteet 3]],0)</f>
        <v>3.9524085038811418E-3</v>
      </c>
      <c r="R96" s="20">
        <f>ROUND(IFERROR('1.1 Jakotaulu'!L$13*Ohj.lask.[[#This Row],[%-osuus 3]],0),0)</f>
        <v>548807</v>
      </c>
      <c r="S96" s="349">
        <f>IFERROR(ROUND(VLOOKUP($A96,'2.4 Aloittaneet palaute'!$A:$K,COLUMN('2.4 Aloittaneet palaute'!J:J),FALSE),1),0)</f>
        <v>6804</v>
      </c>
      <c r="T96" s="23">
        <f>IFERROR(Ohj.lask.[[#This Row],[Painotetut pisteet 4]]/Ohj.lask.[[#Totals],[Painotetut pisteet 4]],0)</f>
        <v>5.4648987082148888E-3</v>
      </c>
      <c r="U96" s="26">
        <f>ROUND(IFERROR('1.1 Jakotaulu'!M$15*Ohj.lask.[[#This Row],[%-osuus 4]],0),0)</f>
        <v>63235</v>
      </c>
      <c r="V96" s="85">
        <f>IFERROR(ROUND(VLOOKUP($A96,'2.5 Päättäneet palaute'!$A:$AC,COLUMN('2.5 Päättäneet palaute'!AB:AB),FALSE),1),0)</f>
        <v>24319.1</v>
      </c>
      <c r="W96" s="23">
        <f>IFERROR(Ohj.lask.[[#This Row],[Painotetut pisteet 5]]/Ohj.lask.[[#Totals],[Painotetut pisteet 5]],0)</f>
        <v>3.6724179786734546E-3</v>
      </c>
      <c r="X96" s="20">
        <f>ROUND(IFERROR('1.1 Jakotaulu'!M$16*Ohj.lask.[[#This Row],[%-osuus 5]],0),0)</f>
        <v>127482</v>
      </c>
      <c r="Y96" s="22">
        <f>IFERROR(Ohj.lask.[[#This Row],[Jaettava € 6]]/Ohj.lask.[[#Totals],[Jaettava € 6]],"")</f>
        <v>5.9927701347717638E-3</v>
      </c>
      <c r="Z96" s="26">
        <f>IFERROR(Ohj.lask.[[#This Row],[Jaettava € 1]]+Ohj.lask.[[#This Row],[Jaettava € 2]]+Ohj.lask.[[#This Row],[Jaettava € 3]]+Ohj.lask.[[#This Row],[Jaettava € 4]]+Ohj.lask.[[#This Row],[Jaettava € 5]],"")</f>
        <v>10458043</v>
      </c>
      <c r="AA96" s="20">
        <v>0</v>
      </c>
      <c r="AB96" s="20">
        <v>0</v>
      </c>
      <c r="AC96" s="21">
        <v>0</v>
      </c>
      <c r="AD96" s="20">
        <v>0</v>
      </c>
      <c r="AE96" s="21">
        <v>0</v>
      </c>
      <c r="AF96" s="20">
        <v>0</v>
      </c>
      <c r="AG96" s="21">
        <v>0</v>
      </c>
      <c r="AH96" s="20">
        <v>0</v>
      </c>
      <c r="AI96" s="21">
        <v>27300</v>
      </c>
      <c r="AJ96" s="26">
        <v>25000</v>
      </c>
      <c r="AK96" s="20">
        <v>0</v>
      </c>
      <c r="AL96" s="20">
        <v>0</v>
      </c>
      <c r="AM96" s="21">
        <v>27300</v>
      </c>
      <c r="AN96" s="136">
        <v>25000</v>
      </c>
      <c r="AO96" s="20">
        <f>Ohj.lask.[[#This Row],[Jaettava € 1]]+Ohj.lask.[[#This Row],[Päätös 7, €]]</f>
        <v>7355091</v>
      </c>
      <c r="AP96" s="119">
        <f>Ohj.lask.[[#This Row],[Jaettava € 2]]</f>
        <v>2388428</v>
      </c>
      <c r="AQ96" s="20">
        <f>Ohj.lask.[[#This Row],[Jaettava € 3]]+Ohj.lask.[[#This Row],[Jaettava € 4]]+Ohj.lask.[[#This Row],[Jaettava € 5]]</f>
        <v>739524</v>
      </c>
      <c r="AR96" s="45">
        <f>Ohj.lask.[[#This Row],[Jaettava € 6]]+Ohj.lask.[[#This Row],[Päätös 7, €]]</f>
        <v>10483043</v>
      </c>
      <c r="AS96" s="45">
        <f>ROUND(IFERROR(VLOOKUP(Ohj.lask.[[#This Row],[Y-tunnus]],'3.1 Alv vahvistettu'!A:Y,COLUMN(C:C),FALSE),0),0)</f>
        <v>0</v>
      </c>
      <c r="AT96" s="26">
        <f>Ohj.lask.[[#This Row],[Perus-, suoritus- ja vaikuttavuusrahoitus yhteensä, €]]+Ohj.lask.[[#This Row],[Alv-korvaus, €]]</f>
        <v>10483043</v>
      </c>
    </row>
    <row r="97" spans="1:46" ht="12.75" x14ac:dyDescent="0.2">
      <c r="A97" s="147" t="s">
        <v>312</v>
      </c>
      <c r="B97" s="17" t="s">
        <v>101</v>
      </c>
      <c r="C97" s="17" t="s">
        <v>238</v>
      </c>
      <c r="D97" s="17" t="s">
        <v>423</v>
      </c>
      <c r="E97" s="17" t="s">
        <v>663</v>
      </c>
      <c r="F97" s="128">
        <v>1332</v>
      </c>
      <c r="G97" s="135">
        <v>95</v>
      </c>
      <c r="H97" s="44">
        <f t="shared" si="4"/>
        <v>1427</v>
      </c>
      <c r="I97" s="18">
        <f>IFERROR(VLOOKUP($A97,'2.1 Toteut. op.vuodet'!$A:$Q,COLUMN('2.1 Toteut. op.vuodet'!Q:Q),FALSE),0)</f>
        <v>0.87658779817634946</v>
      </c>
      <c r="J97" s="85">
        <f t="shared" si="5"/>
        <v>1250.9000000000001</v>
      </c>
      <c r="K97" s="19">
        <f>IFERROR(Ohj.lask.[[#This Row],[Painotetut opiskelija-vuodet]]/Ohj.lask.[[#Totals],[Painotetut opiskelija-vuodet]],0)</f>
        <v>6.2054736553856264E-3</v>
      </c>
      <c r="L97" s="20">
        <f>ROUND(IFERROR('1.1 Jakotaulu'!L$10*Ohj.lask.[[#This Row],[%-osuus 1]],0),0)</f>
        <v>7382618</v>
      </c>
      <c r="M97" s="349">
        <f>IFERROR(ROUND(VLOOKUP($A97,'2.2 Tutk. ja osien pain. pist.'!$A:$Q,COLUMN('2.2 Tutk. ja osien pain. pist.'!P:P),FALSE),1),0)</f>
        <v>127573.8</v>
      </c>
      <c r="N97" s="19">
        <f>IFERROR(Ohj.lask.[[#This Row],[Painotetut pisteet 2]]/Ohj.lask.[[#Totals],[Painotetut pisteet 2]],0)</f>
        <v>8.1525089936296171E-3</v>
      </c>
      <c r="O97" s="26">
        <f>ROUND(IFERROR('1.1 Jakotaulu'!K$11*Ohj.lask.[[#This Row],[%-osuus 2]],0),0)</f>
        <v>3018687</v>
      </c>
      <c r="P97" s="350">
        <f>IFERROR(ROUND(VLOOKUP($A97,'2.3 Työll. ja jatko-opisk.'!$A:$K,COLUMN('2.3 Työll. ja jatko-opisk.'!I:I),FALSE),1),0)</f>
        <v>1573.2</v>
      </c>
      <c r="Q97" s="19">
        <f>IFERROR(Ohj.lask.[[#This Row],[Painotetut pisteet 3]]/Ohj.lask.[[#Totals],[Painotetut pisteet 3]],0)</f>
        <v>8.3049673544888635E-3</v>
      </c>
      <c r="R97" s="20">
        <f>ROUND(IFERROR('1.1 Jakotaulu'!L$13*Ohj.lask.[[#This Row],[%-osuus 3]],0),0)</f>
        <v>1153177</v>
      </c>
      <c r="S97" s="349">
        <f>IFERROR(ROUND(VLOOKUP($A97,'2.4 Aloittaneet palaute'!$A:$K,COLUMN('2.4 Aloittaneet palaute'!J:J),FALSE),1),0)</f>
        <v>15761.6</v>
      </c>
      <c r="T97" s="23">
        <f>IFERROR(Ohj.lask.[[#This Row],[Painotetut pisteet 4]]/Ohj.lask.[[#Totals],[Painotetut pisteet 4]],0)</f>
        <v>1.2659545484920603E-2</v>
      </c>
      <c r="U97" s="26">
        <f>ROUND(IFERROR('1.1 Jakotaulu'!M$15*Ohj.lask.[[#This Row],[%-osuus 4]],0),0)</f>
        <v>146486</v>
      </c>
      <c r="V97" s="85">
        <f>IFERROR(ROUND(VLOOKUP($A97,'2.5 Päättäneet palaute'!$A:$AC,COLUMN('2.5 Päättäneet palaute'!AB:AB),FALSE),1),0)</f>
        <v>106270.6</v>
      </c>
      <c r="W97" s="23">
        <f>IFERROR(Ohj.lask.[[#This Row],[Painotetut pisteet 5]]/Ohj.lask.[[#Totals],[Painotetut pisteet 5]],0)</f>
        <v>1.6047882612613761E-2</v>
      </c>
      <c r="X97" s="20">
        <f>ROUND(IFERROR('1.1 Jakotaulu'!M$16*Ohj.lask.[[#This Row],[%-osuus 5]],0),0)</f>
        <v>557078</v>
      </c>
      <c r="Y97" s="22">
        <f>IFERROR(Ohj.lask.[[#This Row],[Jaettava € 6]]/Ohj.lask.[[#Totals],[Jaettava € 6]],"")</f>
        <v>7.0242254673707569E-3</v>
      </c>
      <c r="Z97" s="26">
        <f>IFERROR(Ohj.lask.[[#This Row],[Jaettava € 1]]+Ohj.lask.[[#This Row],[Jaettava € 2]]+Ohj.lask.[[#This Row],[Jaettava € 3]]+Ohj.lask.[[#This Row],[Jaettava € 4]]+Ohj.lask.[[#This Row],[Jaettava € 5]],"")</f>
        <v>12258046</v>
      </c>
      <c r="AA97" s="20">
        <v>0</v>
      </c>
      <c r="AB97" s="20">
        <v>0</v>
      </c>
      <c r="AC97" s="21">
        <v>0</v>
      </c>
      <c r="AD97" s="20">
        <v>0</v>
      </c>
      <c r="AE97" s="21">
        <v>294150</v>
      </c>
      <c r="AF97" s="20">
        <v>0</v>
      </c>
      <c r="AG97" s="21">
        <v>0</v>
      </c>
      <c r="AH97" s="20">
        <v>0</v>
      </c>
      <c r="AI97" s="21">
        <v>200000</v>
      </c>
      <c r="AJ97" s="26">
        <v>0</v>
      </c>
      <c r="AK97" s="20">
        <v>100000</v>
      </c>
      <c r="AL97" s="20">
        <v>55000</v>
      </c>
      <c r="AM97" s="21">
        <v>594150</v>
      </c>
      <c r="AN97" s="136">
        <v>55000</v>
      </c>
      <c r="AO97" s="20">
        <f>Ohj.lask.[[#This Row],[Jaettava € 1]]+Ohj.lask.[[#This Row],[Päätös 7, €]]</f>
        <v>7437618</v>
      </c>
      <c r="AP97" s="119">
        <f>Ohj.lask.[[#This Row],[Jaettava € 2]]</f>
        <v>3018687</v>
      </c>
      <c r="AQ97" s="20">
        <f>Ohj.lask.[[#This Row],[Jaettava € 3]]+Ohj.lask.[[#This Row],[Jaettava € 4]]+Ohj.lask.[[#This Row],[Jaettava € 5]]</f>
        <v>1856741</v>
      </c>
      <c r="AR97" s="45">
        <f>Ohj.lask.[[#This Row],[Jaettava € 6]]+Ohj.lask.[[#This Row],[Päätös 7, €]]</f>
        <v>12313046</v>
      </c>
      <c r="AS97" s="45">
        <f>ROUND(IFERROR(VLOOKUP(Ohj.lask.[[#This Row],[Y-tunnus]],'3.1 Alv vahvistettu'!A:Y,COLUMN(C:C),FALSE),0),0)</f>
        <v>716010</v>
      </c>
      <c r="AT97" s="26">
        <f>Ohj.lask.[[#This Row],[Perus-, suoritus- ja vaikuttavuusrahoitus yhteensä, €]]+Ohj.lask.[[#This Row],[Alv-korvaus, €]]</f>
        <v>13029056</v>
      </c>
    </row>
    <row r="98" spans="1:46" ht="12.75" x14ac:dyDescent="0.2">
      <c r="A98" s="147" t="s">
        <v>311</v>
      </c>
      <c r="B98" s="17" t="s">
        <v>102</v>
      </c>
      <c r="C98" s="17" t="s">
        <v>296</v>
      </c>
      <c r="D98" s="17" t="s">
        <v>423</v>
      </c>
      <c r="E98" s="17" t="s">
        <v>663</v>
      </c>
      <c r="F98" s="128">
        <v>64</v>
      </c>
      <c r="G98" s="135">
        <v>3</v>
      </c>
      <c r="H98" s="44">
        <f t="shared" si="4"/>
        <v>67</v>
      </c>
      <c r="I98" s="18">
        <f>IFERROR(VLOOKUP($A98,'2.1 Toteut. op.vuodet'!$A:$Q,COLUMN('2.1 Toteut. op.vuodet'!Q:Q),FALSE),0)</f>
        <v>1.0316506952024784</v>
      </c>
      <c r="J98" s="85">
        <f t="shared" si="5"/>
        <v>69.099999999999994</v>
      </c>
      <c r="K98" s="19">
        <f>IFERROR(Ohj.lask.[[#This Row],[Painotetut opiskelija-vuodet]]/Ohj.lask.[[#Totals],[Painotetut opiskelija-vuodet]],0)</f>
        <v>3.4279177359273057E-4</v>
      </c>
      <c r="L98" s="20">
        <f>ROUND(IFERROR('1.1 Jakotaulu'!L$10*Ohj.lask.[[#This Row],[%-osuus 1]],0),0)</f>
        <v>407817</v>
      </c>
      <c r="M98" s="349">
        <f>IFERROR(ROUND(VLOOKUP($A98,'2.2 Tutk. ja osien pain. pist.'!$A:$Q,COLUMN('2.2 Tutk. ja osien pain. pist.'!P:P),FALSE),1),0)</f>
        <v>7140.9</v>
      </c>
      <c r="N98" s="19">
        <f>IFERROR(Ohj.lask.[[#This Row],[Painotetut pisteet 2]]/Ohj.lask.[[#Totals],[Painotetut pisteet 2]],0)</f>
        <v>4.5633391395889859E-4</v>
      </c>
      <c r="O98" s="26">
        <f>ROUND(IFERROR('1.1 Jakotaulu'!K$11*Ohj.lask.[[#This Row],[%-osuus 2]],0),0)</f>
        <v>168970</v>
      </c>
      <c r="P98" s="350">
        <f>IFERROR(ROUND(VLOOKUP($A98,'2.3 Työll. ja jatko-opisk.'!$A:$K,COLUMN('2.3 Työll. ja jatko-opisk.'!I:I),FALSE),1),0)</f>
        <v>57.8</v>
      </c>
      <c r="Q98" s="19">
        <f>IFERROR(Ohj.lask.[[#This Row],[Painotetut pisteet 3]]/Ohj.lask.[[#Totals],[Painotetut pisteet 3]],0)</f>
        <v>3.0512783694981965E-4</v>
      </c>
      <c r="R98" s="20">
        <f>ROUND(IFERROR('1.1 Jakotaulu'!L$13*Ohj.lask.[[#This Row],[%-osuus 3]],0),0)</f>
        <v>42368</v>
      </c>
      <c r="S98" s="349">
        <f>IFERROR(ROUND(VLOOKUP($A98,'2.4 Aloittaneet palaute'!$A:$K,COLUMN('2.4 Aloittaneet palaute'!J:J),FALSE),1),0)</f>
        <v>345.6</v>
      </c>
      <c r="T98" s="23">
        <f>IFERROR(Ohj.lask.[[#This Row],[Painotetut pisteet 4]]/Ohj.lask.[[#Totals],[Painotetut pisteet 4]],0)</f>
        <v>2.7758215660774041E-4</v>
      </c>
      <c r="U98" s="26">
        <f>ROUND(IFERROR('1.1 Jakotaulu'!M$15*Ohj.lask.[[#This Row],[%-osuus 4]],0),0)</f>
        <v>3212</v>
      </c>
      <c r="V98" s="85">
        <f>IFERROR(ROUND(VLOOKUP($A98,'2.5 Päättäneet palaute'!$A:$AC,COLUMN('2.5 Päättäneet palaute'!AB:AB),FALSE),1),0)</f>
        <v>3398.8</v>
      </c>
      <c r="W98" s="23">
        <f>IFERROR(Ohj.lask.[[#This Row],[Painotetut pisteet 5]]/Ohj.lask.[[#Totals],[Painotetut pisteet 5]],0)</f>
        <v>5.1325148652356953E-4</v>
      </c>
      <c r="X98" s="20">
        <f>ROUND(IFERROR('1.1 Jakotaulu'!M$16*Ohj.lask.[[#This Row],[%-osuus 5]],0),0)</f>
        <v>17817</v>
      </c>
      <c r="Y98" s="22">
        <f>IFERROR(Ohj.lask.[[#This Row],[Jaettava € 6]]/Ohj.lask.[[#Totals],[Jaettava € 6]],"")</f>
        <v>3.6684450006169671E-4</v>
      </c>
      <c r="Z98" s="26">
        <f>IFERROR(Ohj.lask.[[#This Row],[Jaettava € 1]]+Ohj.lask.[[#This Row],[Jaettava € 2]]+Ohj.lask.[[#This Row],[Jaettava € 3]]+Ohj.lask.[[#This Row],[Jaettava € 4]]+Ohj.lask.[[#This Row],[Jaettava € 5]],"")</f>
        <v>640184</v>
      </c>
      <c r="AA98" s="20">
        <v>0</v>
      </c>
      <c r="AB98" s="20">
        <v>0</v>
      </c>
      <c r="AC98" s="21">
        <v>0</v>
      </c>
      <c r="AD98" s="20">
        <v>0</v>
      </c>
      <c r="AE98" s="21">
        <v>70000</v>
      </c>
      <c r="AF98" s="20">
        <v>0</v>
      </c>
      <c r="AG98" s="21">
        <v>0</v>
      </c>
      <c r="AH98" s="20">
        <v>0</v>
      </c>
      <c r="AI98" s="21">
        <v>5000</v>
      </c>
      <c r="AJ98" s="26">
        <v>5000</v>
      </c>
      <c r="AK98" s="20">
        <v>0</v>
      </c>
      <c r="AL98" s="20">
        <v>0</v>
      </c>
      <c r="AM98" s="21">
        <v>75000</v>
      </c>
      <c r="AN98" s="136">
        <v>5000</v>
      </c>
      <c r="AO98" s="20">
        <f>Ohj.lask.[[#This Row],[Jaettava € 1]]+Ohj.lask.[[#This Row],[Päätös 7, €]]</f>
        <v>412817</v>
      </c>
      <c r="AP98" s="119">
        <f>Ohj.lask.[[#This Row],[Jaettava € 2]]</f>
        <v>168970</v>
      </c>
      <c r="AQ98" s="20">
        <f>Ohj.lask.[[#This Row],[Jaettava € 3]]+Ohj.lask.[[#This Row],[Jaettava € 4]]+Ohj.lask.[[#This Row],[Jaettava € 5]]</f>
        <v>63397</v>
      </c>
      <c r="AR98" s="45">
        <f>Ohj.lask.[[#This Row],[Jaettava € 6]]+Ohj.lask.[[#This Row],[Päätös 7, €]]</f>
        <v>645184</v>
      </c>
      <c r="AS98" s="45">
        <f>ROUND(IFERROR(VLOOKUP(Ohj.lask.[[#This Row],[Y-tunnus]],'3.1 Alv vahvistettu'!A:Y,COLUMN(C:C),FALSE),0),0)</f>
        <v>62433</v>
      </c>
      <c r="AT98" s="26">
        <f>Ohj.lask.[[#This Row],[Perus-, suoritus- ja vaikuttavuusrahoitus yhteensä, €]]+Ohj.lask.[[#This Row],[Alv-korvaus, €]]</f>
        <v>707617</v>
      </c>
    </row>
    <row r="99" spans="1:46" ht="12.75" x14ac:dyDescent="0.2">
      <c r="A99" s="147" t="s">
        <v>318</v>
      </c>
      <c r="B99" s="17" t="s">
        <v>103</v>
      </c>
      <c r="C99" s="17" t="s">
        <v>317</v>
      </c>
      <c r="D99" s="17" t="s">
        <v>422</v>
      </c>
      <c r="E99" s="17" t="s">
        <v>663</v>
      </c>
      <c r="F99" s="128">
        <v>4815</v>
      </c>
      <c r="G99" s="135">
        <v>359</v>
      </c>
      <c r="H99" s="44">
        <f t="shared" si="4"/>
        <v>5174</v>
      </c>
      <c r="I99" s="18">
        <f>IFERROR(VLOOKUP($A99,'2.1 Toteut. op.vuodet'!$A:$Q,COLUMN('2.1 Toteut. op.vuodet'!Q:Q),FALSE),0)</f>
        <v>1.1242438378474162</v>
      </c>
      <c r="J99" s="85">
        <f t="shared" si="5"/>
        <v>5816.8</v>
      </c>
      <c r="K99" s="19">
        <f>IFERROR(Ohj.lask.[[#This Row],[Painotetut opiskelija-vuodet]]/Ohj.lask.[[#Totals],[Painotetut opiskelija-vuodet]],0)</f>
        <v>2.8856022990364626E-2</v>
      </c>
      <c r="L99" s="20">
        <f>ROUND(IFERROR('1.1 Jakotaulu'!L$10*Ohj.lask.[[#This Row],[%-osuus 1]],0),0)</f>
        <v>34329852</v>
      </c>
      <c r="M99" s="349">
        <f>IFERROR(ROUND(VLOOKUP($A99,'2.2 Tutk. ja osien pain. pist.'!$A:$Q,COLUMN('2.2 Tutk. ja osien pain. pist.'!P:P),FALSE),1),0)</f>
        <v>477027.7</v>
      </c>
      <c r="N99" s="19">
        <f>IFERROR(Ohj.lask.[[#This Row],[Painotetut pisteet 2]]/Ohj.lask.[[#Totals],[Painotetut pisteet 2]],0)</f>
        <v>3.0484101080789718E-2</v>
      </c>
      <c r="O99" s="26">
        <f>ROUND(IFERROR('1.1 Jakotaulu'!K$11*Ohj.lask.[[#This Row],[%-osuus 2]],0),0)</f>
        <v>11287561</v>
      </c>
      <c r="P99" s="350">
        <f>IFERROR(ROUND(VLOOKUP($A99,'2.3 Työll. ja jatko-opisk.'!$A:$K,COLUMN('2.3 Työll. ja jatko-opisk.'!I:I),FALSE),1),0)</f>
        <v>5744.9</v>
      </c>
      <c r="Q99" s="19">
        <f>IFERROR(Ohj.lask.[[#This Row],[Painotetut pisteet 3]]/Ohj.lask.[[#Totals],[Painotetut pisteet 3]],0)</f>
        <v>3.0327489800917283E-2</v>
      </c>
      <c r="R99" s="20">
        <f>ROUND(IFERROR('1.1 Jakotaulu'!L$13*Ohj.lask.[[#This Row],[%-osuus 3]],0),0)</f>
        <v>4211089</v>
      </c>
      <c r="S99" s="349">
        <f>IFERROR(ROUND(VLOOKUP($A99,'2.4 Aloittaneet palaute'!$A:$K,COLUMN('2.4 Aloittaneet palaute'!J:J),FALSE),1),0)</f>
        <v>37804.199999999997</v>
      </c>
      <c r="T99" s="23">
        <f>IFERROR(Ohj.lask.[[#This Row],[Painotetut pisteet 4]]/Ohj.lask.[[#Totals],[Painotetut pisteet 4]],0)</f>
        <v>3.0363921773235932E-2</v>
      </c>
      <c r="U99" s="26">
        <f>ROUND(IFERROR('1.1 Jakotaulu'!M$15*Ohj.lask.[[#This Row],[%-osuus 4]],0),0)</f>
        <v>351346</v>
      </c>
      <c r="V99" s="85">
        <f>IFERROR(ROUND(VLOOKUP($A99,'2.5 Päättäneet palaute'!$A:$AC,COLUMN('2.5 Päättäneet palaute'!AB:AB),FALSE),1),0)</f>
        <v>200140.5</v>
      </c>
      <c r="W99" s="23">
        <f>IFERROR(Ohj.lask.[[#This Row],[Painotetut pisteet 5]]/Ohj.lask.[[#Totals],[Painotetut pisteet 5]],0)</f>
        <v>3.022314026673251E-2</v>
      </c>
      <c r="X99" s="20">
        <f>ROUND(IFERROR('1.1 Jakotaulu'!M$16*Ohj.lask.[[#This Row],[%-osuus 5]],0),0)</f>
        <v>1049150</v>
      </c>
      <c r="Y99" s="22">
        <f>IFERROR(Ohj.lask.[[#This Row],[Jaettava € 6]]/Ohj.lask.[[#Totals],[Jaettava € 6]],"")</f>
        <v>2.9355741724210006E-2</v>
      </c>
      <c r="Z99" s="26">
        <f>IFERROR(Ohj.lask.[[#This Row],[Jaettava € 1]]+Ohj.lask.[[#This Row],[Jaettava € 2]]+Ohj.lask.[[#This Row],[Jaettava € 3]]+Ohj.lask.[[#This Row],[Jaettava € 4]]+Ohj.lask.[[#This Row],[Jaettava € 5]],"")</f>
        <v>51228998</v>
      </c>
      <c r="AA99" s="20">
        <v>300000</v>
      </c>
      <c r="AB99" s="20">
        <v>0</v>
      </c>
      <c r="AC99" s="21">
        <v>2300000</v>
      </c>
      <c r="AD99" s="20">
        <v>0</v>
      </c>
      <c r="AE99" s="21">
        <v>0</v>
      </c>
      <c r="AF99" s="20">
        <v>0</v>
      </c>
      <c r="AG99" s="21">
        <v>0</v>
      </c>
      <c r="AH99" s="20">
        <v>0</v>
      </c>
      <c r="AI99" s="21">
        <v>200000</v>
      </c>
      <c r="AJ99" s="26">
        <v>0</v>
      </c>
      <c r="AK99" s="20">
        <v>0</v>
      </c>
      <c r="AL99" s="20">
        <v>0</v>
      </c>
      <c r="AM99" s="21">
        <v>2800000</v>
      </c>
      <c r="AN99" s="136">
        <v>0</v>
      </c>
      <c r="AO99" s="20">
        <f>Ohj.lask.[[#This Row],[Jaettava € 1]]+Ohj.lask.[[#This Row],[Päätös 7, €]]</f>
        <v>34329852</v>
      </c>
      <c r="AP99" s="119">
        <f>Ohj.lask.[[#This Row],[Jaettava € 2]]</f>
        <v>11287561</v>
      </c>
      <c r="AQ99" s="20">
        <f>Ohj.lask.[[#This Row],[Jaettava € 3]]+Ohj.lask.[[#This Row],[Jaettava € 4]]+Ohj.lask.[[#This Row],[Jaettava € 5]]</f>
        <v>5611585</v>
      </c>
      <c r="AR99" s="45">
        <f>Ohj.lask.[[#This Row],[Jaettava € 6]]+Ohj.lask.[[#This Row],[Päätös 7, €]]</f>
        <v>51228998</v>
      </c>
      <c r="AS99" s="45">
        <f>ROUND(IFERROR(VLOOKUP(Ohj.lask.[[#This Row],[Y-tunnus]],'3.1 Alv vahvistettu'!A:Y,COLUMN(C:C),FALSE),0),0)</f>
        <v>0</v>
      </c>
      <c r="AT99" s="26">
        <f>Ohj.lask.[[#This Row],[Perus-, suoritus- ja vaikuttavuusrahoitus yhteensä, €]]+Ohj.lask.[[#This Row],[Alv-korvaus, €]]</f>
        <v>51228998</v>
      </c>
    </row>
    <row r="100" spans="1:46" ht="12.75" x14ac:dyDescent="0.2">
      <c r="A100" s="147" t="s">
        <v>308</v>
      </c>
      <c r="B100" s="17" t="s">
        <v>104</v>
      </c>
      <c r="C100" s="113" t="s">
        <v>287</v>
      </c>
      <c r="D100" s="113" t="s">
        <v>423</v>
      </c>
      <c r="E100" s="113" t="s">
        <v>663</v>
      </c>
      <c r="F100" s="127">
        <v>117</v>
      </c>
      <c r="G100" s="135">
        <v>0</v>
      </c>
      <c r="H100" s="44">
        <f t="shared" si="4"/>
        <v>117</v>
      </c>
      <c r="I100" s="18">
        <f>IFERROR(VLOOKUP($A100,'2.1 Toteut. op.vuodet'!$A:$Q,COLUMN('2.1 Toteut. op.vuodet'!Q:Q),FALSE),0)</f>
        <v>0.93589573449242791</v>
      </c>
      <c r="J100" s="85">
        <f t="shared" si="5"/>
        <v>109.5</v>
      </c>
      <c r="K100" s="19">
        <f>IFERROR(Ohj.lask.[[#This Row],[Painotetut opiskelija-vuodet]]/Ohj.lask.[[#Totals],[Painotetut opiskelija-vuodet]],0)</f>
        <v>5.432083821766137E-4</v>
      </c>
      <c r="L100" s="20">
        <f>ROUND(IFERROR('1.1 Jakotaulu'!L$10*Ohj.lask.[[#This Row],[%-osuus 1]],0),0)</f>
        <v>646252</v>
      </c>
      <c r="M100" s="349">
        <f>IFERROR(ROUND(VLOOKUP($A100,'2.2 Tutk. ja osien pain. pist.'!$A:$Q,COLUMN('2.2 Tutk. ja osien pain. pist.'!P:P),FALSE),1),0)</f>
        <v>10301.1</v>
      </c>
      <c r="N100" s="19">
        <f>IFERROR(Ohj.lask.[[#This Row],[Painotetut pisteet 2]]/Ohj.lask.[[#Totals],[Painotetut pisteet 2]],0)</f>
        <v>6.582841492083646E-4</v>
      </c>
      <c r="O100" s="26">
        <f>ROUND(IFERROR('1.1 Jakotaulu'!K$11*Ohj.lask.[[#This Row],[%-osuus 2]],0),0)</f>
        <v>243747</v>
      </c>
      <c r="P100" s="350">
        <f>IFERROR(ROUND(VLOOKUP($A100,'2.3 Työll. ja jatko-opisk.'!$A:$K,COLUMN('2.3 Työll. ja jatko-opisk.'!I:I),FALSE),1),0)</f>
        <v>162.1</v>
      </c>
      <c r="Q100" s="23">
        <f>IFERROR(Ohj.lask.[[#This Row],[Painotetut pisteet 3]]/Ohj.lask.[[#Totals],[Painotetut pisteet 3]],0)</f>
        <v>8.5573049082293717E-4</v>
      </c>
      <c r="R100" s="20">
        <f>ROUND(IFERROR('1.1 Jakotaulu'!L$13*Ohj.lask.[[#This Row],[%-osuus 3]],0),0)</f>
        <v>118821</v>
      </c>
      <c r="S100" s="349">
        <f>IFERROR(ROUND(VLOOKUP($A100,'2.4 Aloittaneet palaute'!$A:$K,COLUMN('2.4 Aloittaneet palaute'!J:J),FALSE),1),0)</f>
        <v>2036.5</v>
      </c>
      <c r="T100" s="23">
        <f>IFERROR(Ohj.lask.[[#This Row],[Painotetut pisteet 4]]/Ohj.lask.[[#Totals],[Painotetut pisteet 4]],0)</f>
        <v>1.6356946236448589E-3</v>
      </c>
      <c r="U100" s="26">
        <f>ROUND(IFERROR('1.1 Jakotaulu'!M$15*Ohj.lask.[[#This Row],[%-osuus 4]],0),0)</f>
        <v>18927</v>
      </c>
      <c r="V100" s="85">
        <f>IFERROR(ROUND(VLOOKUP($A100,'2.5 Päättäneet palaute'!$A:$AC,COLUMN('2.5 Päättäneet palaute'!AB:AB),FALSE),1),0)</f>
        <v>148.30000000000001</v>
      </c>
      <c r="W100" s="23">
        <f>IFERROR(Ohj.lask.[[#This Row],[Painotetut pisteet 5]]/Ohj.lask.[[#Totals],[Painotetut pisteet 5]],0)</f>
        <v>2.2394726212617794E-5</v>
      </c>
      <c r="X100" s="20">
        <f>ROUND(IFERROR('1.1 Jakotaulu'!M$16*Ohj.lask.[[#This Row],[%-osuus 5]],0),0)</f>
        <v>777</v>
      </c>
      <c r="Y100" s="22">
        <f>IFERROR(Ohj.lask.[[#This Row],[Jaettava € 6]]/Ohj.lask.[[#Totals],[Jaettava € 6]],"")</f>
        <v>5.8937488687854818E-4</v>
      </c>
      <c r="Z100" s="26">
        <f>IFERROR(Ohj.lask.[[#This Row],[Jaettava € 1]]+Ohj.lask.[[#This Row],[Jaettava € 2]]+Ohj.lask.[[#This Row],[Jaettava € 3]]+Ohj.lask.[[#This Row],[Jaettava € 4]]+Ohj.lask.[[#This Row],[Jaettava € 5]],"")</f>
        <v>1028524</v>
      </c>
      <c r="AA100" s="20">
        <v>0</v>
      </c>
      <c r="AB100" s="20">
        <v>0</v>
      </c>
      <c r="AC100" s="21">
        <v>0</v>
      </c>
      <c r="AD100" s="20">
        <v>0</v>
      </c>
      <c r="AE100" s="21">
        <v>0</v>
      </c>
      <c r="AF100" s="20">
        <v>0</v>
      </c>
      <c r="AG100" s="21">
        <v>0</v>
      </c>
      <c r="AH100" s="20">
        <v>0</v>
      </c>
      <c r="AI100" s="21">
        <v>0</v>
      </c>
      <c r="AJ100" s="26">
        <v>0</v>
      </c>
      <c r="AK100" s="20">
        <v>0</v>
      </c>
      <c r="AL100" s="20">
        <v>0</v>
      </c>
      <c r="AM100" s="21">
        <v>0</v>
      </c>
      <c r="AN100" s="136">
        <v>0</v>
      </c>
      <c r="AO100" s="20">
        <f>Ohj.lask.[[#This Row],[Jaettava € 1]]+Ohj.lask.[[#This Row],[Päätös 7, €]]</f>
        <v>646252</v>
      </c>
      <c r="AP100" s="119">
        <f>Ohj.lask.[[#This Row],[Jaettava € 2]]</f>
        <v>243747</v>
      </c>
      <c r="AQ100" s="20">
        <f>Ohj.lask.[[#This Row],[Jaettava € 3]]+Ohj.lask.[[#This Row],[Jaettava € 4]]+Ohj.lask.[[#This Row],[Jaettava € 5]]</f>
        <v>138525</v>
      </c>
      <c r="AR100" s="45">
        <f>Ohj.lask.[[#This Row],[Jaettava € 6]]+Ohj.lask.[[#This Row],[Päätös 7, €]]</f>
        <v>1028524</v>
      </c>
      <c r="AS100" s="45">
        <f>ROUND(IFERROR(VLOOKUP(Ohj.lask.[[#This Row],[Y-tunnus]],'3.1 Alv vahvistettu'!A:Y,COLUMN(C:C),FALSE),0),0)</f>
        <v>53995</v>
      </c>
      <c r="AT100" s="26">
        <f>Ohj.lask.[[#This Row],[Perus-, suoritus- ja vaikuttavuusrahoitus yhteensä, €]]+Ohj.lask.[[#This Row],[Alv-korvaus, €]]</f>
        <v>1082519</v>
      </c>
    </row>
    <row r="101" spans="1:46" ht="12.75" x14ac:dyDescent="0.2">
      <c r="A101" s="147" t="s">
        <v>307</v>
      </c>
      <c r="B101" s="17" t="s">
        <v>105</v>
      </c>
      <c r="C101" s="17" t="s">
        <v>242</v>
      </c>
      <c r="D101" s="17" t="s">
        <v>423</v>
      </c>
      <c r="E101" s="17" t="s">
        <v>663</v>
      </c>
      <c r="F101" s="128">
        <v>50</v>
      </c>
      <c r="G101" s="135">
        <v>2</v>
      </c>
      <c r="H101" s="44">
        <f t="shared" si="4"/>
        <v>52</v>
      </c>
      <c r="I101" s="18">
        <f>IFERROR(VLOOKUP($A101,'2.1 Toteut. op.vuodet'!$A:$Q,COLUMN('2.1 Toteut. op.vuodet'!Q:Q),FALSE),0)</f>
        <v>1.0639095809850525</v>
      </c>
      <c r="J101" s="85">
        <f t="shared" si="5"/>
        <v>55.3</v>
      </c>
      <c r="K101" s="19">
        <f>IFERROR(Ohj.lask.[[#This Row],[Painotetut opiskelija-vuodet]]/Ohj.lask.[[#Totals],[Painotetut opiskelija-vuodet]],0)</f>
        <v>2.743326350170478E-4</v>
      </c>
      <c r="L101" s="20">
        <f>ROUND(IFERROR('1.1 Jakotaulu'!L$10*Ohj.lask.[[#This Row],[%-osuus 1]],0),0)</f>
        <v>326372</v>
      </c>
      <c r="M101" s="349">
        <f>IFERROR(ROUND(VLOOKUP($A101,'2.2 Tutk. ja osien pain. pist.'!$A:$Q,COLUMN('2.2 Tutk. ja osien pain. pist.'!P:P),FALSE),1),0)</f>
        <v>3276.2</v>
      </c>
      <c r="N101" s="19">
        <f>IFERROR(Ohj.lask.[[#This Row],[Painotetut pisteet 2]]/Ohj.lask.[[#Totals],[Painotetut pisteet 2]],0)</f>
        <v>2.0936312914508583E-4</v>
      </c>
      <c r="O101" s="26">
        <f>ROUND(IFERROR('1.1 Jakotaulu'!K$11*Ohj.lask.[[#This Row],[%-osuus 2]],0),0)</f>
        <v>77522</v>
      </c>
      <c r="P101" s="350">
        <f>IFERROR(ROUND(VLOOKUP($A101,'2.3 Työll. ja jatko-opisk.'!$A:$K,COLUMN('2.3 Työll. ja jatko-opisk.'!I:I),FALSE),1),0)</f>
        <v>77.7</v>
      </c>
      <c r="Q101" s="19">
        <f>IFERROR(Ohj.lask.[[#This Row],[Painotetut pisteet 3]]/Ohj.lask.[[#Totals],[Painotetut pisteet 3]],0)</f>
        <v>4.101805005363493E-4</v>
      </c>
      <c r="R101" s="20">
        <f>ROUND(IFERROR('1.1 Jakotaulu'!L$13*Ohj.lask.[[#This Row],[%-osuus 3]],0),0)</f>
        <v>56955</v>
      </c>
      <c r="S101" s="349">
        <f>IFERROR(ROUND(VLOOKUP($A101,'2.4 Aloittaneet palaute'!$A:$K,COLUMN('2.4 Aloittaneet palaute'!J:J),FALSE),1),0)</f>
        <v>460.4</v>
      </c>
      <c r="T101" s="23">
        <f>IFERROR(Ohj.lask.[[#This Row],[Painotetut pisteet 4]]/Ohj.lask.[[#Totals],[Painotetut pisteet 4]],0)</f>
        <v>3.6978826649943186E-4</v>
      </c>
      <c r="U101" s="26">
        <f>ROUND(IFERROR('1.1 Jakotaulu'!M$15*Ohj.lask.[[#This Row],[%-osuus 4]],0),0)</f>
        <v>4279</v>
      </c>
      <c r="V101" s="85">
        <f>IFERROR(ROUND(VLOOKUP($A101,'2.5 Päättäneet palaute'!$A:$AC,COLUMN('2.5 Päättäneet palaute'!AB:AB),FALSE),1),0)</f>
        <v>2825.2</v>
      </c>
      <c r="W101" s="23">
        <f>IFERROR(Ohj.lask.[[#This Row],[Painotetut pisteet 5]]/Ohj.lask.[[#Totals],[Painotetut pisteet 5]],0)</f>
        <v>4.2663237016782053E-4</v>
      </c>
      <c r="X101" s="20">
        <f>ROUND(IFERROR('1.1 Jakotaulu'!M$16*Ohj.lask.[[#This Row],[%-osuus 5]],0),0)</f>
        <v>14810</v>
      </c>
      <c r="Y101" s="22">
        <f>IFERROR(Ohj.lask.[[#This Row],[Jaettava € 6]]/Ohj.lask.[[#Totals],[Jaettava € 6]],"")</f>
        <v>2.750187690892159E-4</v>
      </c>
      <c r="Z101" s="26">
        <f>IFERROR(Ohj.lask.[[#This Row],[Jaettava € 1]]+Ohj.lask.[[#This Row],[Jaettava € 2]]+Ohj.lask.[[#This Row],[Jaettava € 3]]+Ohj.lask.[[#This Row],[Jaettava € 4]]+Ohj.lask.[[#This Row],[Jaettava € 5]],"")</f>
        <v>479938</v>
      </c>
      <c r="AA101" s="20">
        <v>0</v>
      </c>
      <c r="AB101" s="20">
        <v>0</v>
      </c>
      <c r="AC101" s="21">
        <v>0</v>
      </c>
      <c r="AD101" s="20">
        <v>0</v>
      </c>
      <c r="AE101" s="21">
        <v>0</v>
      </c>
      <c r="AF101" s="20">
        <v>0</v>
      </c>
      <c r="AG101" s="21">
        <v>0</v>
      </c>
      <c r="AH101" s="20">
        <v>0</v>
      </c>
      <c r="AI101" s="21">
        <v>12000</v>
      </c>
      <c r="AJ101" s="26">
        <v>0</v>
      </c>
      <c r="AK101" s="20">
        <v>0</v>
      </c>
      <c r="AL101" s="20">
        <v>0</v>
      </c>
      <c r="AM101" s="21">
        <v>12000</v>
      </c>
      <c r="AN101" s="136">
        <v>0</v>
      </c>
      <c r="AO101" s="20">
        <f>Ohj.lask.[[#This Row],[Jaettava € 1]]+Ohj.lask.[[#This Row],[Päätös 7, €]]</f>
        <v>326372</v>
      </c>
      <c r="AP101" s="119">
        <f>Ohj.lask.[[#This Row],[Jaettava € 2]]</f>
        <v>77522</v>
      </c>
      <c r="AQ101" s="20">
        <f>Ohj.lask.[[#This Row],[Jaettava € 3]]+Ohj.lask.[[#This Row],[Jaettava € 4]]+Ohj.lask.[[#This Row],[Jaettava € 5]]</f>
        <v>76044</v>
      </c>
      <c r="AR101" s="45">
        <f>Ohj.lask.[[#This Row],[Jaettava € 6]]+Ohj.lask.[[#This Row],[Päätös 7, €]]</f>
        <v>479938</v>
      </c>
      <c r="AS101" s="45">
        <f>ROUND(IFERROR(VLOOKUP(Ohj.lask.[[#This Row],[Y-tunnus]],'3.1 Alv vahvistettu'!A:Y,COLUMN(C:C),FALSE),0),0)</f>
        <v>32805</v>
      </c>
      <c r="AT101" s="26">
        <f>Ohj.lask.[[#This Row],[Perus-, suoritus- ja vaikuttavuusrahoitus yhteensä, €]]+Ohj.lask.[[#This Row],[Alv-korvaus, €]]</f>
        <v>512743</v>
      </c>
    </row>
    <row r="102" spans="1:46" ht="12.75" x14ac:dyDescent="0.2">
      <c r="A102" s="147" t="s">
        <v>306</v>
      </c>
      <c r="B102" s="17" t="s">
        <v>106</v>
      </c>
      <c r="C102" s="17" t="s">
        <v>246</v>
      </c>
      <c r="D102" s="17" t="s">
        <v>423</v>
      </c>
      <c r="E102" s="17" t="s">
        <v>663</v>
      </c>
      <c r="F102" s="128">
        <v>194</v>
      </c>
      <c r="G102" s="135">
        <v>75</v>
      </c>
      <c r="H102" s="44">
        <f t="shared" ref="H102:H133" si="6">IFERROR(F102+G102,0)</f>
        <v>269</v>
      </c>
      <c r="I102" s="18">
        <f>IFERROR(VLOOKUP($A102,'2.1 Toteut. op.vuodet'!$A:$Q,COLUMN('2.1 Toteut. op.vuodet'!Q:Q),FALSE),0)</f>
        <v>0.75260764402550007</v>
      </c>
      <c r="J102" s="85">
        <f t="shared" ref="J102:J133" si="7">IFERROR(ROUND(H102*I102,1),0)</f>
        <v>202.5</v>
      </c>
      <c r="K102" s="19">
        <f>IFERROR(Ohj.lask.[[#This Row],[Painotetut opiskelija-vuodet]]/Ohj.lask.[[#Totals],[Painotetut opiskelija-vuodet]],0)</f>
        <v>1.0045634464909978E-3</v>
      </c>
      <c r="L102" s="20">
        <f>ROUND(IFERROR('1.1 Jakotaulu'!L$10*Ohj.lask.[[#This Row],[%-osuus 1]],0),0)</f>
        <v>1195124</v>
      </c>
      <c r="M102" s="349">
        <f>IFERROR(ROUND(VLOOKUP($A102,'2.2 Tutk. ja osien pain. pist.'!$A:$Q,COLUMN('2.2 Tutk. ja osien pain. pist.'!P:P),FALSE),1),0)</f>
        <v>15872.2</v>
      </c>
      <c r="N102" s="19">
        <f>IFERROR(Ohj.lask.[[#This Row],[Painotetut pisteet 2]]/Ohj.lask.[[#Totals],[Painotetut pisteet 2]],0)</f>
        <v>1.014301159397055E-3</v>
      </c>
      <c r="O102" s="26">
        <f>ROUND(IFERROR('1.1 Jakotaulu'!K$11*Ohj.lask.[[#This Row],[%-osuus 2]],0),0)</f>
        <v>375572</v>
      </c>
      <c r="P102" s="350">
        <f>IFERROR(ROUND(VLOOKUP($A102,'2.3 Työll. ja jatko-opisk.'!$A:$K,COLUMN('2.3 Työll. ja jatko-opisk.'!I:I),FALSE),1),0)</f>
        <v>292.8</v>
      </c>
      <c r="Q102" s="19">
        <f>IFERROR(Ohj.lask.[[#This Row],[Painotetut pisteet 3]]/Ohj.lask.[[#Totals],[Painotetut pisteet 3]],0)</f>
        <v>1.5456994923686367E-3</v>
      </c>
      <c r="R102" s="20">
        <f>ROUND(IFERROR('1.1 Jakotaulu'!L$13*Ohj.lask.[[#This Row],[%-osuus 3]],0),0)</f>
        <v>214626</v>
      </c>
      <c r="S102" s="349">
        <f>IFERROR(ROUND(VLOOKUP($A102,'2.4 Aloittaneet palaute'!$A:$K,COLUMN('2.4 Aloittaneet palaute'!J:J),FALSE),1),0)</f>
        <v>4293.2</v>
      </c>
      <c r="T102" s="23">
        <f>IFERROR(Ohj.lask.[[#This Row],[Painotetut pisteet 4]]/Ohj.lask.[[#Totals],[Painotetut pisteet 4]],0)</f>
        <v>3.4482514894338856E-3</v>
      </c>
      <c r="U102" s="26">
        <f>ROUND(IFERROR('1.1 Jakotaulu'!M$15*Ohj.lask.[[#This Row],[%-osuus 4]],0),0)</f>
        <v>39900</v>
      </c>
      <c r="V102" s="85">
        <f>IFERROR(ROUND(VLOOKUP($A102,'2.5 Päättäneet palaute'!$A:$AC,COLUMN('2.5 Päättäneet palaute'!AB:AB),FALSE),1),0)</f>
        <v>14809.7</v>
      </c>
      <c r="W102" s="23">
        <f>IFERROR(Ohj.lask.[[#This Row],[Painotetut pisteet 5]]/Ohj.lask.[[#Totals],[Painotetut pisteet 5]],0)</f>
        <v>2.2364071260351026E-3</v>
      </c>
      <c r="X102" s="20">
        <f>ROUND(IFERROR('1.1 Jakotaulu'!M$16*Ohj.lask.[[#This Row],[%-osuus 5]],0),0)</f>
        <v>77633</v>
      </c>
      <c r="Y102" s="22">
        <f>IFERROR(Ohj.lask.[[#This Row],[Jaettava € 6]]/Ohj.lask.[[#Totals],[Jaettava € 6]],"")</f>
        <v>1.0903925920749344E-3</v>
      </c>
      <c r="Z102" s="26">
        <f>IFERROR(Ohj.lask.[[#This Row],[Jaettava € 1]]+Ohj.lask.[[#This Row],[Jaettava € 2]]+Ohj.lask.[[#This Row],[Jaettava € 3]]+Ohj.lask.[[#This Row],[Jaettava € 4]]+Ohj.lask.[[#This Row],[Jaettava € 5]],"")</f>
        <v>1902855</v>
      </c>
      <c r="AA102" s="20">
        <v>0</v>
      </c>
      <c r="AB102" s="20">
        <v>0</v>
      </c>
      <c r="AC102" s="21">
        <v>0</v>
      </c>
      <c r="AD102" s="20">
        <v>0</v>
      </c>
      <c r="AE102" s="21">
        <v>0</v>
      </c>
      <c r="AF102" s="20">
        <v>0</v>
      </c>
      <c r="AG102" s="21">
        <v>0</v>
      </c>
      <c r="AH102" s="20">
        <v>0</v>
      </c>
      <c r="AI102" s="21">
        <v>0</v>
      </c>
      <c r="AJ102" s="26">
        <v>0</v>
      </c>
      <c r="AK102" s="20">
        <v>0</v>
      </c>
      <c r="AL102" s="20">
        <v>0</v>
      </c>
      <c r="AM102" s="21">
        <v>0</v>
      </c>
      <c r="AN102" s="136">
        <v>0</v>
      </c>
      <c r="AO102" s="20">
        <f>Ohj.lask.[[#This Row],[Jaettava € 1]]+Ohj.lask.[[#This Row],[Päätös 7, €]]</f>
        <v>1195124</v>
      </c>
      <c r="AP102" s="119">
        <f>Ohj.lask.[[#This Row],[Jaettava € 2]]</f>
        <v>375572</v>
      </c>
      <c r="AQ102" s="20">
        <f>Ohj.lask.[[#This Row],[Jaettava € 3]]+Ohj.lask.[[#This Row],[Jaettava € 4]]+Ohj.lask.[[#This Row],[Jaettava € 5]]</f>
        <v>332159</v>
      </c>
      <c r="AR102" s="45">
        <f>Ohj.lask.[[#This Row],[Jaettava € 6]]+Ohj.lask.[[#This Row],[Päätös 7, €]]</f>
        <v>1902855</v>
      </c>
      <c r="AS102" s="45">
        <f>ROUND(IFERROR(VLOOKUP(Ohj.lask.[[#This Row],[Y-tunnus]],'3.1 Alv vahvistettu'!A:Y,COLUMN(C:C),FALSE),0),0)</f>
        <v>50352</v>
      </c>
      <c r="AT102" s="26">
        <f>Ohj.lask.[[#This Row],[Perus-, suoritus- ja vaikuttavuusrahoitus yhteensä, €]]+Ohj.lask.[[#This Row],[Alv-korvaus, €]]</f>
        <v>1953207</v>
      </c>
    </row>
    <row r="103" spans="1:46" ht="12.75" x14ac:dyDescent="0.2">
      <c r="A103" s="147" t="s">
        <v>310</v>
      </c>
      <c r="B103" s="17" t="s">
        <v>107</v>
      </c>
      <c r="C103" s="17" t="s">
        <v>238</v>
      </c>
      <c r="D103" s="17" t="s">
        <v>423</v>
      </c>
      <c r="E103" s="17" t="s">
        <v>663</v>
      </c>
      <c r="F103" s="128">
        <v>105</v>
      </c>
      <c r="G103" s="135">
        <v>13</v>
      </c>
      <c r="H103" s="44">
        <f t="shared" si="6"/>
        <v>118</v>
      </c>
      <c r="I103" s="18">
        <f>IFERROR(VLOOKUP($A103,'2.1 Toteut. op.vuodet'!$A:$Q,COLUMN('2.1 Toteut. op.vuodet'!Q:Q),FALSE),0)</f>
        <v>1.5614093964726008</v>
      </c>
      <c r="J103" s="85">
        <f t="shared" si="7"/>
        <v>184.2</v>
      </c>
      <c r="K103" s="19">
        <f>IFERROR(Ohj.lask.[[#This Row],[Painotetut opiskelija-vuodet]]/Ohj.lask.[[#Totals],[Painotetut opiskelija-vuodet]],0)</f>
        <v>9.1378067577107061E-4</v>
      </c>
      <c r="L103" s="20">
        <f>ROUND(IFERROR('1.1 Jakotaulu'!L$10*Ohj.lask.[[#This Row],[%-osuus 1]],0),0)</f>
        <v>1087120</v>
      </c>
      <c r="M103" s="349">
        <f>IFERROR(ROUND(VLOOKUP($A103,'2.2 Tutk. ja osien pain. pist.'!$A:$Q,COLUMN('2.2 Tutk. ja osien pain. pist.'!P:P),FALSE),1),0)</f>
        <v>16841.2</v>
      </c>
      <c r="N103" s="19">
        <f>IFERROR(Ohj.lask.[[#This Row],[Painotetut pisteet 2]]/Ohj.lask.[[#Totals],[Painotetut pisteet 2]],0)</f>
        <v>1.0762243851285696E-3</v>
      </c>
      <c r="O103" s="26">
        <f>ROUND(IFERROR('1.1 Jakotaulu'!K$11*Ohj.lask.[[#This Row],[%-osuus 2]],0),0)</f>
        <v>398501</v>
      </c>
      <c r="P103" s="350">
        <f>IFERROR(ROUND(VLOOKUP($A103,'2.3 Työll. ja jatko-opisk.'!$A:$K,COLUMN('2.3 Työll. ja jatko-opisk.'!I:I),FALSE),1),0)</f>
        <v>165.3</v>
      </c>
      <c r="Q103" s="19">
        <f>IFERROR(Ohj.lask.[[#This Row],[Painotetut pisteet 3]]/Ohj.lask.[[#Totals],[Painotetut pisteet 3]],0)</f>
        <v>8.726233814499169E-4</v>
      </c>
      <c r="R103" s="20">
        <f>ROUND(IFERROR('1.1 Jakotaulu'!L$13*Ohj.lask.[[#This Row],[%-osuus 3]],0),0)</f>
        <v>121167</v>
      </c>
      <c r="S103" s="349">
        <f>IFERROR(ROUND(VLOOKUP($A103,'2.4 Aloittaneet palaute'!$A:$K,COLUMN('2.4 Aloittaneet palaute'!J:J),FALSE),1),0)</f>
        <v>1061.5</v>
      </c>
      <c r="T103" s="23">
        <f>IFERROR(Ohj.lask.[[#This Row],[Painotetut pisteet 4]]/Ohj.lask.[[#Totals],[Painotetut pisteet 4]],0)</f>
        <v>8.525852408539248E-4</v>
      </c>
      <c r="U103" s="26">
        <f>ROUND(IFERROR('1.1 Jakotaulu'!M$15*Ohj.lask.[[#This Row],[%-osuus 4]],0),0)</f>
        <v>9865</v>
      </c>
      <c r="V103" s="85">
        <f>IFERROR(ROUND(VLOOKUP($A103,'2.5 Päättäneet palaute'!$A:$AC,COLUMN('2.5 Päättäneet palaute'!AB:AB),FALSE),1),0)</f>
        <v>4472.3999999999996</v>
      </c>
      <c r="W103" s="23">
        <f>IFERROR(Ohj.lask.[[#This Row],[Painotetut pisteet 5]]/Ohj.lask.[[#Totals],[Painotetut pisteet 5]],0)</f>
        <v>6.7537541141815115E-4</v>
      </c>
      <c r="X103" s="20">
        <f>ROUND(IFERROR('1.1 Jakotaulu'!M$16*Ohj.lask.[[#This Row],[%-osuus 5]],0),0)</f>
        <v>23445</v>
      </c>
      <c r="Y103" s="22">
        <f>IFERROR(Ohj.lask.[[#This Row],[Jaettava € 6]]/Ohj.lask.[[#Totals],[Jaettava € 6]],"")</f>
        <v>9.3982500478329446E-4</v>
      </c>
      <c r="Z103" s="26">
        <f>IFERROR(Ohj.lask.[[#This Row],[Jaettava € 1]]+Ohj.lask.[[#This Row],[Jaettava € 2]]+Ohj.lask.[[#This Row],[Jaettava € 3]]+Ohj.lask.[[#This Row],[Jaettava € 4]]+Ohj.lask.[[#This Row],[Jaettava € 5]],"")</f>
        <v>1640098</v>
      </c>
      <c r="AA103" s="20">
        <v>0</v>
      </c>
      <c r="AB103" s="20">
        <v>0</v>
      </c>
      <c r="AC103" s="21">
        <v>0</v>
      </c>
      <c r="AD103" s="20">
        <v>0</v>
      </c>
      <c r="AE103" s="21">
        <v>0</v>
      </c>
      <c r="AF103" s="20">
        <v>0</v>
      </c>
      <c r="AG103" s="21">
        <v>200000</v>
      </c>
      <c r="AH103" s="20">
        <v>0</v>
      </c>
      <c r="AI103" s="21">
        <v>0</v>
      </c>
      <c r="AJ103" s="26">
        <v>0</v>
      </c>
      <c r="AK103" s="20">
        <v>0</v>
      </c>
      <c r="AL103" s="20">
        <v>0</v>
      </c>
      <c r="AM103" s="21">
        <v>200000</v>
      </c>
      <c r="AN103" s="136">
        <v>0</v>
      </c>
      <c r="AO103" s="20">
        <f>Ohj.lask.[[#This Row],[Jaettava € 1]]+Ohj.lask.[[#This Row],[Päätös 7, €]]</f>
        <v>1087120</v>
      </c>
      <c r="AP103" s="119">
        <f>Ohj.lask.[[#This Row],[Jaettava € 2]]</f>
        <v>398501</v>
      </c>
      <c r="AQ103" s="20">
        <f>Ohj.lask.[[#This Row],[Jaettava € 3]]+Ohj.lask.[[#This Row],[Jaettava € 4]]+Ohj.lask.[[#This Row],[Jaettava € 5]]</f>
        <v>154477</v>
      </c>
      <c r="AR103" s="45">
        <f>Ohj.lask.[[#This Row],[Jaettava € 6]]+Ohj.lask.[[#This Row],[Päätös 7, €]]</f>
        <v>1640098</v>
      </c>
      <c r="AS103" s="45">
        <f>ROUND(IFERROR(VLOOKUP(Ohj.lask.[[#This Row],[Y-tunnus]],'3.1 Alv vahvistettu'!A:Y,COLUMN(C:C),FALSE),0),0)</f>
        <v>38366</v>
      </c>
      <c r="AT103" s="26">
        <f>Ohj.lask.[[#This Row],[Perus-, suoritus- ja vaikuttavuusrahoitus yhteensä, €]]+Ohj.lask.[[#This Row],[Alv-korvaus, €]]</f>
        <v>1678464</v>
      </c>
    </row>
    <row r="104" spans="1:46" ht="12.75" x14ac:dyDescent="0.2">
      <c r="A104" s="147" t="s">
        <v>309</v>
      </c>
      <c r="B104" s="17" t="s">
        <v>108</v>
      </c>
      <c r="C104" s="17" t="s">
        <v>242</v>
      </c>
      <c r="D104" s="17" t="s">
        <v>423</v>
      </c>
      <c r="E104" s="17" t="s">
        <v>663</v>
      </c>
      <c r="F104" s="128">
        <v>77</v>
      </c>
      <c r="G104" s="135">
        <v>0</v>
      </c>
      <c r="H104" s="44">
        <f t="shared" si="6"/>
        <v>77</v>
      </c>
      <c r="I104" s="18">
        <f>IFERROR(VLOOKUP($A104,'2.1 Toteut. op.vuodet'!$A:$Q,COLUMN('2.1 Toteut. op.vuodet'!Q:Q),FALSE),0)</f>
        <v>1.0794820259931797</v>
      </c>
      <c r="J104" s="85">
        <f t="shared" si="7"/>
        <v>83.1</v>
      </c>
      <c r="K104" s="19">
        <f>IFERROR(Ohj.lask.[[#This Row],[Painotetut opiskelija-vuodet]]/Ohj.lask.[[#Totals],[Painotetut opiskelija-vuodet]],0)</f>
        <v>4.122430735970465E-4</v>
      </c>
      <c r="L104" s="20">
        <f>ROUND(IFERROR('1.1 Jakotaulu'!L$10*Ohj.lask.[[#This Row],[%-osuus 1]],0),0)</f>
        <v>490443</v>
      </c>
      <c r="M104" s="349">
        <f>IFERROR(ROUND(VLOOKUP($A104,'2.2 Tutk. ja osien pain. pist.'!$A:$Q,COLUMN('2.2 Tutk. ja osien pain. pist.'!P:P),FALSE),1),0)</f>
        <v>8643.2999999999993</v>
      </c>
      <c r="N104" s="19">
        <f>IFERROR(Ohj.lask.[[#This Row],[Painotetut pisteet 2]]/Ohj.lask.[[#Totals],[Painotetut pisteet 2]],0)</f>
        <v>5.5234367075872055E-4</v>
      </c>
      <c r="O104" s="26">
        <f>ROUND(IFERROR('1.1 Jakotaulu'!K$11*Ohj.lask.[[#This Row],[%-osuus 2]],0),0)</f>
        <v>204520</v>
      </c>
      <c r="P104" s="350">
        <f>IFERROR(ROUND(VLOOKUP($A104,'2.3 Työll. ja jatko-opisk.'!$A:$K,COLUMN('2.3 Työll. ja jatko-opisk.'!I:I),FALSE),1),0)</f>
        <v>105.1</v>
      </c>
      <c r="Q104" s="19">
        <f>IFERROR(Ohj.lask.[[#This Row],[Painotetut pisteet 3]]/Ohj.lask.[[#Totals],[Painotetut pisteet 3]],0)</f>
        <v>5.5482587652986237E-4</v>
      </c>
      <c r="R104" s="20">
        <f>ROUND(IFERROR('1.1 Jakotaulu'!L$13*Ohj.lask.[[#This Row],[%-osuus 3]],0),0)</f>
        <v>77040</v>
      </c>
      <c r="S104" s="349">
        <f>IFERROR(ROUND(VLOOKUP($A104,'2.4 Aloittaneet palaute'!$A:$K,COLUMN('2.4 Aloittaneet palaute'!J:J),FALSE),1),0)</f>
        <v>569</v>
      </c>
      <c r="T104" s="23">
        <f>IFERROR(Ohj.lask.[[#This Row],[Painotetut pisteet 4]]/Ohj.lask.[[#Totals],[Painotetut pisteet 4]],0)</f>
        <v>4.5701460390568365E-4</v>
      </c>
      <c r="U104" s="26">
        <f>ROUND(IFERROR('1.1 Jakotaulu'!M$15*Ohj.lask.[[#This Row],[%-osuus 4]],0),0)</f>
        <v>5288</v>
      </c>
      <c r="V104" s="85">
        <f>IFERROR(ROUND(VLOOKUP($A104,'2.5 Päättäneet palaute'!$A:$AC,COLUMN('2.5 Päättäneet palaute'!AB:AB),FALSE),1),0)</f>
        <v>5154.5</v>
      </c>
      <c r="W104" s="23">
        <f>IFERROR(Ohj.lask.[[#This Row],[Painotetut pisteet 5]]/Ohj.lask.[[#Totals],[Painotetut pisteet 5]],0)</f>
        <v>7.7837907122682679E-4</v>
      </c>
      <c r="X104" s="20">
        <f>ROUND(IFERROR('1.1 Jakotaulu'!M$16*Ohj.lask.[[#This Row],[%-osuus 5]],0),0)</f>
        <v>27020</v>
      </c>
      <c r="Y104" s="22">
        <f>IFERROR(Ohj.lask.[[#This Row],[Jaettava € 6]]/Ohj.lask.[[#Totals],[Jaettava € 6]],"")</f>
        <v>4.6089415963086131E-4</v>
      </c>
      <c r="Z104" s="26">
        <f>IFERROR(Ohj.lask.[[#This Row],[Jaettava € 1]]+Ohj.lask.[[#This Row],[Jaettava € 2]]+Ohj.lask.[[#This Row],[Jaettava € 3]]+Ohj.lask.[[#This Row],[Jaettava € 4]]+Ohj.lask.[[#This Row],[Jaettava € 5]],"")</f>
        <v>804311</v>
      </c>
      <c r="AA104" s="20">
        <v>0</v>
      </c>
      <c r="AB104" s="20">
        <v>0</v>
      </c>
      <c r="AC104" s="21">
        <v>150000</v>
      </c>
      <c r="AD104" s="20">
        <v>0</v>
      </c>
      <c r="AE104" s="21">
        <v>0</v>
      </c>
      <c r="AF104" s="20">
        <v>0</v>
      </c>
      <c r="AG104" s="21">
        <v>0</v>
      </c>
      <c r="AH104" s="20">
        <v>0</v>
      </c>
      <c r="AI104" s="21">
        <v>0</v>
      </c>
      <c r="AJ104" s="26">
        <v>0</v>
      </c>
      <c r="AK104" s="20">
        <v>0</v>
      </c>
      <c r="AL104" s="20">
        <v>0</v>
      </c>
      <c r="AM104" s="21">
        <v>150000</v>
      </c>
      <c r="AN104" s="136">
        <v>0</v>
      </c>
      <c r="AO104" s="20">
        <f>Ohj.lask.[[#This Row],[Jaettava € 1]]+Ohj.lask.[[#This Row],[Päätös 7, €]]</f>
        <v>490443</v>
      </c>
      <c r="AP104" s="119">
        <f>Ohj.lask.[[#This Row],[Jaettava € 2]]</f>
        <v>204520</v>
      </c>
      <c r="AQ104" s="20">
        <f>Ohj.lask.[[#This Row],[Jaettava € 3]]+Ohj.lask.[[#This Row],[Jaettava € 4]]+Ohj.lask.[[#This Row],[Jaettava € 5]]</f>
        <v>109348</v>
      </c>
      <c r="AR104" s="45">
        <f>Ohj.lask.[[#This Row],[Jaettava € 6]]+Ohj.lask.[[#This Row],[Päätös 7, €]]</f>
        <v>804311</v>
      </c>
      <c r="AS104" s="45">
        <f>ROUND(IFERROR(VLOOKUP(Ohj.lask.[[#This Row],[Y-tunnus]],'3.1 Alv vahvistettu'!A:Y,COLUMN(C:C),FALSE),0),0)</f>
        <v>28996</v>
      </c>
      <c r="AT104" s="26">
        <f>Ohj.lask.[[#This Row],[Perus-, suoritus- ja vaikuttavuusrahoitus yhteensä, €]]+Ohj.lask.[[#This Row],[Alv-korvaus, €]]</f>
        <v>833307</v>
      </c>
    </row>
    <row r="105" spans="1:46" ht="12.75" x14ac:dyDescent="0.2">
      <c r="A105" s="147" t="s">
        <v>305</v>
      </c>
      <c r="B105" s="17" t="s">
        <v>109</v>
      </c>
      <c r="C105" s="17" t="s">
        <v>246</v>
      </c>
      <c r="D105" s="17" t="s">
        <v>422</v>
      </c>
      <c r="E105" s="17" t="s">
        <v>663</v>
      </c>
      <c r="F105" s="128">
        <v>890</v>
      </c>
      <c r="G105" s="135">
        <v>157</v>
      </c>
      <c r="H105" s="44">
        <f t="shared" si="6"/>
        <v>1047</v>
      </c>
      <c r="I105" s="18">
        <f>IFERROR(VLOOKUP($A105,'2.1 Toteut. op.vuodet'!$A:$Q,COLUMN('2.1 Toteut. op.vuodet'!Q:Q),FALSE),0)</f>
        <v>1.1660982846317722</v>
      </c>
      <c r="J105" s="85">
        <f t="shared" si="7"/>
        <v>1220.9000000000001</v>
      </c>
      <c r="K105" s="19">
        <f>IFERROR(Ohj.lask.[[#This Row],[Painotetut opiskelija-vuodet]]/Ohj.lask.[[#Totals],[Painotetut opiskelija-vuodet]],0)</f>
        <v>6.0566494410906639E-3</v>
      </c>
      <c r="L105" s="20">
        <f>ROUND(IFERROR('1.1 Jakotaulu'!L$10*Ohj.lask.[[#This Row],[%-osuus 1]],0),0)</f>
        <v>7205563</v>
      </c>
      <c r="M105" s="349">
        <f>IFERROR(ROUND(VLOOKUP($A105,'2.2 Tutk. ja osien pain. pist.'!$A:$Q,COLUMN('2.2 Tutk. ja osien pain. pist.'!P:P),FALSE),1),0)</f>
        <v>91651.1</v>
      </c>
      <c r="N105" s="19">
        <f>IFERROR(Ohj.lask.[[#This Row],[Painotetut pisteet 2]]/Ohj.lask.[[#Totals],[Painotetut pisteet 2]],0)</f>
        <v>5.8568955148004332E-3</v>
      </c>
      <c r="O105" s="26">
        <f>ROUND(IFERROR('1.1 Jakotaulu'!K$11*Ohj.lask.[[#This Row],[%-osuus 2]],0),0)</f>
        <v>2168674</v>
      </c>
      <c r="P105" s="350">
        <f>IFERROR(ROUND(VLOOKUP($A105,'2.3 Työll. ja jatko-opisk.'!$A:$K,COLUMN('2.3 Työll. ja jatko-opisk.'!I:I),FALSE),1),0)</f>
        <v>876.6</v>
      </c>
      <c r="Q105" s="19">
        <f>IFERROR(Ohj.lask.[[#This Row],[Painotetut pisteet 3]]/Ohj.lask.[[#Totals],[Painotetut pisteet 3]],0)</f>
        <v>4.6275962261282345E-3</v>
      </c>
      <c r="R105" s="20">
        <f>ROUND(IFERROR('1.1 Jakotaulu'!L$13*Ohj.lask.[[#This Row],[%-osuus 3]],0),0)</f>
        <v>642560</v>
      </c>
      <c r="S105" s="349">
        <f>IFERROR(ROUND(VLOOKUP($A105,'2.4 Aloittaneet palaute'!$A:$K,COLUMN('2.4 Aloittaneet palaute'!J:J),FALSE),1),0)</f>
        <v>10112.4</v>
      </c>
      <c r="T105" s="23">
        <f>IFERROR(Ohj.lask.[[#This Row],[Painotetut pisteet 4]]/Ohj.lask.[[#Totals],[Painotetut pisteet 4]],0)</f>
        <v>8.1221695615744036E-3</v>
      </c>
      <c r="U105" s="26">
        <f>ROUND(IFERROR('1.1 Jakotaulu'!M$15*Ohj.lask.[[#This Row],[%-osuus 4]],0),0)</f>
        <v>93983</v>
      </c>
      <c r="V105" s="85">
        <f>IFERROR(ROUND(VLOOKUP($A105,'2.5 Päättäneet palaute'!$A:$AC,COLUMN('2.5 Päättäneet palaute'!AB:AB),FALSE),1),0)</f>
        <v>42879.3</v>
      </c>
      <c r="W105" s="23">
        <f>IFERROR(Ohj.lask.[[#This Row],[Painotetut pisteet 5]]/Ohj.lask.[[#Totals],[Painotetut pisteet 5]],0)</f>
        <v>6.4751866735583427E-3</v>
      </c>
      <c r="X105" s="20">
        <f>ROUND(IFERROR('1.1 Jakotaulu'!M$16*Ohj.lask.[[#This Row],[%-osuus 5]],0),0)</f>
        <v>224776</v>
      </c>
      <c r="Y105" s="22">
        <f>IFERROR(Ohj.lask.[[#This Row],[Jaettava € 6]]/Ohj.lask.[[#Totals],[Jaettava € 6]],"")</f>
        <v>5.9225814354617887E-3</v>
      </c>
      <c r="Z105" s="26">
        <f>IFERROR(Ohj.lask.[[#This Row],[Jaettava € 1]]+Ohj.lask.[[#This Row],[Jaettava € 2]]+Ohj.lask.[[#This Row],[Jaettava € 3]]+Ohj.lask.[[#This Row],[Jaettava € 4]]+Ohj.lask.[[#This Row],[Jaettava € 5]],"")</f>
        <v>10335556</v>
      </c>
      <c r="AA105" s="20">
        <v>0</v>
      </c>
      <c r="AB105" s="20">
        <v>0</v>
      </c>
      <c r="AC105" s="21">
        <v>0</v>
      </c>
      <c r="AD105" s="20">
        <v>0</v>
      </c>
      <c r="AE105" s="21">
        <v>0</v>
      </c>
      <c r="AF105" s="20">
        <v>0</v>
      </c>
      <c r="AG105" s="21">
        <v>0</v>
      </c>
      <c r="AH105" s="20">
        <v>0</v>
      </c>
      <c r="AI105" s="21">
        <v>150000</v>
      </c>
      <c r="AJ105" s="26">
        <v>0</v>
      </c>
      <c r="AK105" s="20">
        <v>0</v>
      </c>
      <c r="AL105" s="20">
        <v>0</v>
      </c>
      <c r="AM105" s="21">
        <v>150000</v>
      </c>
      <c r="AN105" s="136">
        <v>0</v>
      </c>
      <c r="AO105" s="20">
        <f>Ohj.lask.[[#This Row],[Jaettava € 1]]+Ohj.lask.[[#This Row],[Päätös 7, €]]</f>
        <v>7205563</v>
      </c>
      <c r="AP105" s="119">
        <f>Ohj.lask.[[#This Row],[Jaettava € 2]]</f>
        <v>2168674</v>
      </c>
      <c r="AQ105" s="20">
        <f>Ohj.lask.[[#This Row],[Jaettava € 3]]+Ohj.lask.[[#This Row],[Jaettava € 4]]+Ohj.lask.[[#This Row],[Jaettava € 5]]</f>
        <v>961319</v>
      </c>
      <c r="AR105" s="45">
        <f>Ohj.lask.[[#This Row],[Jaettava € 6]]+Ohj.lask.[[#This Row],[Päätös 7, €]]</f>
        <v>10335556</v>
      </c>
      <c r="AS105" s="45">
        <f>ROUND(IFERROR(VLOOKUP(Ohj.lask.[[#This Row],[Y-tunnus]],'3.1 Alv vahvistettu'!A:Y,COLUMN(C:C),FALSE),0),0)</f>
        <v>0</v>
      </c>
      <c r="AT105" s="26">
        <f>Ohj.lask.[[#This Row],[Perus-, suoritus- ja vaikuttavuusrahoitus yhteensä, €]]+Ohj.lask.[[#This Row],[Alv-korvaus, €]]</f>
        <v>10335556</v>
      </c>
    </row>
    <row r="106" spans="1:46" ht="12.75" x14ac:dyDescent="0.2">
      <c r="A106" s="147" t="s">
        <v>304</v>
      </c>
      <c r="B106" s="17" t="s">
        <v>110</v>
      </c>
      <c r="C106" s="17" t="s">
        <v>246</v>
      </c>
      <c r="D106" s="17" t="s">
        <v>423</v>
      </c>
      <c r="E106" s="17" t="s">
        <v>663</v>
      </c>
      <c r="F106" s="128">
        <v>179</v>
      </c>
      <c r="G106" s="135">
        <v>20</v>
      </c>
      <c r="H106" s="44">
        <f t="shared" si="6"/>
        <v>199</v>
      </c>
      <c r="I106" s="18">
        <f>IFERROR(VLOOKUP($A106,'2.1 Toteut. op.vuodet'!$A:$Q,COLUMN('2.1 Toteut. op.vuodet'!Q:Q),FALSE),0)</f>
        <v>0.84164723696783261</v>
      </c>
      <c r="J106" s="85">
        <f t="shared" si="7"/>
        <v>167.5</v>
      </c>
      <c r="K106" s="19">
        <f>IFERROR(Ohj.lask.[[#This Row],[Painotetut opiskelija-vuodet]]/Ohj.lask.[[#Totals],[Painotetut opiskelija-vuodet]],0)</f>
        <v>8.3093519648020807E-4</v>
      </c>
      <c r="L106" s="20">
        <f>ROUND(IFERROR('1.1 Jakotaulu'!L$10*Ohj.lask.[[#This Row],[%-osuus 1]],0),0)</f>
        <v>988559</v>
      </c>
      <c r="M106" s="349">
        <f>IFERROR(ROUND(VLOOKUP($A106,'2.2 Tutk. ja osien pain. pist.'!$A:$Q,COLUMN('2.2 Tutk. ja osien pain. pist.'!P:P),FALSE),1),0)</f>
        <v>9090.2000000000007</v>
      </c>
      <c r="N106" s="19">
        <f>IFERROR(Ohj.lask.[[#This Row],[Painotetut pisteet 2]]/Ohj.lask.[[#Totals],[Painotetut pisteet 2]],0)</f>
        <v>5.8090248353417364E-4</v>
      </c>
      <c r="O106" s="26">
        <f>ROUND(IFERROR('1.1 Jakotaulu'!K$11*Ohj.lask.[[#This Row],[%-osuus 2]],0),0)</f>
        <v>215095</v>
      </c>
      <c r="P106" s="350">
        <f>IFERROR(ROUND(VLOOKUP($A106,'2.3 Työll. ja jatko-opisk.'!$A:$K,COLUMN('2.3 Työll. ja jatko-opisk.'!I:I),FALSE),1),0)</f>
        <v>213.3</v>
      </c>
      <c r="Q106" s="19">
        <f>IFERROR(Ohj.lask.[[#This Row],[Painotetut pisteet 3]]/Ohj.lask.[[#Totals],[Painotetut pisteet 3]],0)</f>
        <v>1.1260167408546115E-3</v>
      </c>
      <c r="R106" s="20">
        <f>ROUND(IFERROR('1.1 Jakotaulu'!L$13*Ohj.lask.[[#This Row],[%-osuus 3]],0),0)</f>
        <v>156352</v>
      </c>
      <c r="S106" s="349">
        <f>IFERROR(ROUND(VLOOKUP($A106,'2.4 Aloittaneet palaute'!$A:$K,COLUMN('2.4 Aloittaneet palaute'!J:J),FALSE),1),0)</f>
        <v>1501.5</v>
      </c>
      <c r="T106" s="23">
        <f>IFERROR(Ohj.lask.[[#This Row],[Painotetut pisteet 4]]/Ohj.lask.[[#Totals],[Painotetut pisteet 4]],0)</f>
        <v>1.2059884494980387E-3</v>
      </c>
      <c r="U106" s="26">
        <f>ROUND(IFERROR('1.1 Jakotaulu'!M$15*Ohj.lask.[[#This Row],[%-osuus 4]],0),0)</f>
        <v>13955</v>
      </c>
      <c r="V106" s="85">
        <f>IFERROR(ROUND(VLOOKUP($A106,'2.5 Päättäneet palaute'!$A:$AC,COLUMN('2.5 Päättäneet palaute'!AB:AB),FALSE),1),0)</f>
        <v>59</v>
      </c>
      <c r="W106" s="23">
        <f>IFERROR(Ohj.lask.[[#This Row],[Painotetut pisteet 5]]/Ohj.lask.[[#Totals],[Painotetut pisteet 5]],0)</f>
        <v>8.9095674075822642E-6</v>
      </c>
      <c r="X106" s="20">
        <f>ROUND(IFERROR('1.1 Jakotaulu'!M$16*Ohj.lask.[[#This Row],[%-osuus 5]],0),0)</f>
        <v>309</v>
      </c>
      <c r="Y106" s="22">
        <f>IFERROR(Ohj.lask.[[#This Row],[Jaettava € 6]]/Ohj.lask.[[#Totals],[Jaettava € 6]],"")</f>
        <v>7.8749764302104999E-4</v>
      </c>
      <c r="Z106" s="26">
        <f>IFERROR(Ohj.lask.[[#This Row],[Jaettava € 1]]+Ohj.lask.[[#This Row],[Jaettava € 2]]+Ohj.lask.[[#This Row],[Jaettava € 3]]+Ohj.lask.[[#This Row],[Jaettava € 4]]+Ohj.lask.[[#This Row],[Jaettava € 5]],"")</f>
        <v>1374270</v>
      </c>
      <c r="AA106" s="20">
        <v>0</v>
      </c>
      <c r="AB106" s="20">
        <v>0</v>
      </c>
      <c r="AC106" s="21">
        <v>0</v>
      </c>
      <c r="AD106" s="20">
        <v>0</v>
      </c>
      <c r="AE106" s="21">
        <v>0</v>
      </c>
      <c r="AF106" s="20">
        <v>0</v>
      </c>
      <c r="AG106" s="21">
        <v>0</v>
      </c>
      <c r="AH106" s="20">
        <v>0</v>
      </c>
      <c r="AI106" s="21">
        <v>55000</v>
      </c>
      <c r="AJ106" s="26">
        <v>0</v>
      </c>
      <c r="AK106" s="20">
        <v>0</v>
      </c>
      <c r="AL106" s="20">
        <v>0</v>
      </c>
      <c r="AM106" s="21">
        <v>55000</v>
      </c>
      <c r="AN106" s="136">
        <v>0</v>
      </c>
      <c r="AO106" s="20">
        <f>Ohj.lask.[[#This Row],[Jaettava € 1]]+Ohj.lask.[[#This Row],[Päätös 7, €]]</f>
        <v>988559</v>
      </c>
      <c r="AP106" s="119">
        <f>Ohj.lask.[[#This Row],[Jaettava € 2]]</f>
        <v>215095</v>
      </c>
      <c r="AQ106" s="20">
        <f>Ohj.lask.[[#This Row],[Jaettava € 3]]+Ohj.lask.[[#This Row],[Jaettava € 4]]+Ohj.lask.[[#This Row],[Jaettava € 5]]</f>
        <v>170616</v>
      </c>
      <c r="AR106" s="45">
        <f>Ohj.lask.[[#This Row],[Jaettava € 6]]+Ohj.lask.[[#This Row],[Päätös 7, €]]</f>
        <v>1374270</v>
      </c>
      <c r="AS106" s="45">
        <f>ROUND(IFERROR(VLOOKUP(Ohj.lask.[[#This Row],[Y-tunnus]],'3.1 Alv vahvistettu'!A:Y,COLUMN(C:C),FALSE),0),0)</f>
        <v>48274</v>
      </c>
      <c r="AT106" s="26">
        <f>Ohj.lask.[[#This Row],[Perus-, suoritus- ja vaikuttavuusrahoitus yhteensä, €]]+Ohj.lask.[[#This Row],[Alv-korvaus, €]]</f>
        <v>1422544</v>
      </c>
    </row>
    <row r="107" spans="1:46" ht="12.75" x14ac:dyDescent="0.2">
      <c r="A107" s="147" t="s">
        <v>303</v>
      </c>
      <c r="B107" s="17" t="s">
        <v>111</v>
      </c>
      <c r="C107" s="17" t="s">
        <v>254</v>
      </c>
      <c r="D107" s="17" t="s">
        <v>422</v>
      </c>
      <c r="E107" s="17" t="s">
        <v>663</v>
      </c>
      <c r="F107" s="128">
        <v>1630</v>
      </c>
      <c r="G107" s="135">
        <v>185</v>
      </c>
      <c r="H107" s="44">
        <f t="shared" si="6"/>
        <v>1815</v>
      </c>
      <c r="I107" s="18">
        <f>IFERROR(VLOOKUP($A107,'2.1 Toteut. op.vuodet'!$A:$Q,COLUMN('2.1 Toteut. op.vuodet'!Q:Q),FALSE),0)</f>
        <v>0.91357625423392397</v>
      </c>
      <c r="J107" s="85">
        <f t="shared" si="7"/>
        <v>1658.1</v>
      </c>
      <c r="K107" s="19">
        <f>IFERROR(Ohj.lask.[[#This Row],[Painotetut opiskelija-vuodet]]/Ohj.lask.[[#Totals],[Painotetut opiskelija-vuodet]],0)</f>
        <v>8.2255143240825852E-3</v>
      </c>
      <c r="L107" s="20">
        <f>ROUND(IFERROR('1.1 Jakotaulu'!L$10*Ohj.lask.[[#This Row],[%-osuus 1]],0),0)</f>
        <v>9785849</v>
      </c>
      <c r="M107" s="349">
        <f>IFERROR(ROUND(VLOOKUP($A107,'2.2 Tutk. ja osien pain. pist.'!$A:$Q,COLUMN('2.2 Tutk. ja osien pain. pist.'!P:P),FALSE),1),0)</f>
        <v>162060.5</v>
      </c>
      <c r="N107" s="19">
        <f>IFERROR(Ohj.lask.[[#This Row],[Painotetut pisteet 2]]/Ohj.lask.[[#Totals],[Painotetut pisteet 2]],0)</f>
        <v>1.0356355958371645E-2</v>
      </c>
      <c r="O107" s="26">
        <f>ROUND(IFERROR('1.1 Jakotaulu'!K$11*Ohj.lask.[[#This Row],[%-osuus 2]],0),0)</f>
        <v>3834720</v>
      </c>
      <c r="P107" s="350">
        <f>IFERROR(ROUND(VLOOKUP($A107,'2.3 Työll. ja jatko-opisk.'!$A:$K,COLUMN('2.3 Työll. ja jatko-opisk.'!I:I),FALSE),1),0)</f>
        <v>2239.4</v>
      </c>
      <c r="Q107" s="19">
        <f>IFERROR(Ohj.lask.[[#This Row],[Painotetut pisteet 3]]/Ohj.lask.[[#Totals],[Painotetut pisteet 3]],0)</f>
        <v>1.1821856021893187E-2</v>
      </c>
      <c r="R107" s="20">
        <f>ROUND(IFERROR('1.1 Jakotaulu'!L$13*Ohj.lask.[[#This Row],[%-osuus 3]],0),0)</f>
        <v>1641511</v>
      </c>
      <c r="S107" s="349">
        <f>IFERROR(ROUND(VLOOKUP($A107,'2.4 Aloittaneet palaute'!$A:$K,COLUMN('2.4 Aloittaneet palaute'!J:J),FALSE),1),0)</f>
        <v>17254.900000000001</v>
      </c>
      <c r="T107" s="23">
        <f>IFERROR(Ohj.lask.[[#This Row],[Painotetut pisteet 4]]/Ohj.lask.[[#Totals],[Painotetut pisteet 4]],0)</f>
        <v>1.3858947783712093E-2</v>
      </c>
      <c r="U107" s="26">
        <f>ROUND(IFERROR('1.1 Jakotaulu'!M$15*Ohj.lask.[[#This Row],[%-osuus 4]],0),0)</f>
        <v>160364</v>
      </c>
      <c r="V107" s="85">
        <f>IFERROR(ROUND(VLOOKUP($A107,'2.5 Päättäneet palaute'!$A:$AC,COLUMN('2.5 Päättäneet palaute'!AB:AB),FALSE),1),0)</f>
        <v>88561.3</v>
      </c>
      <c r="W107" s="23">
        <f>IFERROR(Ohj.lask.[[#This Row],[Painotetut pisteet 5]]/Ohj.lask.[[#Totals],[Painotetut pisteet 5]],0)</f>
        <v>1.3373608000900258E-2</v>
      </c>
      <c r="X107" s="20">
        <f>ROUND(IFERROR('1.1 Jakotaulu'!M$16*Ohj.lask.[[#This Row],[%-osuus 5]],0),0)</f>
        <v>464244</v>
      </c>
      <c r="Y107" s="22">
        <f>IFERROR(Ohj.lask.[[#This Row],[Jaettava € 6]]/Ohj.lask.[[#Totals],[Jaettava € 6]],"")</f>
        <v>9.103545413500112E-3</v>
      </c>
      <c r="Z107" s="26">
        <f>IFERROR(Ohj.lask.[[#This Row],[Jaettava € 1]]+Ohj.lask.[[#This Row],[Jaettava € 2]]+Ohj.lask.[[#This Row],[Jaettava € 3]]+Ohj.lask.[[#This Row],[Jaettava € 4]]+Ohj.lask.[[#This Row],[Jaettava € 5]],"")</f>
        <v>15886688</v>
      </c>
      <c r="AA107" s="20">
        <v>0</v>
      </c>
      <c r="AB107" s="20">
        <v>0</v>
      </c>
      <c r="AC107" s="21">
        <v>0</v>
      </c>
      <c r="AD107" s="20">
        <v>0</v>
      </c>
      <c r="AE107" s="21">
        <v>0</v>
      </c>
      <c r="AF107" s="20">
        <v>0</v>
      </c>
      <c r="AG107" s="21">
        <v>0</v>
      </c>
      <c r="AH107" s="20">
        <v>0</v>
      </c>
      <c r="AI107" s="21">
        <v>120000</v>
      </c>
      <c r="AJ107" s="26">
        <v>80000</v>
      </c>
      <c r="AK107" s="20">
        <v>0</v>
      </c>
      <c r="AL107" s="20">
        <v>0</v>
      </c>
      <c r="AM107" s="21">
        <v>120000</v>
      </c>
      <c r="AN107" s="136">
        <v>80000</v>
      </c>
      <c r="AO107" s="20">
        <f>Ohj.lask.[[#This Row],[Jaettava € 1]]+Ohj.lask.[[#This Row],[Päätös 7, €]]</f>
        <v>9865849</v>
      </c>
      <c r="AP107" s="119">
        <f>Ohj.lask.[[#This Row],[Jaettava € 2]]</f>
        <v>3834720</v>
      </c>
      <c r="AQ107" s="20">
        <f>Ohj.lask.[[#This Row],[Jaettava € 3]]+Ohj.lask.[[#This Row],[Jaettava € 4]]+Ohj.lask.[[#This Row],[Jaettava € 5]]</f>
        <v>2266119</v>
      </c>
      <c r="AR107" s="45">
        <f>Ohj.lask.[[#This Row],[Jaettava € 6]]+Ohj.lask.[[#This Row],[Päätös 7, €]]</f>
        <v>15966688</v>
      </c>
      <c r="AS107" s="45">
        <f>ROUND(IFERROR(VLOOKUP(Ohj.lask.[[#This Row],[Y-tunnus]],'3.1 Alv vahvistettu'!A:Y,COLUMN(C:C),FALSE),0),0)</f>
        <v>0</v>
      </c>
      <c r="AT107" s="26">
        <f>Ohj.lask.[[#This Row],[Perus-, suoritus- ja vaikuttavuusrahoitus yhteensä, €]]+Ohj.lask.[[#This Row],[Alv-korvaus, €]]</f>
        <v>15966688</v>
      </c>
    </row>
    <row r="108" spans="1:46" ht="12.75" x14ac:dyDescent="0.2">
      <c r="A108" s="147" t="s">
        <v>302</v>
      </c>
      <c r="B108" s="17" t="s">
        <v>112</v>
      </c>
      <c r="C108" s="17" t="s">
        <v>238</v>
      </c>
      <c r="D108" s="17" t="s">
        <v>423</v>
      </c>
      <c r="E108" s="17" t="s">
        <v>663</v>
      </c>
      <c r="F108" s="128">
        <v>67</v>
      </c>
      <c r="G108" s="135">
        <v>31</v>
      </c>
      <c r="H108" s="44">
        <f t="shared" si="6"/>
        <v>98</v>
      </c>
      <c r="I108" s="18">
        <f>IFERROR(VLOOKUP($A108,'2.1 Toteut. op.vuodet'!$A:$Q,COLUMN('2.1 Toteut. op.vuodet'!Q:Q),FALSE),0)</f>
        <v>0.79032327407401426</v>
      </c>
      <c r="J108" s="85">
        <f t="shared" si="7"/>
        <v>77.5</v>
      </c>
      <c r="K108" s="19">
        <f>IFERROR(Ohj.lask.[[#This Row],[Painotetut opiskelija-vuodet]]/Ohj.lask.[[#Totals],[Painotetut opiskelija-vuodet]],0)</f>
        <v>3.8446255359532016E-4</v>
      </c>
      <c r="L108" s="20">
        <f>ROUND(IFERROR('1.1 Jakotaulu'!L$10*Ohj.lask.[[#This Row],[%-osuus 1]],0),0)</f>
        <v>457393</v>
      </c>
      <c r="M108" s="349">
        <f>IFERROR(ROUND(VLOOKUP($A108,'2.2 Tutk. ja osien pain. pist.'!$A:$Q,COLUMN('2.2 Tutk. ja osien pain. pist.'!P:P),FALSE),1),0)</f>
        <v>8471.6</v>
      </c>
      <c r="N108" s="19">
        <f>IFERROR(Ohj.lask.[[#This Row],[Painotetut pisteet 2]]/Ohj.lask.[[#Totals],[Painotetut pisteet 2]],0)</f>
        <v>5.4137130970804872E-4</v>
      </c>
      <c r="O108" s="26">
        <f>ROUND(IFERROR('1.1 Jakotaulu'!K$11*Ohj.lask.[[#This Row],[%-osuus 2]],0),0)</f>
        <v>200457</v>
      </c>
      <c r="P108" s="350">
        <f>IFERROR(ROUND(VLOOKUP($A108,'2.3 Työll. ja jatko-opisk.'!$A:$K,COLUMN('2.3 Työll. ja jatko-opisk.'!I:I),FALSE),1),0)</f>
        <v>112.8</v>
      </c>
      <c r="Q108" s="19">
        <f>IFERROR(Ohj.lask.[[#This Row],[Painotetut pisteet 3]]/Ohj.lask.[[#Totals],[Painotetut pisteet 3]],0)</f>
        <v>5.9547439460103221E-4</v>
      </c>
      <c r="R108" s="20">
        <f>ROUND(IFERROR('1.1 Jakotaulu'!L$13*Ohj.lask.[[#This Row],[%-osuus 3]],0),0)</f>
        <v>82684</v>
      </c>
      <c r="S108" s="349">
        <f>IFERROR(ROUND(VLOOKUP($A108,'2.4 Aloittaneet palaute'!$A:$K,COLUMN('2.4 Aloittaneet palaute'!J:J),FALSE),1),0)</f>
        <v>1241.3</v>
      </c>
      <c r="T108" s="23">
        <f>IFERROR(Ohj.lask.[[#This Row],[Painotetut pisteet 4]]/Ohj.lask.[[#Totals],[Painotetut pisteet 4]],0)</f>
        <v>9.9699864293167862E-4</v>
      </c>
      <c r="U108" s="26">
        <f>ROUND(IFERROR('1.1 Jakotaulu'!M$15*Ohj.lask.[[#This Row],[%-osuus 4]],0),0)</f>
        <v>11536</v>
      </c>
      <c r="V108" s="85">
        <f>IFERROR(ROUND(VLOOKUP($A108,'2.5 Päättäneet palaute'!$A:$AC,COLUMN('2.5 Päättäneet palaute'!AB:AB),FALSE),1),0)</f>
        <v>5904.1</v>
      </c>
      <c r="W108" s="23">
        <f>IFERROR(Ohj.lask.[[#This Row],[Painotetut pisteet 5]]/Ohj.lask.[[#Totals],[Painotetut pisteet 5]],0)</f>
        <v>8.9157588018824491E-4</v>
      </c>
      <c r="X108" s="20">
        <f>ROUND(IFERROR('1.1 Jakotaulu'!M$16*Ohj.lask.[[#This Row],[%-osuus 5]],0),0)</f>
        <v>30950</v>
      </c>
      <c r="Y108" s="22">
        <f>IFERROR(Ohj.lask.[[#This Row],[Jaettava € 6]]/Ohj.lask.[[#Totals],[Jaettava € 6]],"")</f>
        <v>4.4869378247239814E-4</v>
      </c>
      <c r="Z108" s="26">
        <f>IFERROR(Ohj.lask.[[#This Row],[Jaettava € 1]]+Ohj.lask.[[#This Row],[Jaettava € 2]]+Ohj.lask.[[#This Row],[Jaettava € 3]]+Ohj.lask.[[#This Row],[Jaettava € 4]]+Ohj.lask.[[#This Row],[Jaettava € 5]],"")</f>
        <v>783020</v>
      </c>
      <c r="AA108" s="20">
        <v>0</v>
      </c>
      <c r="AB108" s="20">
        <v>0</v>
      </c>
      <c r="AC108" s="21">
        <v>0</v>
      </c>
      <c r="AD108" s="20">
        <v>0</v>
      </c>
      <c r="AE108" s="21">
        <v>172569</v>
      </c>
      <c r="AF108" s="20">
        <v>0</v>
      </c>
      <c r="AG108" s="21">
        <v>0</v>
      </c>
      <c r="AH108" s="20">
        <v>0</v>
      </c>
      <c r="AI108" s="21">
        <v>315000</v>
      </c>
      <c r="AJ108" s="26">
        <v>0</v>
      </c>
      <c r="AK108" s="20">
        <v>0</v>
      </c>
      <c r="AL108" s="20">
        <v>0</v>
      </c>
      <c r="AM108" s="21">
        <v>487569</v>
      </c>
      <c r="AN108" s="136">
        <v>0</v>
      </c>
      <c r="AO108" s="20">
        <f>Ohj.lask.[[#This Row],[Jaettava € 1]]+Ohj.lask.[[#This Row],[Päätös 7, €]]</f>
        <v>457393</v>
      </c>
      <c r="AP108" s="119">
        <f>Ohj.lask.[[#This Row],[Jaettava € 2]]</f>
        <v>200457</v>
      </c>
      <c r="AQ108" s="20">
        <f>Ohj.lask.[[#This Row],[Jaettava € 3]]+Ohj.lask.[[#This Row],[Jaettava € 4]]+Ohj.lask.[[#This Row],[Jaettava € 5]]</f>
        <v>125170</v>
      </c>
      <c r="AR108" s="45">
        <f>Ohj.lask.[[#This Row],[Jaettava € 6]]+Ohj.lask.[[#This Row],[Päätös 7, €]]</f>
        <v>783020</v>
      </c>
      <c r="AS108" s="45">
        <f>ROUND(IFERROR(VLOOKUP(Ohj.lask.[[#This Row],[Y-tunnus]],'3.1 Alv vahvistettu'!A:Y,COLUMN(C:C),FALSE),0),0)</f>
        <v>155495</v>
      </c>
      <c r="AT108" s="26">
        <f>Ohj.lask.[[#This Row],[Perus-, suoritus- ja vaikuttavuusrahoitus yhteensä, €]]+Ohj.lask.[[#This Row],[Alv-korvaus, €]]</f>
        <v>938515</v>
      </c>
    </row>
    <row r="109" spans="1:46" ht="12.75" x14ac:dyDescent="0.2">
      <c r="A109" s="147" t="s">
        <v>301</v>
      </c>
      <c r="B109" s="17" t="s">
        <v>114</v>
      </c>
      <c r="C109" s="113" t="s">
        <v>246</v>
      </c>
      <c r="D109" s="113" t="s">
        <v>423</v>
      </c>
      <c r="E109" s="113" t="s">
        <v>663</v>
      </c>
      <c r="F109" s="127">
        <v>30</v>
      </c>
      <c r="G109" s="135">
        <v>8</v>
      </c>
      <c r="H109" s="44">
        <f t="shared" si="6"/>
        <v>38</v>
      </c>
      <c r="I109" s="18">
        <f>IFERROR(VLOOKUP($A109,'2.1 Toteut. op.vuodet'!$A:$Q,COLUMN('2.1 Toteut. op.vuodet'!Q:Q),FALSE),0)</f>
        <v>0.81638377817221841</v>
      </c>
      <c r="J109" s="85">
        <f t="shared" si="7"/>
        <v>31</v>
      </c>
      <c r="K109" s="19">
        <f>IFERROR(Ohj.lask.[[#This Row],[Painotetut opiskelija-vuodet]]/Ohj.lask.[[#Totals],[Painotetut opiskelija-vuodet]],0)</f>
        <v>1.5378502143812805E-4</v>
      </c>
      <c r="L109" s="20">
        <f>ROUND(IFERROR('1.1 Jakotaulu'!L$10*Ohj.lask.[[#This Row],[%-osuus 1]],0),0)</f>
        <v>182957</v>
      </c>
      <c r="M109" s="349">
        <f>IFERROR(ROUND(VLOOKUP($A109,'2.2 Tutk. ja osien pain. pist.'!$A:$Q,COLUMN('2.2 Tutk. ja osien pain. pist.'!P:P),FALSE),1),0)</f>
        <v>2830.2</v>
      </c>
      <c r="N109" s="19">
        <f>IFERROR(Ohj.lask.[[#This Row],[Painotetut pisteet 2]]/Ohj.lask.[[#Totals],[Painotetut pisteet 2]],0)</f>
        <v>1.808618302015817E-4</v>
      </c>
      <c r="O109" s="26">
        <f>ROUND(IFERROR('1.1 Jakotaulu'!K$11*Ohj.lask.[[#This Row],[%-osuus 2]],0),0)</f>
        <v>66969</v>
      </c>
      <c r="P109" s="350">
        <f>IFERROR(ROUND(VLOOKUP($A109,'2.3 Työll. ja jatko-opisk.'!$A:$K,COLUMN('2.3 Työll. ja jatko-opisk.'!I:I),FALSE),1),0)</f>
        <v>67.3</v>
      </c>
      <c r="Q109" s="23">
        <f>IFERROR(Ohj.lask.[[#This Row],[Painotetut pisteet 3]]/Ohj.lask.[[#Totals],[Painotetut pisteet 3]],0)</f>
        <v>3.5527860599866547E-4</v>
      </c>
      <c r="R109" s="20">
        <f>ROUND(IFERROR('1.1 Jakotaulu'!L$13*Ohj.lask.[[#This Row],[%-osuus 3]],0),0)</f>
        <v>49332</v>
      </c>
      <c r="S109" s="349">
        <f>IFERROR(ROUND(VLOOKUP($A109,'2.4 Aloittaneet palaute'!$A:$K,COLUMN('2.4 Aloittaneet palaute'!J:J),FALSE),1),0)</f>
        <v>228.7</v>
      </c>
      <c r="T109" s="23">
        <f>IFERROR(Ohj.lask.[[#This Row],[Painotetut pisteet 4]]/Ohj.lask.[[#Totals],[Painotetut pisteet 4]],0)</f>
        <v>1.8368934958388374E-4</v>
      </c>
      <c r="U109" s="26">
        <f>ROUND(IFERROR('1.1 Jakotaulu'!M$15*Ohj.lask.[[#This Row],[%-osuus 4]],0),0)</f>
        <v>2125</v>
      </c>
      <c r="V109" s="85">
        <f>IFERROR(ROUND(VLOOKUP($A109,'2.5 Päättäneet palaute'!$A:$AC,COLUMN('2.5 Päättäneet palaute'!AB:AB),FALSE),1),0)</f>
        <v>3030.6</v>
      </c>
      <c r="W109" s="23">
        <f>IFERROR(Ohj.lask.[[#This Row],[Painotetut pisteet 5]]/Ohj.lask.[[#Totals],[Painotetut pisteet 5]],0)</f>
        <v>4.5764974551557302E-4</v>
      </c>
      <c r="X109" s="20">
        <f>ROUND(IFERROR('1.1 Jakotaulu'!M$16*Ohj.lask.[[#This Row],[%-osuus 5]],0),0)</f>
        <v>15887</v>
      </c>
      <c r="Y109" s="22">
        <f>IFERROR(Ohj.lask.[[#This Row],[Jaettava € 6]]/Ohj.lask.[[#Totals],[Jaettava € 6]],"")</f>
        <v>1.8180515997677935E-4</v>
      </c>
      <c r="Z109" s="26">
        <f>IFERROR(Ohj.lask.[[#This Row],[Jaettava € 1]]+Ohj.lask.[[#This Row],[Jaettava € 2]]+Ohj.lask.[[#This Row],[Jaettava € 3]]+Ohj.lask.[[#This Row],[Jaettava € 4]]+Ohj.lask.[[#This Row],[Jaettava € 5]],"")</f>
        <v>317270</v>
      </c>
      <c r="AA109" s="20">
        <v>0</v>
      </c>
      <c r="AB109" s="20">
        <v>0</v>
      </c>
      <c r="AC109" s="21">
        <v>0</v>
      </c>
      <c r="AD109" s="20">
        <v>0</v>
      </c>
      <c r="AE109" s="21">
        <v>0</v>
      </c>
      <c r="AF109" s="20">
        <v>0</v>
      </c>
      <c r="AG109" s="21">
        <v>0</v>
      </c>
      <c r="AH109" s="20">
        <v>0</v>
      </c>
      <c r="AI109" s="21">
        <v>120000</v>
      </c>
      <c r="AJ109" s="26">
        <v>0</v>
      </c>
      <c r="AK109" s="20">
        <v>0</v>
      </c>
      <c r="AL109" s="20">
        <v>0</v>
      </c>
      <c r="AM109" s="21">
        <v>120000</v>
      </c>
      <c r="AN109" s="136">
        <v>0</v>
      </c>
      <c r="AO109" s="20">
        <f>Ohj.lask.[[#This Row],[Jaettava € 1]]+Ohj.lask.[[#This Row],[Päätös 7, €]]</f>
        <v>182957</v>
      </c>
      <c r="AP109" s="119">
        <f>Ohj.lask.[[#This Row],[Jaettava € 2]]</f>
        <v>66969</v>
      </c>
      <c r="AQ109" s="20">
        <f>Ohj.lask.[[#This Row],[Jaettava € 3]]+Ohj.lask.[[#This Row],[Jaettava € 4]]+Ohj.lask.[[#This Row],[Jaettava € 5]]</f>
        <v>67344</v>
      </c>
      <c r="AR109" s="45">
        <f>Ohj.lask.[[#This Row],[Jaettava € 6]]+Ohj.lask.[[#This Row],[Päätös 7, €]]</f>
        <v>317270</v>
      </c>
      <c r="AS109" s="45">
        <f>ROUND(IFERROR(VLOOKUP(Ohj.lask.[[#This Row],[Y-tunnus]],'3.1 Alv vahvistettu'!A:Y,COLUMN(C:C),FALSE),0),0)</f>
        <v>7726</v>
      </c>
      <c r="AT109" s="26">
        <f>Ohj.lask.[[#This Row],[Perus-, suoritus- ja vaikuttavuusrahoitus yhteensä, €]]+Ohj.lask.[[#This Row],[Alv-korvaus, €]]</f>
        <v>324996</v>
      </c>
    </row>
    <row r="110" spans="1:46" ht="12.75" x14ac:dyDescent="0.2">
      <c r="A110" s="147" t="s">
        <v>298</v>
      </c>
      <c r="B110" s="17" t="s">
        <v>115</v>
      </c>
      <c r="C110" s="17" t="s">
        <v>296</v>
      </c>
      <c r="D110" s="17" t="s">
        <v>423</v>
      </c>
      <c r="E110" s="17" t="s">
        <v>663</v>
      </c>
      <c r="F110" s="128">
        <v>50</v>
      </c>
      <c r="G110" s="135">
        <v>5</v>
      </c>
      <c r="H110" s="44">
        <f t="shared" si="6"/>
        <v>55</v>
      </c>
      <c r="I110" s="18">
        <f>IFERROR(VLOOKUP($A110,'2.1 Toteut. op.vuodet'!$A:$Q,COLUMN('2.1 Toteut. op.vuodet'!Q:Q),FALSE),0)</f>
        <v>0.92757199784064714</v>
      </c>
      <c r="J110" s="85">
        <f t="shared" si="7"/>
        <v>51</v>
      </c>
      <c r="K110" s="19">
        <f>IFERROR(Ohj.lask.[[#This Row],[Painotetut opiskelija-vuodet]]/Ohj.lask.[[#Totals],[Painotetut opiskelija-vuodet]],0)</f>
        <v>2.5300116430143648E-4</v>
      </c>
      <c r="L110" s="20">
        <f>ROUND(IFERROR('1.1 Jakotaulu'!L$10*Ohj.lask.[[#This Row],[%-osuus 1]],0),0)</f>
        <v>300994</v>
      </c>
      <c r="M110" s="349">
        <f>IFERROR(ROUND(VLOOKUP($A110,'2.2 Tutk. ja osien pain. pist.'!$A:$Q,COLUMN('2.2 Tutk. ja osien pain. pist.'!P:P),FALSE),1),0)</f>
        <v>3511.5</v>
      </c>
      <c r="N110" s="19">
        <f>IFERROR(Ohj.lask.[[#This Row],[Painotetut pisteet 2]]/Ohj.lask.[[#Totals],[Painotetut pisteet 2]],0)</f>
        <v>2.2439980098680452E-4</v>
      </c>
      <c r="O110" s="26">
        <f>ROUND(IFERROR('1.1 Jakotaulu'!K$11*Ohj.lask.[[#This Row],[%-osuus 2]],0),0)</f>
        <v>83090</v>
      </c>
      <c r="P110" s="350">
        <f>IFERROR(ROUND(VLOOKUP($A110,'2.3 Työll. ja jatko-opisk.'!$A:$K,COLUMN('2.3 Työll. ja jatko-opisk.'!I:I),FALSE),1),0)</f>
        <v>70</v>
      </c>
      <c r="Q110" s="19">
        <f>IFERROR(Ohj.lask.[[#This Row],[Painotetut pisteet 3]]/Ohj.lask.[[#Totals],[Painotetut pisteet 3]],0)</f>
        <v>3.6953198246517956E-4</v>
      </c>
      <c r="R110" s="20">
        <f>ROUND(IFERROR('1.1 Jakotaulu'!L$13*Ohj.lask.[[#This Row],[%-osuus 3]],0),0)</f>
        <v>51311</v>
      </c>
      <c r="S110" s="349">
        <f>IFERROR(ROUND(VLOOKUP($A110,'2.4 Aloittaneet palaute'!$A:$K,COLUMN('2.4 Aloittaneet palaute'!J:J),FALSE),1),0)</f>
        <v>616.9</v>
      </c>
      <c r="T110" s="23">
        <f>IFERROR(Ohj.lask.[[#This Row],[Painotetut pisteet 4]]/Ohj.lask.[[#Totals],[Painotetut pisteet 4]],0)</f>
        <v>4.9548736230125873E-4</v>
      </c>
      <c r="U110" s="26">
        <f>ROUND(IFERROR('1.1 Jakotaulu'!M$15*Ohj.lask.[[#This Row],[%-osuus 4]],0),0)</f>
        <v>5733</v>
      </c>
      <c r="V110" s="85">
        <f>IFERROR(ROUND(VLOOKUP($A110,'2.5 Päättäneet palaute'!$A:$AC,COLUMN('2.5 Päättäneet palaute'!AB:AB),FALSE),1),0)</f>
        <v>2981.9</v>
      </c>
      <c r="W110" s="23">
        <f>IFERROR(Ohj.lask.[[#This Row],[Painotetut pisteet 5]]/Ohj.lask.[[#Totals],[Painotetut pisteet 5]],0)</f>
        <v>4.5029557716389076E-4</v>
      </c>
      <c r="X110" s="20">
        <f>ROUND(IFERROR('1.1 Jakotaulu'!M$16*Ohj.lask.[[#This Row],[%-osuus 5]],0),0)</f>
        <v>15631</v>
      </c>
      <c r="Y110" s="22">
        <f>IFERROR(Ohj.lask.[[#This Row],[Jaettava € 6]]/Ohj.lask.[[#Totals],[Jaettava € 6]],"")</f>
        <v>2.6173651169613814E-4</v>
      </c>
      <c r="Z110" s="26">
        <f>IFERROR(Ohj.lask.[[#This Row],[Jaettava € 1]]+Ohj.lask.[[#This Row],[Jaettava € 2]]+Ohj.lask.[[#This Row],[Jaettava € 3]]+Ohj.lask.[[#This Row],[Jaettava € 4]]+Ohj.lask.[[#This Row],[Jaettava € 5]],"")</f>
        <v>456759</v>
      </c>
      <c r="AA110" s="20">
        <v>0</v>
      </c>
      <c r="AB110" s="20">
        <v>0</v>
      </c>
      <c r="AC110" s="21">
        <v>0</v>
      </c>
      <c r="AD110" s="20">
        <v>0</v>
      </c>
      <c r="AE110" s="21">
        <v>0</v>
      </c>
      <c r="AF110" s="20">
        <v>0</v>
      </c>
      <c r="AG110" s="21">
        <v>0</v>
      </c>
      <c r="AH110" s="20">
        <v>0</v>
      </c>
      <c r="AI110" s="21">
        <v>3000</v>
      </c>
      <c r="AJ110" s="26">
        <v>3000</v>
      </c>
      <c r="AK110" s="20">
        <v>0</v>
      </c>
      <c r="AL110" s="20">
        <v>0</v>
      </c>
      <c r="AM110" s="21">
        <v>3000</v>
      </c>
      <c r="AN110" s="136">
        <v>3000</v>
      </c>
      <c r="AO110" s="20">
        <f>Ohj.lask.[[#This Row],[Jaettava € 1]]+Ohj.lask.[[#This Row],[Päätös 7, €]]</f>
        <v>303994</v>
      </c>
      <c r="AP110" s="119">
        <f>Ohj.lask.[[#This Row],[Jaettava € 2]]</f>
        <v>83090</v>
      </c>
      <c r="AQ110" s="20">
        <f>Ohj.lask.[[#This Row],[Jaettava € 3]]+Ohj.lask.[[#This Row],[Jaettava € 4]]+Ohj.lask.[[#This Row],[Jaettava € 5]]</f>
        <v>72675</v>
      </c>
      <c r="AR110" s="45">
        <f>Ohj.lask.[[#This Row],[Jaettava € 6]]+Ohj.lask.[[#This Row],[Päätös 7, €]]</f>
        <v>459759</v>
      </c>
      <c r="AS110" s="45">
        <f>ROUND(IFERROR(VLOOKUP(Ohj.lask.[[#This Row],[Y-tunnus]],'3.1 Alv vahvistettu'!A:Y,COLUMN(C:C),FALSE),0),0)</f>
        <v>25977</v>
      </c>
      <c r="AT110" s="26">
        <f>Ohj.lask.[[#This Row],[Perus-, suoritus- ja vaikuttavuusrahoitus yhteensä, €]]+Ohj.lask.[[#This Row],[Alv-korvaus, €]]</f>
        <v>485736</v>
      </c>
    </row>
    <row r="111" spans="1:46" ht="12.75" x14ac:dyDescent="0.2">
      <c r="A111" s="147" t="s">
        <v>297</v>
      </c>
      <c r="B111" s="17" t="s">
        <v>116</v>
      </c>
      <c r="C111" s="17" t="s">
        <v>296</v>
      </c>
      <c r="D111" s="17" t="s">
        <v>422</v>
      </c>
      <c r="E111" s="17" t="s">
        <v>663</v>
      </c>
      <c r="F111" s="128">
        <v>3139</v>
      </c>
      <c r="G111" s="135">
        <v>311</v>
      </c>
      <c r="H111" s="44">
        <f t="shared" si="6"/>
        <v>3450</v>
      </c>
      <c r="I111" s="18">
        <f>IFERROR(VLOOKUP($A111,'2.1 Toteut. op.vuodet'!$A:$Q,COLUMN('2.1 Toteut. op.vuodet'!Q:Q),FALSE),0)</f>
        <v>1.1467646175396444</v>
      </c>
      <c r="J111" s="85">
        <f t="shared" si="7"/>
        <v>3956.3</v>
      </c>
      <c r="K111" s="19">
        <f>IFERROR(Ohj.lask.[[#This Row],[Painotetut opiskelija-vuodet]]/Ohj.lask.[[#Totals],[Painotetut opiskelija-vuodet]],0)</f>
        <v>1.9626441300505358E-2</v>
      </c>
      <c r="L111" s="20">
        <f>ROUND(IFERROR('1.1 Jakotaulu'!L$10*Ohj.lask.[[#This Row],[%-osuus 1]],0),0)</f>
        <v>23349469</v>
      </c>
      <c r="M111" s="349">
        <f>IFERROR(ROUND(VLOOKUP($A111,'2.2 Tutk. ja osien pain. pist.'!$A:$Q,COLUMN('2.2 Tutk. ja osien pain. pist.'!P:P),FALSE),1),0)</f>
        <v>283077.59999999998</v>
      </c>
      <c r="N111" s="19">
        <f>IFERROR(Ohj.lask.[[#This Row],[Painotetut pisteet 2]]/Ohj.lask.[[#Totals],[Painotetut pisteet 2]],0)</f>
        <v>1.8089863905402889E-2</v>
      </c>
      <c r="O111" s="26">
        <f>ROUND(IFERROR('1.1 Jakotaulu'!K$11*Ohj.lask.[[#This Row],[%-osuus 2]],0),0)</f>
        <v>6698261</v>
      </c>
      <c r="P111" s="350">
        <f>IFERROR(ROUND(VLOOKUP($A111,'2.3 Työll. ja jatko-opisk.'!$A:$K,COLUMN('2.3 Työll. ja jatko-opisk.'!I:I),FALSE),1),0)</f>
        <v>3988.4</v>
      </c>
      <c r="Q111" s="19">
        <f>IFERROR(Ohj.lask.[[#This Row],[Painotetut pisteet 3]]/Ohj.lask.[[#Totals],[Painotetut pisteet 3]],0)</f>
        <v>2.1054876555201746E-2</v>
      </c>
      <c r="R111" s="20">
        <f>ROUND(IFERROR('1.1 Jakotaulu'!L$13*Ohj.lask.[[#This Row],[%-osuus 3]],0),0)</f>
        <v>2923551</v>
      </c>
      <c r="S111" s="349">
        <f>IFERROR(ROUND(VLOOKUP($A111,'2.4 Aloittaneet palaute'!$A:$K,COLUMN('2.4 Aloittaneet palaute'!J:J),FALSE),1),0)</f>
        <v>21607.3</v>
      </c>
      <c r="T111" s="23">
        <f>IFERROR(Ohj.lask.[[#This Row],[Painotetut pisteet 4]]/Ohj.lask.[[#Totals],[Painotetut pisteet 4]],0)</f>
        <v>1.7354748068490824E-2</v>
      </c>
      <c r="U111" s="26">
        <f>ROUND(IFERROR('1.1 Jakotaulu'!M$15*Ohj.lask.[[#This Row],[%-osuus 4]],0),0)</f>
        <v>200814</v>
      </c>
      <c r="V111" s="85">
        <f>IFERROR(ROUND(VLOOKUP($A111,'2.5 Päättäneet palaute'!$A:$AC,COLUMN('2.5 Päättäneet palaute'!AB:AB),FALSE),1),0)</f>
        <v>134708.79999999999</v>
      </c>
      <c r="W111" s="23">
        <f>IFERROR(Ohj.lask.[[#This Row],[Painotetut pisteet 5]]/Ohj.lask.[[#Totals],[Painotetut pisteet 5]],0)</f>
        <v>2.0342324304991825E-2</v>
      </c>
      <c r="X111" s="20">
        <f>ROUND(IFERROR('1.1 Jakotaulu'!M$16*Ohj.lask.[[#This Row],[%-osuus 5]],0),0)</f>
        <v>706153</v>
      </c>
      <c r="Y111" s="22">
        <f>IFERROR(Ohj.lask.[[#This Row],[Jaettava € 6]]/Ohj.lask.[[#Totals],[Jaettava € 6]],"")</f>
        <v>1.9413245177208702E-2</v>
      </c>
      <c r="Z111" s="26">
        <f>IFERROR(Ohj.lask.[[#This Row],[Jaettava € 1]]+Ohj.lask.[[#This Row],[Jaettava € 2]]+Ohj.lask.[[#This Row],[Jaettava € 3]]+Ohj.lask.[[#This Row],[Jaettava € 4]]+Ohj.lask.[[#This Row],[Jaettava € 5]],"")</f>
        <v>33878248</v>
      </c>
      <c r="AA111" s="20">
        <v>644970</v>
      </c>
      <c r="AB111" s="20">
        <v>0</v>
      </c>
      <c r="AC111" s="21">
        <v>0</v>
      </c>
      <c r="AD111" s="20">
        <v>0</v>
      </c>
      <c r="AE111" s="21">
        <v>0</v>
      </c>
      <c r="AF111" s="20">
        <v>0</v>
      </c>
      <c r="AG111" s="21">
        <v>0</v>
      </c>
      <c r="AH111" s="20">
        <v>75000</v>
      </c>
      <c r="AI111" s="21">
        <v>138680</v>
      </c>
      <c r="AJ111" s="26">
        <v>120000</v>
      </c>
      <c r="AK111" s="20">
        <v>25000</v>
      </c>
      <c r="AL111" s="20">
        <v>25000</v>
      </c>
      <c r="AM111" s="21">
        <v>808650</v>
      </c>
      <c r="AN111" s="136">
        <v>220000</v>
      </c>
      <c r="AO111" s="20">
        <f>Ohj.lask.[[#This Row],[Jaettava € 1]]+Ohj.lask.[[#This Row],[Päätös 7, €]]</f>
        <v>23569469</v>
      </c>
      <c r="AP111" s="119">
        <f>Ohj.lask.[[#This Row],[Jaettava € 2]]</f>
        <v>6698261</v>
      </c>
      <c r="AQ111" s="20">
        <f>Ohj.lask.[[#This Row],[Jaettava € 3]]+Ohj.lask.[[#This Row],[Jaettava € 4]]+Ohj.lask.[[#This Row],[Jaettava € 5]]</f>
        <v>3830518</v>
      </c>
      <c r="AR111" s="45">
        <f>Ohj.lask.[[#This Row],[Jaettava € 6]]+Ohj.lask.[[#This Row],[Päätös 7, €]]</f>
        <v>34098248</v>
      </c>
      <c r="AS111" s="45">
        <f>ROUND(IFERROR(VLOOKUP(Ohj.lask.[[#This Row],[Y-tunnus]],'3.1 Alv vahvistettu'!A:Y,COLUMN(C:C),FALSE),0),0)</f>
        <v>0</v>
      </c>
      <c r="AT111" s="26">
        <f>Ohj.lask.[[#This Row],[Perus-, suoritus- ja vaikuttavuusrahoitus yhteensä, €]]+Ohj.lask.[[#This Row],[Alv-korvaus, €]]</f>
        <v>34098248</v>
      </c>
    </row>
    <row r="112" spans="1:46" ht="12.75" x14ac:dyDescent="0.2">
      <c r="A112" s="147" t="s">
        <v>295</v>
      </c>
      <c r="B112" s="17" t="s">
        <v>117</v>
      </c>
      <c r="C112" s="17" t="s">
        <v>254</v>
      </c>
      <c r="D112" s="17" t="s">
        <v>422</v>
      </c>
      <c r="E112" s="17" t="s">
        <v>663</v>
      </c>
      <c r="F112" s="128">
        <v>1889</v>
      </c>
      <c r="G112" s="135">
        <v>199</v>
      </c>
      <c r="H112" s="44">
        <f t="shared" si="6"/>
        <v>2088</v>
      </c>
      <c r="I112" s="18">
        <f>IFERROR(VLOOKUP($A112,'2.1 Toteut. op.vuodet'!$A:$Q,COLUMN('2.1 Toteut. op.vuodet'!Q:Q),FALSE),0)</f>
        <v>1.06932438614792</v>
      </c>
      <c r="J112" s="85">
        <f t="shared" si="7"/>
        <v>2232.6999999999998</v>
      </c>
      <c r="K112" s="19">
        <f>IFERROR(Ohj.lask.[[#This Row],[Painotetut opiskelija-vuodet]]/Ohj.lask.[[#Totals],[Painotetut opiskelija-vuodet]],0)</f>
        <v>1.1075994108545435E-2</v>
      </c>
      <c r="L112" s="20">
        <f>ROUND(IFERROR('1.1 Jakotaulu'!L$10*Ohj.lask.[[#This Row],[%-osuus 1]],0),0)</f>
        <v>13177049</v>
      </c>
      <c r="M112" s="349">
        <f>IFERROR(ROUND(VLOOKUP($A112,'2.2 Tutk. ja osien pain. pist.'!$A:$Q,COLUMN('2.2 Tutk. ja osien pain. pist.'!P:P),FALSE),1),0)</f>
        <v>190477.8</v>
      </c>
      <c r="N112" s="19">
        <f>IFERROR(Ohj.lask.[[#This Row],[Painotetut pisteet 2]]/Ohj.lask.[[#Totals],[Painotetut pisteet 2]],0)</f>
        <v>1.2172342421302678E-2</v>
      </c>
      <c r="O112" s="26">
        <f>ROUND(IFERROR('1.1 Jakotaulu'!K$11*Ohj.lask.[[#This Row],[%-osuus 2]],0),0)</f>
        <v>4507138</v>
      </c>
      <c r="P112" s="350">
        <f>IFERROR(ROUND(VLOOKUP($A112,'2.3 Työll. ja jatko-opisk.'!$A:$K,COLUMN('2.3 Työll. ja jatko-opisk.'!I:I),FALSE),1),0)</f>
        <v>2086.6999999999998</v>
      </c>
      <c r="Q112" s="19">
        <f>IFERROR(Ohj.lask.[[#This Row],[Painotetut pisteet 3]]/Ohj.lask.[[#Totals],[Painotetut pisteet 3]],0)</f>
        <v>1.1015748397287001E-2</v>
      </c>
      <c r="R112" s="20">
        <f>ROUND(IFERROR('1.1 Jakotaulu'!L$13*Ohj.lask.[[#This Row],[%-osuus 3]],0),0)</f>
        <v>1529579</v>
      </c>
      <c r="S112" s="349">
        <f>IFERROR(ROUND(VLOOKUP($A112,'2.4 Aloittaneet palaute'!$A:$K,COLUMN('2.4 Aloittaneet palaute'!J:J),FALSE),1),0)</f>
        <v>7978.6</v>
      </c>
      <c r="T112" s="23">
        <f>IFERROR(Ohj.lask.[[#This Row],[Painotetut pisteet 4]]/Ohj.lask.[[#Totals],[Painotetut pisteet 4]],0)</f>
        <v>6.4083246374725617E-3</v>
      </c>
      <c r="U112" s="26">
        <f>ROUND(IFERROR('1.1 Jakotaulu'!M$15*Ohj.lask.[[#This Row],[%-osuus 4]],0),0)</f>
        <v>74152</v>
      </c>
      <c r="V112" s="85">
        <f>IFERROR(ROUND(VLOOKUP($A112,'2.5 Päättäneet palaute'!$A:$AC,COLUMN('2.5 Päättäneet palaute'!AB:AB),FALSE),1),0)</f>
        <v>52433.7</v>
      </c>
      <c r="W112" s="23">
        <f>IFERROR(Ohj.lask.[[#This Row],[Painotetut pisteet 5]]/Ohj.lask.[[#Totals],[Painotetut pisteet 5]],0)</f>
        <v>7.9179929589651889E-3</v>
      </c>
      <c r="X112" s="20">
        <f>ROUND(IFERROR('1.1 Jakotaulu'!M$16*Ohj.lask.[[#This Row],[%-osuus 5]],0),0)</f>
        <v>274861</v>
      </c>
      <c r="Y112" s="22">
        <f>IFERROR(Ohj.lask.[[#This Row],[Jaettava € 6]]/Ohj.lask.[[#Totals],[Jaettava € 6]],"")</f>
        <v>1.1210055049911367E-2</v>
      </c>
      <c r="Z112" s="26">
        <f>IFERROR(Ohj.lask.[[#This Row],[Jaettava € 1]]+Ohj.lask.[[#This Row],[Jaettava € 2]]+Ohj.lask.[[#This Row],[Jaettava € 3]]+Ohj.lask.[[#This Row],[Jaettava € 4]]+Ohj.lask.[[#This Row],[Jaettava € 5]],"")</f>
        <v>19562779</v>
      </c>
      <c r="AA112" s="20">
        <v>0</v>
      </c>
      <c r="AB112" s="20">
        <v>0</v>
      </c>
      <c r="AC112" s="21">
        <v>0</v>
      </c>
      <c r="AD112" s="20">
        <v>0</v>
      </c>
      <c r="AE112" s="21">
        <v>0</v>
      </c>
      <c r="AF112" s="20">
        <v>0</v>
      </c>
      <c r="AG112" s="21">
        <v>0</v>
      </c>
      <c r="AH112" s="20">
        <v>0</v>
      </c>
      <c r="AI112" s="21">
        <v>80000</v>
      </c>
      <c r="AJ112" s="26">
        <v>80000</v>
      </c>
      <c r="AK112" s="20">
        <v>0</v>
      </c>
      <c r="AL112" s="20">
        <v>0</v>
      </c>
      <c r="AM112" s="21">
        <v>80000</v>
      </c>
      <c r="AN112" s="136">
        <v>80000</v>
      </c>
      <c r="AO112" s="20">
        <f>Ohj.lask.[[#This Row],[Jaettava € 1]]+Ohj.lask.[[#This Row],[Päätös 7, €]]</f>
        <v>13257049</v>
      </c>
      <c r="AP112" s="119">
        <f>Ohj.lask.[[#This Row],[Jaettava € 2]]</f>
        <v>4507138</v>
      </c>
      <c r="AQ112" s="20">
        <f>Ohj.lask.[[#This Row],[Jaettava € 3]]+Ohj.lask.[[#This Row],[Jaettava € 4]]+Ohj.lask.[[#This Row],[Jaettava € 5]]</f>
        <v>1878592</v>
      </c>
      <c r="AR112" s="45">
        <f>Ohj.lask.[[#This Row],[Jaettava € 6]]+Ohj.lask.[[#This Row],[Päätös 7, €]]</f>
        <v>19642779</v>
      </c>
      <c r="AS112" s="45">
        <f>ROUND(IFERROR(VLOOKUP(Ohj.lask.[[#This Row],[Y-tunnus]],'3.1 Alv vahvistettu'!A:Y,COLUMN(C:C),FALSE),0),0)</f>
        <v>0</v>
      </c>
      <c r="AT112" s="26">
        <f>Ohj.lask.[[#This Row],[Perus-, suoritus- ja vaikuttavuusrahoitus yhteensä, €]]+Ohj.lask.[[#This Row],[Alv-korvaus, €]]</f>
        <v>19642779</v>
      </c>
    </row>
    <row r="113" spans="1:46" ht="12.75" x14ac:dyDescent="0.2">
      <c r="A113" s="147" t="s">
        <v>294</v>
      </c>
      <c r="B113" s="17" t="s">
        <v>212</v>
      </c>
      <c r="C113" s="17" t="s">
        <v>238</v>
      </c>
      <c r="D113" s="17" t="s">
        <v>423</v>
      </c>
      <c r="E113" s="17" t="s">
        <v>663</v>
      </c>
      <c r="F113" s="128">
        <v>0</v>
      </c>
      <c r="G113" s="135">
        <v>0</v>
      </c>
      <c r="H113" s="44">
        <f t="shared" si="6"/>
        <v>0</v>
      </c>
      <c r="I113" s="18">
        <f>IFERROR(VLOOKUP($A113,'2.1 Toteut. op.vuodet'!$A:$Q,COLUMN('2.1 Toteut. op.vuodet'!Q:Q),FALSE),0)</f>
        <v>0</v>
      </c>
      <c r="J113" s="85">
        <f t="shared" si="7"/>
        <v>0</v>
      </c>
      <c r="K113" s="19">
        <f>IFERROR(Ohj.lask.[[#This Row],[Painotetut opiskelija-vuodet]]/Ohj.lask.[[#Totals],[Painotetut opiskelija-vuodet]],0)</f>
        <v>0</v>
      </c>
      <c r="L113" s="20">
        <f>ROUND(IFERROR('1.1 Jakotaulu'!L$10*Ohj.lask.[[#This Row],[%-osuus 1]],0),0)</f>
        <v>0</v>
      </c>
      <c r="M113" s="349">
        <f>IFERROR(ROUND(VLOOKUP($A113,'2.2 Tutk. ja osien pain. pist.'!$A:$Q,COLUMN('2.2 Tutk. ja osien pain. pist.'!P:P),FALSE),1),0)</f>
        <v>0</v>
      </c>
      <c r="N113" s="19">
        <f>IFERROR(Ohj.lask.[[#This Row],[Painotetut pisteet 2]]/Ohj.lask.[[#Totals],[Painotetut pisteet 2]],0)</f>
        <v>0</v>
      </c>
      <c r="O113" s="26">
        <f>ROUND(IFERROR('1.1 Jakotaulu'!K$11*Ohj.lask.[[#This Row],[%-osuus 2]],0),0)</f>
        <v>0</v>
      </c>
      <c r="P113" s="350">
        <f>IFERROR(ROUND(VLOOKUP($A113,'2.3 Työll. ja jatko-opisk.'!$A:$K,COLUMN('2.3 Työll. ja jatko-opisk.'!I:I),FALSE),1),0)</f>
        <v>0</v>
      </c>
      <c r="Q113" s="19">
        <f>IFERROR(Ohj.lask.[[#This Row],[Painotetut pisteet 3]]/Ohj.lask.[[#Totals],[Painotetut pisteet 3]],0)</f>
        <v>0</v>
      </c>
      <c r="R113" s="20">
        <f>ROUND(IFERROR('1.1 Jakotaulu'!L$13*Ohj.lask.[[#This Row],[%-osuus 3]],0),0)</f>
        <v>0</v>
      </c>
      <c r="S113" s="349">
        <f>IFERROR(ROUND(VLOOKUP($A113,'2.4 Aloittaneet palaute'!$A:$K,COLUMN('2.4 Aloittaneet palaute'!J:J),FALSE),1),0)</f>
        <v>0</v>
      </c>
      <c r="T113" s="23">
        <f>IFERROR(Ohj.lask.[[#This Row],[Painotetut pisteet 4]]/Ohj.lask.[[#Totals],[Painotetut pisteet 4]],0)</f>
        <v>0</v>
      </c>
      <c r="U113" s="26">
        <f>ROUND(IFERROR('1.1 Jakotaulu'!M$15*Ohj.lask.[[#This Row],[%-osuus 4]],0),0)</f>
        <v>0</v>
      </c>
      <c r="V113" s="85">
        <f>IFERROR(ROUND(VLOOKUP($A113,'2.5 Päättäneet palaute'!$A:$AC,COLUMN('2.5 Päättäneet palaute'!AB:AB),FALSE),1),0)</f>
        <v>0</v>
      </c>
      <c r="W113" s="23">
        <f>IFERROR(Ohj.lask.[[#This Row],[Painotetut pisteet 5]]/Ohj.lask.[[#Totals],[Painotetut pisteet 5]],0)</f>
        <v>0</v>
      </c>
      <c r="X113" s="20">
        <f>ROUND(IFERROR('1.1 Jakotaulu'!M$16*Ohj.lask.[[#This Row],[%-osuus 5]],0),0)</f>
        <v>0</v>
      </c>
      <c r="Y113" s="22">
        <f>IFERROR(Ohj.lask.[[#This Row],[Jaettava € 6]]/Ohj.lask.[[#Totals],[Jaettava € 6]],"")</f>
        <v>0</v>
      </c>
      <c r="Z113" s="26">
        <f>IFERROR(Ohj.lask.[[#This Row],[Jaettava € 1]]+Ohj.lask.[[#This Row],[Jaettava € 2]]+Ohj.lask.[[#This Row],[Jaettava € 3]]+Ohj.lask.[[#This Row],[Jaettava € 4]]+Ohj.lask.[[#This Row],[Jaettava € 5]],"")</f>
        <v>0</v>
      </c>
      <c r="AA113" s="20">
        <v>0</v>
      </c>
      <c r="AB113" s="20">
        <v>0</v>
      </c>
      <c r="AC113" s="21">
        <v>0</v>
      </c>
      <c r="AD113" s="20">
        <v>0</v>
      </c>
      <c r="AE113" s="21">
        <v>0</v>
      </c>
      <c r="AF113" s="20">
        <v>0</v>
      </c>
      <c r="AG113" s="21">
        <v>0</v>
      </c>
      <c r="AH113" s="20">
        <v>0</v>
      </c>
      <c r="AI113" s="21">
        <v>0</v>
      </c>
      <c r="AJ113" s="26">
        <v>0</v>
      </c>
      <c r="AK113" s="20">
        <v>0</v>
      </c>
      <c r="AL113" s="20">
        <v>0</v>
      </c>
      <c r="AM113" s="21">
        <v>0</v>
      </c>
      <c r="AN113" s="136">
        <v>0</v>
      </c>
      <c r="AO113" s="20">
        <f>Ohj.lask.[[#This Row],[Jaettava € 1]]+Ohj.lask.[[#This Row],[Päätös 7, €]]</f>
        <v>0</v>
      </c>
      <c r="AP113" s="119">
        <f>Ohj.lask.[[#This Row],[Jaettava € 2]]</f>
        <v>0</v>
      </c>
      <c r="AQ113" s="20">
        <f>Ohj.lask.[[#This Row],[Jaettava € 3]]+Ohj.lask.[[#This Row],[Jaettava € 4]]+Ohj.lask.[[#This Row],[Jaettava € 5]]</f>
        <v>0</v>
      </c>
      <c r="AR113" s="45">
        <f>Ohj.lask.[[#This Row],[Jaettava € 6]]+Ohj.lask.[[#This Row],[Päätös 7, €]]</f>
        <v>0</v>
      </c>
      <c r="AS113" s="45">
        <f>ROUND(IFERROR(VLOOKUP(Ohj.lask.[[#This Row],[Y-tunnus]],'3.1 Alv vahvistettu'!A:Y,COLUMN(C:C),FALSE),0),0)</f>
        <v>0</v>
      </c>
      <c r="AT113" s="26">
        <f>Ohj.lask.[[#This Row],[Perus-, suoritus- ja vaikuttavuusrahoitus yhteensä, €]]+Ohj.lask.[[#This Row],[Alv-korvaus, €]]</f>
        <v>0</v>
      </c>
    </row>
    <row r="114" spans="1:46" ht="12.75" x14ac:dyDescent="0.2">
      <c r="A114" s="147" t="s">
        <v>293</v>
      </c>
      <c r="B114" s="17" t="s">
        <v>118</v>
      </c>
      <c r="C114" s="17" t="s">
        <v>249</v>
      </c>
      <c r="D114" s="17" t="s">
        <v>422</v>
      </c>
      <c r="E114" s="17" t="s">
        <v>663</v>
      </c>
      <c r="F114" s="128">
        <v>3324</v>
      </c>
      <c r="G114" s="135">
        <v>386</v>
      </c>
      <c r="H114" s="44">
        <f t="shared" si="6"/>
        <v>3710</v>
      </c>
      <c r="I114" s="18">
        <f>IFERROR(VLOOKUP($A114,'2.1 Toteut. op.vuodet'!$A:$Q,COLUMN('2.1 Toteut. op.vuodet'!Q:Q),FALSE),0)</f>
        <v>1.0636501100930371</v>
      </c>
      <c r="J114" s="85">
        <f t="shared" si="7"/>
        <v>3946.1</v>
      </c>
      <c r="K114" s="19">
        <f>IFERROR(Ohj.lask.[[#This Row],[Painotetut opiskelija-vuodet]]/Ohj.lask.[[#Totals],[Painotetut opiskelija-vuodet]],0)</f>
        <v>1.957584106764507E-2</v>
      </c>
      <c r="L114" s="20">
        <f>ROUND(IFERROR('1.1 Jakotaulu'!L$10*Ohj.lask.[[#This Row],[%-osuus 1]],0),0)</f>
        <v>23289270</v>
      </c>
      <c r="M114" s="349">
        <f>IFERROR(ROUND(VLOOKUP($A114,'2.2 Tutk. ja osien pain. pist.'!$A:$Q,COLUMN('2.2 Tutk. ja osien pain. pist.'!P:P),FALSE),1),0)</f>
        <v>281590.90000000002</v>
      </c>
      <c r="N114" s="19">
        <f>IFERROR(Ohj.lask.[[#This Row],[Painotetut pisteet 2]]/Ohj.lask.[[#Totals],[Painotetut pisteet 2]],0)</f>
        <v>1.7994857445449288E-2</v>
      </c>
      <c r="O114" s="26">
        <f>ROUND(IFERROR('1.1 Jakotaulu'!K$11*Ohj.lask.[[#This Row],[%-osuus 2]],0),0)</f>
        <v>6663082</v>
      </c>
      <c r="P114" s="350">
        <f>IFERROR(ROUND(VLOOKUP($A114,'2.3 Työll. ja jatko-opisk.'!$A:$K,COLUMN('2.3 Työll. ja jatko-opisk.'!I:I),FALSE),1),0)</f>
        <v>3317.1</v>
      </c>
      <c r="Q114" s="19">
        <f>IFERROR(Ohj.lask.[[#This Row],[Painotetut pisteet 3]]/Ohj.lask.[[#Totals],[Painotetut pisteet 3]],0)</f>
        <v>1.7511064843360673E-2</v>
      </c>
      <c r="R114" s="20">
        <f>ROUND(IFERROR('1.1 Jakotaulu'!L$13*Ohj.lask.[[#This Row],[%-osuus 3]],0),0)</f>
        <v>2431479</v>
      </c>
      <c r="S114" s="349">
        <f>IFERROR(ROUND(VLOOKUP($A114,'2.4 Aloittaneet palaute'!$A:$K,COLUMN('2.4 Aloittaneet palaute'!J:J),FALSE),1),0)</f>
        <v>19567.900000000001</v>
      </c>
      <c r="T114" s="23">
        <f>IFERROR(Ohj.lask.[[#This Row],[Painotetut pisteet 4]]/Ohj.lask.[[#Totals],[Painotetut pisteet 4]],0)</f>
        <v>1.5716724196425357E-2</v>
      </c>
      <c r="U114" s="26">
        <f>ROUND(IFERROR('1.1 Jakotaulu'!M$15*Ohj.lask.[[#This Row],[%-osuus 4]],0),0)</f>
        <v>181861</v>
      </c>
      <c r="V114" s="85">
        <f>IFERROR(ROUND(VLOOKUP($A114,'2.5 Päättäneet palaute'!$A:$AC,COLUMN('2.5 Päättäneet palaute'!AB:AB),FALSE),1),0)</f>
        <v>124999.7</v>
      </c>
      <c r="W114" s="23">
        <f>IFERROR(Ohj.lask.[[#This Row],[Painotetut pisteet 5]]/Ohj.lask.[[#Totals],[Painotetut pisteet 5]],0)</f>
        <v>1.8876156831823063E-2</v>
      </c>
      <c r="X114" s="20">
        <f>ROUND(IFERROR('1.1 Jakotaulu'!M$16*Ohj.lask.[[#This Row],[%-osuus 5]],0),0)</f>
        <v>655257</v>
      </c>
      <c r="Y114" s="22">
        <f>IFERROR(Ohj.lask.[[#This Row],[Jaettava € 6]]/Ohj.lask.[[#Totals],[Jaettava € 6]],"")</f>
        <v>1.9036593272371883E-2</v>
      </c>
      <c r="Z114" s="26">
        <f>IFERROR(Ohj.lask.[[#This Row],[Jaettava € 1]]+Ohj.lask.[[#This Row],[Jaettava € 2]]+Ohj.lask.[[#This Row],[Jaettava € 3]]+Ohj.lask.[[#This Row],[Jaettava € 4]]+Ohj.lask.[[#This Row],[Jaettava € 5]],"")</f>
        <v>33220949</v>
      </c>
      <c r="AA114" s="20">
        <v>0</v>
      </c>
      <c r="AB114" s="20">
        <v>0</v>
      </c>
      <c r="AC114" s="21">
        <v>1024832</v>
      </c>
      <c r="AD114" s="20">
        <v>0</v>
      </c>
      <c r="AE114" s="21">
        <v>2330000</v>
      </c>
      <c r="AF114" s="20">
        <v>0</v>
      </c>
      <c r="AG114" s="21">
        <v>1001275</v>
      </c>
      <c r="AH114" s="20">
        <v>0</v>
      </c>
      <c r="AI114" s="21">
        <v>100000</v>
      </c>
      <c r="AJ114" s="26">
        <v>0</v>
      </c>
      <c r="AK114" s="20">
        <v>0</v>
      </c>
      <c r="AL114" s="20">
        <v>0</v>
      </c>
      <c r="AM114" s="21">
        <v>4456107</v>
      </c>
      <c r="AN114" s="136">
        <v>0</v>
      </c>
      <c r="AO114" s="20">
        <f>Ohj.lask.[[#This Row],[Jaettava € 1]]+Ohj.lask.[[#This Row],[Päätös 7, €]]</f>
        <v>23289270</v>
      </c>
      <c r="AP114" s="119">
        <f>Ohj.lask.[[#This Row],[Jaettava € 2]]</f>
        <v>6663082</v>
      </c>
      <c r="AQ114" s="20">
        <f>Ohj.lask.[[#This Row],[Jaettava € 3]]+Ohj.lask.[[#This Row],[Jaettava € 4]]+Ohj.lask.[[#This Row],[Jaettava € 5]]</f>
        <v>3268597</v>
      </c>
      <c r="AR114" s="45">
        <f>Ohj.lask.[[#This Row],[Jaettava € 6]]+Ohj.lask.[[#This Row],[Päätös 7, €]]</f>
        <v>33220949</v>
      </c>
      <c r="AS114" s="45">
        <f>ROUND(IFERROR(VLOOKUP(Ohj.lask.[[#This Row],[Y-tunnus]],'3.1 Alv vahvistettu'!A:Y,COLUMN(C:C),FALSE),0),0)</f>
        <v>0</v>
      </c>
      <c r="AT114" s="26">
        <f>Ohj.lask.[[#This Row],[Perus-, suoritus- ja vaikuttavuusrahoitus yhteensä, €]]+Ohj.lask.[[#This Row],[Alv-korvaus, €]]</f>
        <v>33220949</v>
      </c>
    </row>
    <row r="115" spans="1:46" ht="12.75" x14ac:dyDescent="0.2">
      <c r="A115" s="147" t="s">
        <v>292</v>
      </c>
      <c r="B115" s="17" t="s">
        <v>119</v>
      </c>
      <c r="C115" s="113" t="s">
        <v>287</v>
      </c>
      <c r="D115" s="113" t="s">
        <v>422</v>
      </c>
      <c r="E115" s="113" t="s">
        <v>663</v>
      </c>
      <c r="F115" s="127">
        <v>1814</v>
      </c>
      <c r="G115" s="135">
        <v>377</v>
      </c>
      <c r="H115" s="44">
        <f t="shared" si="6"/>
        <v>2191</v>
      </c>
      <c r="I115" s="18">
        <f>IFERROR(VLOOKUP($A115,'2.1 Toteut. op.vuodet'!$A:$Q,COLUMN('2.1 Toteut. op.vuodet'!Q:Q),FALSE),0)</f>
        <v>1.0770726203116316</v>
      </c>
      <c r="J115" s="85">
        <f t="shared" si="7"/>
        <v>2359.9</v>
      </c>
      <c r="K115" s="19">
        <f>IFERROR(Ohj.lask.[[#This Row],[Painotetut opiskelija-vuodet]]/Ohj.lask.[[#Totals],[Painotetut opiskelija-vuodet]],0)</f>
        <v>1.1707008777156079E-2</v>
      </c>
      <c r="L115" s="20">
        <f>ROUND(IFERROR('1.1 Jakotaulu'!L$10*Ohj.lask.[[#This Row],[%-osuus 1]],0),0)</f>
        <v>13927764</v>
      </c>
      <c r="M115" s="349">
        <f>IFERROR(ROUND(VLOOKUP($A115,'2.2 Tutk. ja osien pain. pist.'!$A:$Q,COLUMN('2.2 Tutk. ja osien pain. pist.'!P:P),FALSE),1),0)</f>
        <v>180522.3</v>
      </c>
      <c r="N115" s="19">
        <f>IFERROR(Ohj.lask.[[#This Row],[Painotetut pisteet 2]]/Ohj.lask.[[#Totals],[Painotetut pisteet 2]],0)</f>
        <v>1.1536143583562643E-2</v>
      </c>
      <c r="O115" s="26">
        <f>ROUND(IFERROR('1.1 Jakotaulu'!K$11*Ohj.lask.[[#This Row],[%-osuus 2]],0),0)</f>
        <v>4271569</v>
      </c>
      <c r="P115" s="350">
        <f>IFERROR(ROUND(VLOOKUP($A115,'2.3 Työll. ja jatko-opisk.'!$A:$K,COLUMN('2.3 Työll. ja jatko-opisk.'!I:I),FALSE),1),0)</f>
        <v>2416.1</v>
      </c>
      <c r="Q115" s="23">
        <f>IFERROR(Ohj.lask.[[#This Row],[Painotetut pisteet 3]]/Ohj.lask.[[#Totals],[Painotetut pisteet 3]],0)</f>
        <v>1.2754660326201718E-2</v>
      </c>
      <c r="R115" s="20">
        <f>ROUND(IFERROR('1.1 Jakotaulu'!L$13*Ohj.lask.[[#This Row],[%-osuus 3]],0),0)</f>
        <v>1771034</v>
      </c>
      <c r="S115" s="349">
        <f>IFERROR(ROUND(VLOOKUP($A115,'2.4 Aloittaneet palaute'!$A:$K,COLUMN('2.4 Aloittaneet palaute'!J:J),FALSE),1),0)</f>
        <v>27266.7</v>
      </c>
      <c r="T115" s="23">
        <f>IFERROR(Ohj.lask.[[#This Row],[Painotetut pisteet 4]]/Ohj.lask.[[#Totals],[Painotetut pisteet 4]],0)</f>
        <v>2.1900316520764684E-2</v>
      </c>
      <c r="U115" s="26">
        <f>ROUND(IFERROR('1.1 Jakotaulu'!M$15*Ohj.lask.[[#This Row],[%-osuus 4]],0),0)</f>
        <v>253412</v>
      </c>
      <c r="V115" s="85">
        <f>IFERROR(ROUND(VLOOKUP($A115,'2.5 Päättäneet palaute'!$A:$AC,COLUMN('2.5 Päättäneet palaute'!AB:AB),FALSE),1),0)</f>
        <v>128792</v>
      </c>
      <c r="W115" s="23">
        <f>IFERROR(Ohj.lask.[[#This Row],[Painotetut pisteet 5]]/Ohj.lask.[[#Totals],[Painotetut pisteet 5]],0)</f>
        <v>1.9448830602666695E-2</v>
      </c>
      <c r="X115" s="20">
        <f>ROUND(IFERROR('1.1 Jakotaulu'!M$16*Ohj.lask.[[#This Row],[%-osuus 5]],0),0)</f>
        <v>675136</v>
      </c>
      <c r="Y115" s="22">
        <f>IFERROR(Ohj.lask.[[#This Row],[Jaettava € 6]]/Ohj.lask.[[#Totals],[Jaettava € 6]],"")</f>
        <v>1.1975700775100431E-2</v>
      </c>
      <c r="Z115" s="26">
        <f>IFERROR(Ohj.lask.[[#This Row],[Jaettava € 1]]+Ohj.lask.[[#This Row],[Jaettava € 2]]+Ohj.lask.[[#This Row],[Jaettava € 3]]+Ohj.lask.[[#This Row],[Jaettava € 4]]+Ohj.lask.[[#This Row],[Jaettava € 5]],"")</f>
        <v>20898915</v>
      </c>
      <c r="AA115" s="20">
        <v>0</v>
      </c>
      <c r="AB115" s="20">
        <v>0</v>
      </c>
      <c r="AC115" s="21">
        <v>0</v>
      </c>
      <c r="AD115" s="20">
        <v>0</v>
      </c>
      <c r="AE115" s="21">
        <v>0</v>
      </c>
      <c r="AF115" s="20">
        <v>0</v>
      </c>
      <c r="AG115" s="21">
        <v>0</v>
      </c>
      <c r="AH115" s="20">
        <v>0</v>
      </c>
      <c r="AI115" s="21">
        <v>82500</v>
      </c>
      <c r="AJ115" s="26">
        <v>0</v>
      </c>
      <c r="AK115" s="20">
        <v>0</v>
      </c>
      <c r="AL115" s="20">
        <v>0</v>
      </c>
      <c r="AM115" s="21">
        <v>82500</v>
      </c>
      <c r="AN115" s="136">
        <v>0</v>
      </c>
      <c r="AO115" s="20">
        <f>Ohj.lask.[[#This Row],[Jaettava € 1]]+Ohj.lask.[[#This Row],[Päätös 7, €]]</f>
        <v>13927764</v>
      </c>
      <c r="AP115" s="119">
        <f>Ohj.lask.[[#This Row],[Jaettava € 2]]</f>
        <v>4271569</v>
      </c>
      <c r="AQ115" s="20">
        <f>Ohj.lask.[[#This Row],[Jaettava € 3]]+Ohj.lask.[[#This Row],[Jaettava € 4]]+Ohj.lask.[[#This Row],[Jaettava € 5]]</f>
        <v>2699582</v>
      </c>
      <c r="AR115" s="45">
        <f>Ohj.lask.[[#This Row],[Jaettava € 6]]+Ohj.lask.[[#This Row],[Päätös 7, €]]</f>
        <v>20898915</v>
      </c>
      <c r="AS115" s="45">
        <f>ROUND(IFERROR(VLOOKUP(Ohj.lask.[[#This Row],[Y-tunnus]],'3.1 Alv vahvistettu'!A:Y,COLUMN(C:C),FALSE),0),0)</f>
        <v>0</v>
      </c>
      <c r="AT115" s="26">
        <f>Ohj.lask.[[#This Row],[Perus-, suoritus- ja vaikuttavuusrahoitus yhteensä, €]]+Ohj.lask.[[#This Row],[Alv-korvaus, €]]</f>
        <v>20898915</v>
      </c>
    </row>
    <row r="116" spans="1:46" ht="12.75" x14ac:dyDescent="0.2">
      <c r="A116" s="147" t="s">
        <v>291</v>
      </c>
      <c r="B116" s="17" t="s">
        <v>120</v>
      </c>
      <c r="C116" s="17" t="s">
        <v>242</v>
      </c>
      <c r="D116" s="17" t="s">
        <v>422</v>
      </c>
      <c r="E116" s="17" t="s">
        <v>663</v>
      </c>
      <c r="F116" s="128">
        <v>5755</v>
      </c>
      <c r="G116" s="135">
        <v>132</v>
      </c>
      <c r="H116" s="44">
        <f t="shared" si="6"/>
        <v>5887</v>
      </c>
      <c r="I116" s="18">
        <f>IFERROR(VLOOKUP($A116,'2.1 Toteut. op.vuodet'!$A:$Q,COLUMN('2.1 Toteut. op.vuodet'!Q:Q),FALSE),0)</f>
        <v>1.045351659070421</v>
      </c>
      <c r="J116" s="85">
        <f t="shared" si="7"/>
        <v>6154</v>
      </c>
      <c r="K116" s="19">
        <f>IFERROR(Ohj.lask.[[#This Row],[Painotetut opiskelija-vuodet]]/Ohj.lask.[[#Totals],[Painotetut opiskelija-vuodet]],0)</f>
        <v>3.0528807159040005E-2</v>
      </c>
      <c r="L116" s="20">
        <f>ROUND(IFERROR('1.1 Jakotaulu'!L$10*Ohj.lask.[[#This Row],[%-osuus 1]],0),0)</f>
        <v>36319954</v>
      </c>
      <c r="M116" s="349">
        <f>IFERROR(ROUND(VLOOKUP($A116,'2.2 Tutk. ja osien pain. pist.'!$A:$Q,COLUMN('2.2 Tutk. ja osien pain. pist.'!P:P),FALSE),1),0)</f>
        <v>520084.7</v>
      </c>
      <c r="N116" s="19">
        <f>IFERROR(Ohj.lask.[[#This Row],[Painotetut pisteet 2]]/Ohj.lask.[[#Totals],[Painotetut pisteet 2]],0)</f>
        <v>3.3235626705476841E-2</v>
      </c>
      <c r="O116" s="26">
        <f>ROUND(IFERROR('1.1 Jakotaulu'!K$11*Ohj.lask.[[#This Row],[%-osuus 2]],0),0)</f>
        <v>12306388</v>
      </c>
      <c r="P116" s="350">
        <f>IFERROR(ROUND(VLOOKUP($A116,'2.3 Työll. ja jatko-opisk.'!$A:$K,COLUMN('2.3 Työll. ja jatko-opisk.'!I:I),FALSE),1),0)</f>
        <v>6515.3</v>
      </c>
      <c r="Q116" s="19">
        <f>IFERROR(Ohj.lask.[[#This Row],[Painotetut pisteet 3]]/Ohj.lask.[[#Totals],[Painotetut pisteet 3]],0)</f>
        <v>3.4394453219362638E-2</v>
      </c>
      <c r="R116" s="20">
        <f>ROUND(IFERROR('1.1 Jakotaulu'!L$13*Ohj.lask.[[#This Row],[%-osuus 3]],0),0)</f>
        <v>4775803</v>
      </c>
      <c r="S116" s="349">
        <f>IFERROR(ROUND(VLOOKUP($A116,'2.4 Aloittaneet palaute'!$A:$K,COLUMN('2.4 Aloittaneet palaute'!J:J),FALSE),1),0)</f>
        <v>55133.3</v>
      </c>
      <c r="T116" s="23">
        <f>IFERROR(Ohj.lask.[[#This Row],[Painotetut pisteet 4]]/Ohj.lask.[[#Totals],[Painotetut pisteet 4]],0)</f>
        <v>4.4282466188951194E-2</v>
      </c>
      <c r="U116" s="26">
        <f>ROUND(IFERROR('1.1 Jakotaulu'!M$15*Ohj.lask.[[#This Row],[%-osuus 4]],0),0)</f>
        <v>512399</v>
      </c>
      <c r="V116" s="85">
        <f>IFERROR(ROUND(VLOOKUP($A116,'2.5 Päättäneet palaute'!$A:$AC,COLUMN('2.5 Päättäneet palaute'!AB:AB),FALSE),1),0)</f>
        <v>285453</v>
      </c>
      <c r="W116" s="23">
        <f>IFERROR(Ohj.lask.[[#This Row],[Painotetut pisteet 5]]/Ohj.lask.[[#Totals],[Painotetut pisteet 5]],0)</f>
        <v>4.310614822367085E-2</v>
      </c>
      <c r="X116" s="20">
        <f>ROUND(IFERROR('1.1 Jakotaulu'!M$16*Ohj.lask.[[#This Row],[%-osuus 5]],0),0)</f>
        <v>1496364</v>
      </c>
      <c r="Y116" s="22">
        <f>IFERROR(Ohj.lask.[[#This Row],[Jaettava € 6]]/Ohj.lask.[[#Totals],[Jaettava € 6]],"")</f>
        <v>3.1752100713583392E-2</v>
      </c>
      <c r="Z116" s="26">
        <f>IFERROR(Ohj.lask.[[#This Row],[Jaettava € 1]]+Ohj.lask.[[#This Row],[Jaettava € 2]]+Ohj.lask.[[#This Row],[Jaettava € 3]]+Ohj.lask.[[#This Row],[Jaettava € 4]]+Ohj.lask.[[#This Row],[Jaettava € 5]],"")</f>
        <v>55410908</v>
      </c>
      <c r="AA116" s="20">
        <v>130112</v>
      </c>
      <c r="AB116" s="20">
        <v>0</v>
      </c>
      <c r="AC116" s="21">
        <v>0</v>
      </c>
      <c r="AD116" s="20">
        <v>0</v>
      </c>
      <c r="AE116" s="21">
        <v>0</v>
      </c>
      <c r="AF116" s="20">
        <v>0</v>
      </c>
      <c r="AG116" s="21">
        <v>0</v>
      </c>
      <c r="AH116" s="20">
        <v>75000</v>
      </c>
      <c r="AI116" s="21">
        <v>50000</v>
      </c>
      <c r="AJ116" s="26">
        <v>50000</v>
      </c>
      <c r="AK116" s="20">
        <v>110000</v>
      </c>
      <c r="AL116" s="20">
        <v>50000</v>
      </c>
      <c r="AM116" s="21">
        <v>290112</v>
      </c>
      <c r="AN116" s="136">
        <v>175000</v>
      </c>
      <c r="AO116" s="20">
        <f>Ohj.lask.[[#This Row],[Jaettava € 1]]+Ohj.lask.[[#This Row],[Päätös 7, €]]</f>
        <v>36494954</v>
      </c>
      <c r="AP116" s="119">
        <f>Ohj.lask.[[#This Row],[Jaettava € 2]]</f>
        <v>12306388</v>
      </c>
      <c r="AQ116" s="20">
        <f>Ohj.lask.[[#This Row],[Jaettava € 3]]+Ohj.lask.[[#This Row],[Jaettava € 4]]+Ohj.lask.[[#This Row],[Jaettava € 5]]</f>
        <v>6784566</v>
      </c>
      <c r="AR116" s="45">
        <f>Ohj.lask.[[#This Row],[Jaettava € 6]]+Ohj.lask.[[#This Row],[Päätös 7, €]]</f>
        <v>55585908</v>
      </c>
      <c r="AS116" s="45">
        <f>ROUND(IFERROR(VLOOKUP(Ohj.lask.[[#This Row],[Y-tunnus]],'3.1 Alv vahvistettu'!A:Y,COLUMN(C:C),FALSE),0),0)</f>
        <v>0</v>
      </c>
      <c r="AT116" s="26">
        <f>Ohj.lask.[[#This Row],[Perus-, suoritus- ja vaikuttavuusrahoitus yhteensä, €]]+Ohj.lask.[[#This Row],[Alv-korvaus, €]]</f>
        <v>55585908</v>
      </c>
    </row>
    <row r="117" spans="1:46" ht="12.75" x14ac:dyDescent="0.2">
      <c r="A117" s="147" t="s">
        <v>290</v>
      </c>
      <c r="B117" s="17" t="s">
        <v>121</v>
      </c>
      <c r="C117" s="17" t="s">
        <v>271</v>
      </c>
      <c r="D117" s="17" t="s">
        <v>422</v>
      </c>
      <c r="E117" s="17" t="s">
        <v>663</v>
      </c>
      <c r="F117" s="128">
        <v>4109</v>
      </c>
      <c r="G117" s="135">
        <v>491</v>
      </c>
      <c r="H117" s="44">
        <f t="shared" si="6"/>
        <v>4600</v>
      </c>
      <c r="I117" s="18">
        <f>IFERROR(VLOOKUP($A117,'2.1 Toteut. op.vuodet'!$A:$Q,COLUMN('2.1 Toteut. op.vuodet'!Q:Q),FALSE),0)</f>
        <v>1.0887068450236783</v>
      </c>
      <c r="J117" s="85">
        <f t="shared" si="7"/>
        <v>5008.1000000000004</v>
      </c>
      <c r="K117" s="19">
        <f>IFERROR(Ohj.lask.[[#This Row],[Painotetut opiskelija-vuodet]]/Ohj.lask.[[#Totals],[Painotetut opiskelija-vuodet]],0)</f>
        <v>2.484421825368675E-2</v>
      </c>
      <c r="L117" s="20">
        <f>ROUND(IFERROR('1.1 Jakotaulu'!L$10*Ohj.lask.[[#This Row],[%-osuus 1]],0),0)</f>
        <v>29557030</v>
      </c>
      <c r="M117" s="349">
        <f>IFERROR(ROUND(VLOOKUP($A117,'2.2 Tutk. ja osien pain. pist.'!$A:$Q,COLUMN('2.2 Tutk. ja osien pain. pist.'!P:P),FALSE),1),0)</f>
        <v>426936.5</v>
      </c>
      <c r="N117" s="19">
        <f>IFERROR(Ohj.lask.[[#This Row],[Painotetut pisteet 2]]/Ohj.lask.[[#Totals],[Painotetut pisteet 2]],0)</f>
        <v>2.7283060126442507E-2</v>
      </c>
      <c r="O117" s="26">
        <f>ROUND(IFERROR('1.1 Jakotaulu'!K$11*Ohj.lask.[[#This Row],[%-osuus 2]],0),0)</f>
        <v>10102290</v>
      </c>
      <c r="P117" s="350">
        <f>IFERROR(ROUND(VLOOKUP($A117,'2.3 Työll. ja jatko-opisk.'!$A:$K,COLUMN('2.3 Työll. ja jatko-opisk.'!I:I),FALSE),1),0)</f>
        <v>5183.3999999999996</v>
      </c>
      <c r="Q117" s="19">
        <f>IFERROR(Ohj.lask.[[#This Row],[Painotetut pisteet 3]]/Ohj.lask.[[#Totals],[Painotetut pisteet 3]],0)</f>
        <v>2.736331539871445E-2</v>
      </c>
      <c r="R117" s="20">
        <f>ROUND(IFERROR('1.1 Jakotaulu'!L$13*Ohj.lask.[[#This Row],[%-osuus 3]],0),0)</f>
        <v>3799502</v>
      </c>
      <c r="S117" s="349">
        <f>IFERROR(ROUND(VLOOKUP($A117,'2.4 Aloittaneet palaute'!$A:$K,COLUMN('2.4 Aloittaneet palaute'!J:J),FALSE),1),0)</f>
        <v>31947</v>
      </c>
      <c r="T117" s="23">
        <f>IFERROR(Ohj.lask.[[#This Row],[Painotetut pisteet 4]]/Ohj.lask.[[#Totals],[Painotetut pisteet 4]],0)</f>
        <v>2.5659482514894333E-2</v>
      </c>
      <c r="U117" s="26">
        <f>ROUND(IFERROR('1.1 Jakotaulu'!M$15*Ohj.lask.[[#This Row],[%-osuus 4]],0),0)</f>
        <v>296910</v>
      </c>
      <c r="V117" s="85">
        <f>IFERROR(ROUND(VLOOKUP($A117,'2.5 Päättäneet palaute'!$A:$AC,COLUMN('2.5 Päättäneet palaute'!AB:AB),FALSE),1),0)</f>
        <v>238959.1</v>
      </c>
      <c r="W117" s="23">
        <f>IFERROR(Ohj.lask.[[#This Row],[Painotetut pisteet 5]]/Ohj.lask.[[#Totals],[Painotetut pisteet 5]],0)</f>
        <v>3.608512218822358E-2</v>
      </c>
      <c r="X117" s="20">
        <f>ROUND(IFERROR('1.1 Jakotaulu'!M$16*Ohj.lask.[[#This Row],[%-osuus 5]],0),0)</f>
        <v>1252640</v>
      </c>
      <c r="Y117" s="22">
        <f>IFERROR(Ohj.lask.[[#This Row],[Jaettava € 6]]/Ohj.lask.[[#Totals],[Jaettava € 6]],"")</f>
        <v>2.5791137743103338E-2</v>
      </c>
      <c r="Z117" s="26">
        <f>IFERROR(Ohj.lask.[[#This Row],[Jaettava € 1]]+Ohj.lask.[[#This Row],[Jaettava € 2]]+Ohj.lask.[[#This Row],[Jaettava € 3]]+Ohj.lask.[[#This Row],[Jaettava € 4]]+Ohj.lask.[[#This Row],[Jaettava € 5]],"")</f>
        <v>45008372</v>
      </c>
      <c r="AA117" s="20">
        <v>0</v>
      </c>
      <c r="AB117" s="20">
        <v>0</v>
      </c>
      <c r="AC117" s="21">
        <v>0</v>
      </c>
      <c r="AD117" s="20">
        <v>0</v>
      </c>
      <c r="AE117" s="21">
        <v>380000</v>
      </c>
      <c r="AF117" s="20">
        <v>0</v>
      </c>
      <c r="AG117" s="21">
        <v>500000</v>
      </c>
      <c r="AH117" s="20">
        <v>0</v>
      </c>
      <c r="AI117" s="21">
        <v>100000</v>
      </c>
      <c r="AJ117" s="26">
        <v>0</v>
      </c>
      <c r="AK117" s="20">
        <v>35000</v>
      </c>
      <c r="AL117" s="20">
        <v>15000</v>
      </c>
      <c r="AM117" s="21">
        <v>1015000</v>
      </c>
      <c r="AN117" s="136">
        <v>15000</v>
      </c>
      <c r="AO117" s="20">
        <f>Ohj.lask.[[#This Row],[Jaettava € 1]]+Ohj.lask.[[#This Row],[Päätös 7, €]]</f>
        <v>29572030</v>
      </c>
      <c r="AP117" s="119">
        <f>Ohj.lask.[[#This Row],[Jaettava € 2]]</f>
        <v>10102290</v>
      </c>
      <c r="AQ117" s="20">
        <f>Ohj.lask.[[#This Row],[Jaettava € 3]]+Ohj.lask.[[#This Row],[Jaettava € 4]]+Ohj.lask.[[#This Row],[Jaettava € 5]]</f>
        <v>5349052</v>
      </c>
      <c r="AR117" s="45">
        <f>Ohj.lask.[[#This Row],[Jaettava € 6]]+Ohj.lask.[[#This Row],[Päätös 7, €]]</f>
        <v>45023372</v>
      </c>
      <c r="AS117" s="45">
        <f>ROUND(IFERROR(VLOOKUP(Ohj.lask.[[#This Row],[Y-tunnus]],'3.1 Alv vahvistettu'!A:Y,COLUMN(C:C),FALSE),0),0)</f>
        <v>0</v>
      </c>
      <c r="AT117" s="26">
        <f>Ohj.lask.[[#This Row],[Perus-, suoritus- ja vaikuttavuusrahoitus yhteensä, €]]+Ohj.lask.[[#This Row],[Alv-korvaus, €]]</f>
        <v>45023372</v>
      </c>
    </row>
    <row r="118" spans="1:46" ht="12.75" x14ac:dyDescent="0.2">
      <c r="A118" s="147" t="s">
        <v>289</v>
      </c>
      <c r="B118" s="17" t="s">
        <v>122</v>
      </c>
      <c r="C118" s="17" t="s">
        <v>238</v>
      </c>
      <c r="D118" s="17" t="s">
        <v>423</v>
      </c>
      <c r="E118" s="17" t="s">
        <v>663</v>
      </c>
      <c r="F118" s="128">
        <v>1564</v>
      </c>
      <c r="G118" s="135">
        <v>320</v>
      </c>
      <c r="H118" s="44">
        <f t="shared" si="6"/>
        <v>1884</v>
      </c>
      <c r="I118" s="18">
        <f>IFERROR(VLOOKUP($A118,'2.1 Toteut. op.vuodet'!$A:$Q,COLUMN('2.1 Toteut. op.vuodet'!Q:Q),FALSE),0)</f>
        <v>1.0921227129333737</v>
      </c>
      <c r="J118" s="85">
        <f t="shared" si="7"/>
        <v>2057.6</v>
      </c>
      <c r="K118" s="19">
        <f>IFERROR(Ohj.lask.[[#This Row],[Painotetut opiskelija-vuodet]]/Ohj.lask.[[#Totals],[Painotetut opiskelija-vuodet]],0)</f>
        <v>1.0207356777777172E-2</v>
      </c>
      <c r="L118" s="20">
        <f>ROUND(IFERROR('1.1 Jakotaulu'!L$10*Ohj.lask.[[#This Row],[%-osuus 1]],0),0)</f>
        <v>12143636</v>
      </c>
      <c r="M118" s="349">
        <f>IFERROR(ROUND(VLOOKUP($A118,'2.2 Tutk. ja osien pain. pist.'!$A:$Q,COLUMN('2.2 Tutk. ja osien pain. pist.'!P:P),FALSE),1),0)</f>
        <v>170525.6</v>
      </c>
      <c r="N118" s="19">
        <f>IFERROR(Ohj.lask.[[#This Row],[Painotetut pisteet 2]]/Ohj.lask.[[#Totals],[Painotetut pisteet 2]],0)</f>
        <v>1.0897311890404509E-2</v>
      </c>
      <c r="O118" s="26">
        <f>ROUND(IFERROR('1.1 Jakotaulu'!K$11*Ohj.lask.[[#This Row],[%-osuus 2]],0),0)</f>
        <v>4035024</v>
      </c>
      <c r="P118" s="350">
        <f>IFERROR(ROUND(VLOOKUP($A118,'2.3 Työll. ja jatko-opisk.'!$A:$K,COLUMN('2.3 Työll. ja jatko-opisk.'!I:I),FALSE),1),0)</f>
        <v>1661.3</v>
      </c>
      <c r="Q118" s="19">
        <f>IFERROR(Ohj.lask.[[#This Row],[Painotetut pisteet 3]]/Ohj.lask.[[#Totals],[Painotetut pisteet 3]],0)</f>
        <v>8.7700497495628964E-3</v>
      </c>
      <c r="R118" s="20">
        <f>ROUND(IFERROR('1.1 Jakotaulu'!L$13*Ohj.lask.[[#This Row],[%-osuus 3]],0),0)</f>
        <v>1217755</v>
      </c>
      <c r="S118" s="349">
        <f>IFERROR(ROUND(VLOOKUP($A118,'2.4 Aloittaneet palaute'!$A:$K,COLUMN('2.4 Aloittaneet palaute'!J:J),FALSE),1),0)</f>
        <v>14497.1</v>
      </c>
      <c r="T118" s="23">
        <f>IFERROR(Ohj.lask.[[#This Row],[Painotetut pisteet 4]]/Ohj.lask.[[#Totals],[Painotetut pisteet 4]],0)</f>
        <v>1.1643912854624053E-2</v>
      </c>
      <c r="U118" s="26">
        <f>ROUND(IFERROR('1.1 Jakotaulu'!M$15*Ohj.lask.[[#This Row],[%-osuus 4]],0),0)</f>
        <v>134734</v>
      </c>
      <c r="V118" s="85">
        <f>IFERROR(ROUND(VLOOKUP($A118,'2.5 Päättäneet palaute'!$A:$AC,COLUMN('2.5 Päättäneet palaute'!AB:AB),FALSE),1),0)</f>
        <v>99642.5</v>
      </c>
      <c r="W118" s="23">
        <f>IFERROR(Ohj.lask.[[#This Row],[Painotetut pisteet 5]]/Ohj.lask.[[#Totals],[Painotetut pisteet 5]],0)</f>
        <v>1.5046975769661285E-2</v>
      </c>
      <c r="X118" s="20">
        <f>ROUND(IFERROR('1.1 Jakotaulu'!M$16*Ohj.lask.[[#This Row],[%-osuus 5]],0),0)</f>
        <v>522333</v>
      </c>
      <c r="Y118" s="22">
        <f>IFERROR(Ohj.lask.[[#This Row],[Jaettava € 6]]/Ohj.lask.[[#Totals],[Jaettava € 6]],"")</f>
        <v>1.0345182914072892E-2</v>
      </c>
      <c r="Z118" s="26">
        <f>IFERROR(Ohj.lask.[[#This Row],[Jaettava € 1]]+Ohj.lask.[[#This Row],[Jaettava € 2]]+Ohj.lask.[[#This Row],[Jaettava € 3]]+Ohj.lask.[[#This Row],[Jaettava € 4]]+Ohj.lask.[[#This Row],[Jaettava € 5]],"")</f>
        <v>18053482</v>
      </c>
      <c r="AA118" s="20">
        <v>0</v>
      </c>
      <c r="AB118" s="20">
        <v>0</v>
      </c>
      <c r="AC118" s="21">
        <v>0</v>
      </c>
      <c r="AD118" s="20">
        <v>0</v>
      </c>
      <c r="AE118" s="21">
        <v>0</v>
      </c>
      <c r="AF118" s="20">
        <v>0</v>
      </c>
      <c r="AG118" s="21">
        <v>0</v>
      </c>
      <c r="AH118" s="20">
        <v>0</v>
      </c>
      <c r="AI118" s="21">
        <v>48000</v>
      </c>
      <c r="AJ118" s="26">
        <v>48000</v>
      </c>
      <c r="AK118" s="20">
        <v>0</v>
      </c>
      <c r="AL118" s="20">
        <v>0</v>
      </c>
      <c r="AM118" s="21">
        <v>48000</v>
      </c>
      <c r="AN118" s="136">
        <v>48000</v>
      </c>
      <c r="AO118" s="20">
        <f>Ohj.lask.[[#This Row],[Jaettava € 1]]+Ohj.lask.[[#This Row],[Päätös 7, €]]</f>
        <v>12191636</v>
      </c>
      <c r="AP118" s="119">
        <f>Ohj.lask.[[#This Row],[Jaettava € 2]]</f>
        <v>4035024</v>
      </c>
      <c r="AQ118" s="20">
        <f>Ohj.lask.[[#This Row],[Jaettava € 3]]+Ohj.lask.[[#This Row],[Jaettava € 4]]+Ohj.lask.[[#This Row],[Jaettava € 5]]</f>
        <v>1874822</v>
      </c>
      <c r="AR118" s="45">
        <f>Ohj.lask.[[#This Row],[Jaettava € 6]]+Ohj.lask.[[#This Row],[Päätös 7, €]]</f>
        <v>18101482</v>
      </c>
      <c r="AS118" s="45">
        <f>ROUND(IFERROR(VLOOKUP(Ohj.lask.[[#This Row],[Y-tunnus]],'3.1 Alv vahvistettu'!A:Y,COLUMN(C:C),FALSE),0),0)</f>
        <v>420150</v>
      </c>
      <c r="AT118" s="26">
        <f>Ohj.lask.[[#This Row],[Perus-, suoritus- ja vaikuttavuusrahoitus yhteensä, €]]+Ohj.lask.[[#This Row],[Alv-korvaus, €]]</f>
        <v>18521632</v>
      </c>
    </row>
    <row r="119" spans="1:46" ht="12.75" x14ac:dyDescent="0.2">
      <c r="A119" s="147" t="s">
        <v>288</v>
      </c>
      <c r="B119" s="17" t="s">
        <v>184</v>
      </c>
      <c r="C119" s="17" t="s">
        <v>287</v>
      </c>
      <c r="D119" s="17" t="s">
        <v>423</v>
      </c>
      <c r="E119" s="17" t="s">
        <v>663</v>
      </c>
      <c r="F119" s="128">
        <v>49</v>
      </c>
      <c r="G119" s="135">
        <v>39</v>
      </c>
      <c r="H119" s="44">
        <f t="shared" si="6"/>
        <v>88</v>
      </c>
      <c r="I119" s="18">
        <f>IFERROR(VLOOKUP($A119,'2.1 Toteut. op.vuodet'!$A:$Q,COLUMN('2.1 Toteut. op.vuodet'!Q:Q),FALSE),0)</f>
        <v>0.86</v>
      </c>
      <c r="J119" s="85">
        <f t="shared" si="7"/>
        <v>75.7</v>
      </c>
      <c r="K119" s="19">
        <f>IFERROR(Ohj.lask.[[#This Row],[Painotetut opiskelija-vuodet]]/Ohj.lask.[[#Totals],[Painotetut opiskelija-vuodet]],0)</f>
        <v>3.755331007376224E-4</v>
      </c>
      <c r="L119" s="20">
        <f>ROUND(IFERROR('1.1 Jakotaulu'!L$10*Ohj.lask.[[#This Row],[%-osuus 1]],0),0)</f>
        <v>446770</v>
      </c>
      <c r="M119" s="349">
        <f>IFERROR(ROUND(VLOOKUP($A119,'2.2 Tutk. ja osien pain. pist.'!$A:$Q,COLUMN('2.2 Tutk. ja osien pain. pist.'!P:P),FALSE),1),0)</f>
        <v>0</v>
      </c>
      <c r="N119" s="19">
        <f>IFERROR(Ohj.lask.[[#This Row],[Painotetut pisteet 2]]/Ohj.lask.[[#Totals],[Painotetut pisteet 2]],0)</f>
        <v>0</v>
      </c>
      <c r="O119" s="26">
        <f>ROUND(IFERROR('1.1 Jakotaulu'!K$11*Ohj.lask.[[#This Row],[%-osuus 2]],0),0)</f>
        <v>0</v>
      </c>
      <c r="P119" s="350">
        <f>IFERROR(ROUND(VLOOKUP($A119,'2.3 Työll. ja jatko-opisk.'!$A:$K,COLUMN('2.3 Työll. ja jatko-opisk.'!I:I),FALSE),1),0)</f>
        <v>0</v>
      </c>
      <c r="Q119" s="19">
        <f>IFERROR(Ohj.lask.[[#This Row],[Painotetut pisteet 3]]/Ohj.lask.[[#Totals],[Painotetut pisteet 3]],0)</f>
        <v>0</v>
      </c>
      <c r="R119" s="20">
        <f>ROUND(IFERROR('1.1 Jakotaulu'!L$13*Ohj.lask.[[#This Row],[%-osuus 3]],0),0)</f>
        <v>0</v>
      </c>
      <c r="S119" s="349">
        <f>IFERROR(ROUND(VLOOKUP($A119,'2.4 Aloittaneet palaute'!$A:$K,COLUMN('2.4 Aloittaneet palaute'!J:J),FALSE),1),0)</f>
        <v>0</v>
      </c>
      <c r="T119" s="23">
        <f>IFERROR(Ohj.lask.[[#This Row],[Painotetut pisteet 4]]/Ohj.lask.[[#Totals],[Painotetut pisteet 4]],0)</f>
        <v>0</v>
      </c>
      <c r="U119" s="26">
        <f>ROUND(IFERROR('1.1 Jakotaulu'!M$15*Ohj.lask.[[#This Row],[%-osuus 4]],0),0)</f>
        <v>0</v>
      </c>
      <c r="V119" s="85">
        <f>IFERROR(ROUND(VLOOKUP($A119,'2.5 Päättäneet palaute'!$A:$AC,COLUMN('2.5 Päättäneet palaute'!AB:AB),FALSE),1),0)</f>
        <v>0</v>
      </c>
      <c r="W119" s="23">
        <f>IFERROR(Ohj.lask.[[#This Row],[Painotetut pisteet 5]]/Ohj.lask.[[#Totals],[Painotetut pisteet 5]],0)</f>
        <v>0</v>
      </c>
      <c r="X119" s="20">
        <f>ROUND(IFERROR('1.1 Jakotaulu'!M$16*Ohj.lask.[[#This Row],[%-osuus 5]],0),0)</f>
        <v>0</v>
      </c>
      <c r="Y119" s="22">
        <f>IFERROR(Ohj.lask.[[#This Row],[Jaettava € 6]]/Ohj.lask.[[#Totals],[Jaettava € 6]],"")</f>
        <v>2.5601251717094497E-4</v>
      </c>
      <c r="Z119" s="26">
        <f>IFERROR(Ohj.lask.[[#This Row],[Jaettava € 1]]+Ohj.lask.[[#This Row],[Jaettava € 2]]+Ohj.lask.[[#This Row],[Jaettava € 3]]+Ohj.lask.[[#This Row],[Jaettava € 4]]+Ohj.lask.[[#This Row],[Jaettava € 5]],"")</f>
        <v>446770</v>
      </c>
      <c r="AA119" s="20">
        <v>6400000</v>
      </c>
      <c r="AB119" s="20">
        <v>6000000</v>
      </c>
      <c r="AC119" s="21">
        <v>0</v>
      </c>
      <c r="AD119" s="20">
        <v>0</v>
      </c>
      <c r="AE119" s="21">
        <v>0</v>
      </c>
      <c r="AF119" s="20">
        <v>0</v>
      </c>
      <c r="AG119" s="21">
        <v>0</v>
      </c>
      <c r="AH119" s="20">
        <v>0</v>
      </c>
      <c r="AI119" s="21">
        <v>0</v>
      </c>
      <c r="AJ119" s="26">
        <v>0</v>
      </c>
      <c r="AK119" s="20">
        <v>0</v>
      </c>
      <c r="AL119" s="20">
        <v>0</v>
      </c>
      <c r="AM119" s="21">
        <v>6400000</v>
      </c>
      <c r="AN119" s="136">
        <v>6000000</v>
      </c>
      <c r="AO119" s="20">
        <f>Ohj.lask.[[#This Row],[Jaettava € 1]]+Ohj.lask.[[#This Row],[Päätös 7, €]]</f>
        <v>6446770</v>
      </c>
      <c r="AP119" s="119">
        <f>Ohj.lask.[[#This Row],[Jaettava € 2]]</f>
        <v>0</v>
      </c>
      <c r="AQ119" s="20">
        <f>Ohj.lask.[[#This Row],[Jaettava € 3]]+Ohj.lask.[[#This Row],[Jaettava € 4]]+Ohj.lask.[[#This Row],[Jaettava € 5]]</f>
        <v>0</v>
      </c>
      <c r="AR119" s="45">
        <f>Ohj.lask.[[#This Row],[Jaettava € 6]]+Ohj.lask.[[#This Row],[Päätös 7, €]]</f>
        <v>6446770</v>
      </c>
      <c r="AS119" s="45">
        <f>ROUND(IFERROR(VLOOKUP(Ohj.lask.[[#This Row],[Y-tunnus]],'3.1 Alv vahvistettu'!A:Y,COLUMN(C:C),FALSE),0),0)</f>
        <v>1249940</v>
      </c>
      <c r="AT119" s="26">
        <f>Ohj.lask.[[#This Row],[Perus-, suoritus- ja vaikuttavuusrahoitus yhteensä, €]]+Ohj.lask.[[#This Row],[Alv-korvaus, €]]</f>
        <v>7696710</v>
      </c>
    </row>
    <row r="120" spans="1:46" ht="12.75" x14ac:dyDescent="0.2">
      <c r="A120" s="147" t="s">
        <v>286</v>
      </c>
      <c r="B120" s="17" t="s">
        <v>123</v>
      </c>
      <c r="C120" s="17" t="s">
        <v>238</v>
      </c>
      <c r="D120" s="17" t="s">
        <v>423</v>
      </c>
      <c r="E120" s="17" t="s">
        <v>663</v>
      </c>
      <c r="F120" s="128">
        <v>27</v>
      </c>
      <c r="G120" s="135">
        <v>0</v>
      </c>
      <c r="H120" s="44">
        <f t="shared" si="6"/>
        <v>27</v>
      </c>
      <c r="I120" s="18">
        <f>IFERROR(VLOOKUP($A120,'2.1 Toteut. op.vuodet'!$A:$Q,COLUMN('2.1 Toteut. op.vuodet'!Q:Q),FALSE),0)</f>
        <v>1.2299999999999989</v>
      </c>
      <c r="J120" s="85">
        <f t="shared" si="7"/>
        <v>33.200000000000003</v>
      </c>
      <c r="K120" s="19">
        <f>IFERROR(Ohj.lask.[[#This Row],[Painotetut opiskelija-vuodet]]/Ohj.lask.[[#Totals],[Painotetut opiskelija-vuodet]],0)</f>
        <v>1.64698797153092E-4</v>
      </c>
      <c r="L120" s="20">
        <f>ROUND(IFERROR('1.1 Jakotaulu'!L$10*Ohj.lask.[[#This Row],[%-osuus 1]],0),0)</f>
        <v>195941</v>
      </c>
      <c r="M120" s="349">
        <f>IFERROR(ROUND(VLOOKUP($A120,'2.2 Tutk. ja osien pain. pist.'!$A:$Q,COLUMN('2.2 Tutk. ja osien pain. pist.'!P:P),FALSE),1),0)</f>
        <v>2952.2</v>
      </c>
      <c r="N120" s="19">
        <f>IFERROR(Ohj.lask.[[#This Row],[Painotetut pisteet 2]]/Ohj.lask.[[#Totals],[Painotetut pisteet 2]],0)</f>
        <v>1.8865814964352679E-4</v>
      </c>
      <c r="O120" s="26">
        <f>ROUND(IFERROR('1.1 Jakotaulu'!K$11*Ohj.lask.[[#This Row],[%-osuus 2]],0),0)</f>
        <v>69856</v>
      </c>
      <c r="P120" s="350">
        <f>IFERROR(ROUND(VLOOKUP($A120,'2.3 Työll. ja jatko-opisk.'!$A:$K,COLUMN('2.3 Työll. ja jatko-opisk.'!I:I),FALSE),1),0)</f>
        <v>22.5</v>
      </c>
      <c r="Q120" s="19">
        <f>IFERROR(Ohj.lask.[[#This Row],[Painotetut pisteet 3]]/Ohj.lask.[[#Totals],[Painotetut pisteet 3]],0)</f>
        <v>1.1877813722095057E-4</v>
      </c>
      <c r="R120" s="20">
        <f>ROUND(IFERROR('1.1 Jakotaulu'!L$13*Ohj.lask.[[#This Row],[%-osuus 3]],0),0)</f>
        <v>16493</v>
      </c>
      <c r="S120" s="349">
        <f>IFERROR(ROUND(VLOOKUP($A120,'2.4 Aloittaneet palaute'!$A:$K,COLUMN('2.4 Aloittaneet palaute'!J:J),FALSE),1),0)</f>
        <v>160</v>
      </c>
      <c r="T120" s="23">
        <f>IFERROR(Ohj.lask.[[#This Row],[Painotetut pisteet 4]]/Ohj.lask.[[#Totals],[Painotetut pisteet 4]],0)</f>
        <v>1.2851025768876868E-4</v>
      </c>
      <c r="U120" s="26">
        <f>ROUND(IFERROR('1.1 Jakotaulu'!M$15*Ohj.lask.[[#This Row],[%-osuus 4]],0),0)</f>
        <v>1487</v>
      </c>
      <c r="V120" s="85">
        <f>IFERROR(ROUND(VLOOKUP($A120,'2.5 Päättäneet palaute'!$A:$AC,COLUMN('2.5 Päättäneet palaute'!AB:AB),FALSE),1),0)</f>
        <v>1602</v>
      </c>
      <c r="W120" s="23">
        <f>IFERROR(Ohj.lask.[[#This Row],[Painotetut pisteet 5]]/Ohj.lask.[[#Totals],[Painotetut pisteet 5]],0)</f>
        <v>2.4191740655842012E-4</v>
      </c>
      <c r="X120" s="20">
        <f>ROUND(IFERROR('1.1 Jakotaulu'!M$16*Ohj.lask.[[#This Row],[%-osuus 5]],0),0)</f>
        <v>8398</v>
      </c>
      <c r="Y120" s="22">
        <f>IFERROR(Ohj.lask.[[#This Row],[Jaettava € 6]]/Ohj.lask.[[#Totals],[Jaettava € 6]],"")</f>
        <v>1.6742497751509914E-4</v>
      </c>
      <c r="Z120" s="26">
        <f>IFERROR(Ohj.lask.[[#This Row],[Jaettava € 1]]+Ohj.lask.[[#This Row],[Jaettava € 2]]+Ohj.lask.[[#This Row],[Jaettava € 3]]+Ohj.lask.[[#This Row],[Jaettava € 4]]+Ohj.lask.[[#This Row],[Jaettava € 5]],"")</f>
        <v>292175</v>
      </c>
      <c r="AA120" s="20">
        <v>320000</v>
      </c>
      <c r="AB120" s="20">
        <v>250000</v>
      </c>
      <c r="AC120" s="21">
        <v>0</v>
      </c>
      <c r="AD120" s="20">
        <v>0</v>
      </c>
      <c r="AE120" s="21">
        <v>0</v>
      </c>
      <c r="AF120" s="20">
        <v>0</v>
      </c>
      <c r="AG120" s="21">
        <v>0</v>
      </c>
      <c r="AH120" s="20">
        <v>0</v>
      </c>
      <c r="AI120" s="21">
        <v>0</v>
      </c>
      <c r="AJ120" s="26">
        <v>0</v>
      </c>
      <c r="AK120" s="20">
        <v>0</v>
      </c>
      <c r="AL120" s="20">
        <v>0</v>
      </c>
      <c r="AM120" s="21">
        <v>320000</v>
      </c>
      <c r="AN120" s="136">
        <v>250000</v>
      </c>
      <c r="AO120" s="20">
        <f>Ohj.lask.[[#This Row],[Jaettava € 1]]+Ohj.lask.[[#This Row],[Päätös 7, €]]</f>
        <v>445941</v>
      </c>
      <c r="AP120" s="119">
        <f>Ohj.lask.[[#This Row],[Jaettava € 2]]</f>
        <v>69856</v>
      </c>
      <c r="AQ120" s="20">
        <f>Ohj.lask.[[#This Row],[Jaettava € 3]]+Ohj.lask.[[#This Row],[Jaettava € 4]]+Ohj.lask.[[#This Row],[Jaettava € 5]]</f>
        <v>26378</v>
      </c>
      <c r="AR120" s="45">
        <f>Ohj.lask.[[#This Row],[Jaettava € 6]]+Ohj.lask.[[#This Row],[Päätös 7, €]]</f>
        <v>542175</v>
      </c>
      <c r="AS120" s="45">
        <f>ROUND(IFERROR(VLOOKUP(Ohj.lask.[[#This Row],[Y-tunnus]],'3.1 Alv vahvistettu'!A:Y,COLUMN(C:C),FALSE),0),0)</f>
        <v>49587</v>
      </c>
      <c r="AT120" s="26">
        <f>Ohj.lask.[[#This Row],[Perus-, suoritus- ja vaikuttavuusrahoitus yhteensä, €]]+Ohj.lask.[[#This Row],[Alv-korvaus, €]]</f>
        <v>591762</v>
      </c>
    </row>
    <row r="121" spans="1:46" ht="12.75" x14ac:dyDescent="0.2">
      <c r="A121" s="147" t="s">
        <v>285</v>
      </c>
      <c r="B121" s="17" t="s">
        <v>155</v>
      </c>
      <c r="C121" s="17" t="s">
        <v>238</v>
      </c>
      <c r="D121" s="17" t="s">
        <v>423</v>
      </c>
      <c r="E121" s="17" t="s">
        <v>663</v>
      </c>
      <c r="F121" s="128">
        <v>21</v>
      </c>
      <c r="G121" s="135">
        <v>0</v>
      </c>
      <c r="H121" s="44">
        <f t="shared" si="6"/>
        <v>21</v>
      </c>
      <c r="I121" s="18">
        <f>IFERROR(VLOOKUP($A121,'2.1 Toteut. op.vuodet'!$A:$Q,COLUMN('2.1 Toteut. op.vuodet'!Q:Q),FALSE),0)</f>
        <v>0.94709999999999972</v>
      </c>
      <c r="J121" s="85">
        <f t="shared" si="7"/>
        <v>19.899999999999999</v>
      </c>
      <c r="K121" s="19">
        <f>IFERROR(Ohj.lask.[[#This Row],[Painotetut opiskelija-vuodet]]/Ohj.lask.[[#Totals],[Painotetut opiskelija-vuodet]],0)</f>
        <v>9.8720062148991875E-5</v>
      </c>
      <c r="L121" s="20">
        <f>ROUND(IFERROR('1.1 Jakotaulu'!L$10*Ohj.lask.[[#This Row],[%-osuus 1]],0),0)</f>
        <v>117447</v>
      </c>
      <c r="M121" s="349">
        <f>IFERROR(ROUND(VLOOKUP($A121,'2.2 Tutk. ja osien pain. pist.'!$A:$Q,COLUMN('2.2 Tutk. ja osien pain. pist.'!P:P),FALSE),1),0)</f>
        <v>2008.4</v>
      </c>
      <c r="N121" s="19">
        <f>IFERROR(Ohj.lask.[[#This Row],[Painotetut pisteet 2]]/Ohj.lask.[[#Totals],[Painotetut pisteet 2]],0)</f>
        <v>1.2834531120657787E-4</v>
      </c>
      <c r="O121" s="26">
        <f>ROUND(IFERROR('1.1 Jakotaulu'!K$11*Ohj.lask.[[#This Row],[%-osuus 2]],0),0)</f>
        <v>47523</v>
      </c>
      <c r="P121" s="350">
        <f>IFERROR(ROUND(VLOOKUP($A121,'2.3 Työll. ja jatko-opisk.'!$A:$K,COLUMN('2.3 Työll. ja jatko-opisk.'!I:I),FALSE),1),0)</f>
        <v>33.299999999999997</v>
      </c>
      <c r="Q121" s="19">
        <f>IFERROR(Ohj.lask.[[#This Row],[Painotetut pisteet 3]]/Ohj.lask.[[#Totals],[Painotetut pisteet 3]],0)</f>
        <v>1.7579164308700683E-4</v>
      </c>
      <c r="R121" s="20">
        <f>ROUND(IFERROR('1.1 Jakotaulu'!L$13*Ohj.lask.[[#This Row],[%-osuus 3]],0),0)</f>
        <v>24409</v>
      </c>
      <c r="S121" s="349">
        <f>IFERROR(ROUND(VLOOKUP($A121,'2.4 Aloittaneet palaute'!$A:$K,COLUMN('2.4 Aloittaneet palaute'!J:J),FALSE),1),0)</f>
        <v>0</v>
      </c>
      <c r="T121" s="19">
        <f>IFERROR(Ohj.lask.[[#This Row],[Painotetut pisteet 4]]/Ohj.lask.[[#Totals],[Painotetut pisteet 4]],0)</f>
        <v>0</v>
      </c>
      <c r="U121" s="26">
        <f>ROUND(IFERROR('1.1 Jakotaulu'!M$15*Ohj.lask.[[#This Row],[%-osuus 4]],0),0)</f>
        <v>0</v>
      </c>
      <c r="V121" s="85">
        <f>IFERROR(ROUND(VLOOKUP($A121,'2.5 Päättäneet palaute'!$A:$AC,COLUMN('2.5 Päättäneet palaute'!AB:AB),FALSE),1),0)</f>
        <v>0</v>
      </c>
      <c r="W121" s="19">
        <f>IFERROR(Ohj.lask.[[#This Row],[Painotetut pisteet 5]]/Ohj.lask.[[#Totals],[Painotetut pisteet 5]],0)</f>
        <v>0</v>
      </c>
      <c r="X121" s="20">
        <f>ROUND(IFERROR('1.1 Jakotaulu'!M$16*Ohj.lask.[[#This Row],[%-osuus 5]],0),0)</f>
        <v>0</v>
      </c>
      <c r="Y121" s="22">
        <f>IFERROR(Ohj.lask.[[#This Row],[Jaettava € 6]]/Ohj.lask.[[#Totals],[Jaettava € 6]],"")</f>
        <v>1.0851980770713429E-4</v>
      </c>
      <c r="Z121" s="26">
        <f>IFERROR(Ohj.lask.[[#This Row],[Jaettava € 1]]+Ohj.lask.[[#This Row],[Jaettava € 2]]+Ohj.lask.[[#This Row],[Jaettava € 3]]+Ohj.lask.[[#This Row],[Jaettava € 4]]+Ohj.lask.[[#This Row],[Jaettava € 5]],"")</f>
        <v>189379</v>
      </c>
      <c r="AA121" s="20">
        <v>0</v>
      </c>
      <c r="AB121" s="20">
        <v>0</v>
      </c>
      <c r="AC121" s="21">
        <v>0</v>
      </c>
      <c r="AD121" s="20">
        <v>0</v>
      </c>
      <c r="AE121" s="21">
        <v>0</v>
      </c>
      <c r="AF121" s="20">
        <v>0</v>
      </c>
      <c r="AG121" s="21">
        <v>0</v>
      </c>
      <c r="AH121" s="20">
        <v>0</v>
      </c>
      <c r="AI121" s="21">
        <v>0</v>
      </c>
      <c r="AJ121" s="26">
        <v>0</v>
      </c>
      <c r="AK121" s="20">
        <v>0</v>
      </c>
      <c r="AL121" s="20">
        <v>0</v>
      </c>
      <c r="AM121" s="21">
        <v>0</v>
      </c>
      <c r="AN121" s="136">
        <v>0</v>
      </c>
      <c r="AO121" s="20">
        <f>Ohj.lask.[[#This Row],[Jaettava € 1]]+Ohj.lask.[[#This Row],[Päätös 7, €]]</f>
        <v>117447</v>
      </c>
      <c r="AP121" s="119">
        <f>Ohj.lask.[[#This Row],[Jaettava € 2]]</f>
        <v>47523</v>
      </c>
      <c r="AQ121" s="20">
        <f>Ohj.lask.[[#This Row],[Jaettava € 3]]+Ohj.lask.[[#This Row],[Jaettava € 4]]+Ohj.lask.[[#This Row],[Jaettava € 5]]</f>
        <v>24409</v>
      </c>
      <c r="AR121" s="45">
        <f>Ohj.lask.[[#This Row],[Jaettava € 6]]+Ohj.lask.[[#This Row],[Päätös 7, €]]</f>
        <v>189379</v>
      </c>
      <c r="AS121" s="45">
        <f>ROUND(IFERROR(VLOOKUP(Ohj.lask.[[#This Row],[Y-tunnus]],'3.1 Alv vahvistettu'!A:Y,COLUMN(C:C),FALSE),0),0)</f>
        <v>10461</v>
      </c>
      <c r="AT121" s="26">
        <f>Ohj.lask.[[#This Row],[Perus-, suoritus- ja vaikuttavuusrahoitus yhteensä, €]]+Ohj.lask.[[#This Row],[Alv-korvaus, €]]</f>
        <v>199840</v>
      </c>
    </row>
    <row r="122" spans="1:46" ht="12.75" x14ac:dyDescent="0.2">
      <c r="A122" s="147" t="s">
        <v>284</v>
      </c>
      <c r="B122" s="17" t="s">
        <v>124</v>
      </c>
      <c r="C122" s="113" t="s">
        <v>272</v>
      </c>
      <c r="D122" s="113" t="s">
        <v>423</v>
      </c>
      <c r="E122" s="113" t="s">
        <v>663</v>
      </c>
      <c r="F122" s="127">
        <v>102</v>
      </c>
      <c r="G122" s="135">
        <v>0</v>
      </c>
      <c r="H122" s="44">
        <f t="shared" si="6"/>
        <v>102</v>
      </c>
      <c r="I122" s="18">
        <f>IFERROR(VLOOKUP($A122,'2.1 Toteut. op.vuodet'!$A:$Q,COLUMN('2.1 Toteut. op.vuodet'!Q:Q),FALSE),0)</f>
        <v>1.3422389004669324</v>
      </c>
      <c r="J122" s="85">
        <f t="shared" si="7"/>
        <v>136.9</v>
      </c>
      <c r="K122" s="19">
        <f>IFERROR(Ohj.lask.[[#This Row],[Painotetut opiskelija-vuodet]]/Ohj.lask.[[#Totals],[Painotetut opiskelija-vuodet]],0)</f>
        <v>6.7913449789934618E-4</v>
      </c>
      <c r="L122" s="20">
        <f>ROUND(IFERROR('1.1 Jakotaulu'!L$10*Ohj.lask.[[#This Row],[%-osuus 1]],0),0)</f>
        <v>807963</v>
      </c>
      <c r="M122" s="349">
        <f>IFERROR(ROUND(VLOOKUP($A122,'2.2 Tutk. ja osien pain. pist.'!$A:$Q,COLUMN('2.2 Tutk. ja osien pain. pist.'!P:P),FALSE),1),0)</f>
        <v>7484.2</v>
      </c>
      <c r="N122" s="19">
        <f>IFERROR(Ohj.lask.[[#This Row],[Painotetut pisteet 2]]/Ohj.lask.[[#Totals],[Painotetut pisteet 2]],0)</f>
        <v>4.7827224563447025E-4</v>
      </c>
      <c r="O122" s="26">
        <f>ROUND(IFERROR('1.1 Jakotaulu'!K$11*Ohj.lask.[[#This Row],[%-osuus 2]],0),0)</f>
        <v>177093</v>
      </c>
      <c r="P122" s="350">
        <f>IFERROR(ROUND(VLOOKUP($A122,'2.3 Työll. ja jatko-opisk.'!$A:$K,COLUMN('2.3 Työll. ja jatko-opisk.'!I:I),FALSE),1),0)</f>
        <v>103.8</v>
      </c>
      <c r="Q122" s="23">
        <f>IFERROR(Ohj.lask.[[#This Row],[Painotetut pisteet 3]]/Ohj.lask.[[#Totals],[Painotetut pisteet 3]],0)</f>
        <v>5.4796313971265198E-4</v>
      </c>
      <c r="R122" s="20">
        <f>ROUND(IFERROR('1.1 Jakotaulu'!L$13*Ohj.lask.[[#This Row],[%-osuus 3]],0),0)</f>
        <v>76087</v>
      </c>
      <c r="S122" s="349">
        <f>IFERROR(ROUND(VLOOKUP($A122,'2.4 Aloittaneet palaute'!$A:$K,COLUMN('2.4 Aloittaneet palaute'!J:J),FALSE),1),0)</f>
        <v>458</v>
      </c>
      <c r="T122" s="23">
        <f>IFERROR(Ohj.lask.[[#This Row],[Painotetut pisteet 4]]/Ohj.lask.[[#Totals],[Painotetut pisteet 4]],0)</f>
        <v>3.6786061263410037E-4</v>
      </c>
      <c r="U122" s="26">
        <f>ROUND(IFERROR('1.1 Jakotaulu'!M$15*Ohj.lask.[[#This Row],[%-osuus 4]],0),0)</f>
        <v>4257</v>
      </c>
      <c r="V122" s="85">
        <f>IFERROR(ROUND(VLOOKUP($A122,'2.5 Päättäneet palaute'!$A:$AC,COLUMN('2.5 Päättäneet palaute'!AB:AB),FALSE),1),0)</f>
        <v>3867.4</v>
      </c>
      <c r="W122" s="23">
        <f>IFERROR(Ohj.lask.[[#This Row],[Painotetut pisteet 5]]/Ohj.lask.[[#Totals],[Painotetut pisteet 5]],0)</f>
        <v>5.8401459308616351E-4</v>
      </c>
      <c r="X122" s="20">
        <f>ROUND(IFERROR('1.1 Jakotaulu'!M$16*Ohj.lask.[[#This Row],[%-osuus 5]],0),0)</f>
        <v>20273</v>
      </c>
      <c r="Y122" s="22">
        <f>IFERROR(Ohj.lask.[[#This Row],[Jaettava € 6]]/Ohj.lask.[[#Totals],[Jaettava € 6]],"")</f>
        <v>6.2212296607769399E-4</v>
      </c>
      <c r="Z122" s="26">
        <f>IFERROR(Ohj.lask.[[#This Row],[Jaettava € 1]]+Ohj.lask.[[#This Row],[Jaettava € 2]]+Ohj.lask.[[#This Row],[Jaettava € 3]]+Ohj.lask.[[#This Row],[Jaettava € 4]]+Ohj.lask.[[#This Row],[Jaettava € 5]],"")</f>
        <v>1085673</v>
      </c>
      <c r="AA122" s="20">
        <v>0</v>
      </c>
      <c r="AB122" s="20">
        <v>0</v>
      </c>
      <c r="AC122" s="21">
        <v>0</v>
      </c>
      <c r="AD122" s="20">
        <v>0</v>
      </c>
      <c r="AE122" s="21">
        <v>0</v>
      </c>
      <c r="AF122" s="20">
        <v>0</v>
      </c>
      <c r="AG122" s="21">
        <v>0</v>
      </c>
      <c r="AH122" s="20">
        <v>0</v>
      </c>
      <c r="AI122" s="21">
        <v>0</v>
      </c>
      <c r="AJ122" s="26">
        <v>0</v>
      </c>
      <c r="AK122" s="20">
        <v>0</v>
      </c>
      <c r="AL122" s="20">
        <v>0</v>
      </c>
      <c r="AM122" s="21">
        <v>0</v>
      </c>
      <c r="AN122" s="136">
        <v>0</v>
      </c>
      <c r="AO122" s="20">
        <f>Ohj.lask.[[#This Row],[Jaettava € 1]]+Ohj.lask.[[#This Row],[Päätös 7, €]]</f>
        <v>807963</v>
      </c>
      <c r="AP122" s="119">
        <f>Ohj.lask.[[#This Row],[Jaettava € 2]]</f>
        <v>177093</v>
      </c>
      <c r="AQ122" s="20">
        <f>Ohj.lask.[[#This Row],[Jaettava € 3]]+Ohj.lask.[[#This Row],[Jaettava € 4]]+Ohj.lask.[[#This Row],[Jaettava € 5]]</f>
        <v>100617</v>
      </c>
      <c r="AR122" s="45">
        <f>Ohj.lask.[[#This Row],[Jaettava € 6]]+Ohj.lask.[[#This Row],[Päätös 7, €]]</f>
        <v>1085673</v>
      </c>
      <c r="AS122" s="45">
        <f>ROUND(IFERROR(VLOOKUP(Ohj.lask.[[#This Row],[Y-tunnus]],'3.1 Alv vahvistettu'!A:Y,COLUMN(C:C),FALSE),0),0)</f>
        <v>106271</v>
      </c>
      <c r="AT122" s="26">
        <f>Ohj.lask.[[#This Row],[Perus-, suoritus- ja vaikuttavuusrahoitus yhteensä, €]]+Ohj.lask.[[#This Row],[Alv-korvaus, €]]</f>
        <v>1191944</v>
      </c>
    </row>
    <row r="123" spans="1:46" ht="12.75" x14ac:dyDescent="0.2">
      <c r="A123" s="147" t="s">
        <v>283</v>
      </c>
      <c r="B123" s="17" t="s">
        <v>125</v>
      </c>
      <c r="C123" s="113" t="s">
        <v>252</v>
      </c>
      <c r="D123" s="113" t="s">
        <v>423</v>
      </c>
      <c r="E123" s="113" t="s">
        <v>663</v>
      </c>
      <c r="F123" s="127">
        <v>218</v>
      </c>
      <c r="G123" s="135">
        <v>60</v>
      </c>
      <c r="H123" s="44">
        <f t="shared" si="6"/>
        <v>278</v>
      </c>
      <c r="I123" s="18">
        <f>IFERROR(VLOOKUP($A123,'2.1 Toteut. op.vuodet'!$A:$Q,COLUMN('2.1 Toteut. op.vuodet'!Q:Q),FALSE),0)</f>
        <v>1.2325419160148832</v>
      </c>
      <c r="J123" s="85">
        <f t="shared" si="7"/>
        <v>342.6</v>
      </c>
      <c r="K123" s="19">
        <f>IFERROR(Ohj.lask.[[#This Row],[Painotetut opiskelija-vuodet]]/Ohj.lask.[[#Totals],[Painotetut opiskelija-vuodet]],0)</f>
        <v>1.6995725272484735E-3</v>
      </c>
      <c r="L123" s="20">
        <f>ROUND(IFERROR('1.1 Jakotaulu'!L$10*Ohj.lask.[[#This Row],[%-osuus 1]],0),0)</f>
        <v>2021972</v>
      </c>
      <c r="M123" s="349">
        <f>IFERROR(ROUND(VLOOKUP($A123,'2.2 Tutk. ja osien pain. pist.'!$A:$Q,COLUMN('2.2 Tutk. ja osien pain. pist.'!P:P),FALSE),1),0)</f>
        <v>32587</v>
      </c>
      <c r="N123" s="19">
        <f>IFERROR(Ohj.lask.[[#This Row],[Painotetut pisteet 2]]/Ohj.lask.[[#Totals],[Painotetut pisteet 2]],0)</f>
        <v>2.0824480463497077E-3</v>
      </c>
      <c r="O123" s="26">
        <f>ROUND(IFERROR('1.1 Jakotaulu'!K$11*Ohj.lask.[[#This Row],[%-osuus 2]],0),0)</f>
        <v>771083</v>
      </c>
      <c r="P123" s="350">
        <f>IFERROR(ROUND(VLOOKUP($A123,'2.3 Työll. ja jatko-opisk.'!$A:$K,COLUMN('2.3 Työll. ja jatko-opisk.'!I:I),FALSE),1),0)</f>
        <v>247.2</v>
      </c>
      <c r="Q123" s="23">
        <f>IFERROR(Ohj.lask.[[#This Row],[Painotetut pisteet 3]]/Ohj.lask.[[#Totals],[Painotetut pisteet 3]],0)</f>
        <v>1.3049758009341769E-3</v>
      </c>
      <c r="R123" s="20">
        <f>ROUND(IFERROR('1.1 Jakotaulu'!L$13*Ohj.lask.[[#This Row],[%-osuus 3]],0),0)</f>
        <v>181201</v>
      </c>
      <c r="S123" s="349">
        <f>IFERROR(ROUND(VLOOKUP($A123,'2.4 Aloittaneet palaute'!$A:$K,COLUMN('2.4 Aloittaneet palaute'!J:J),FALSE),1),0)</f>
        <v>3462.2</v>
      </c>
      <c r="T123" s="23">
        <f>IFERROR(Ohj.lask.[[#This Row],[Painotetut pisteet 4]]/Ohj.lask.[[#Totals],[Painotetut pisteet 4]],0)</f>
        <v>2.7808013385628434E-3</v>
      </c>
      <c r="U123" s="26">
        <f>ROUND(IFERROR('1.1 Jakotaulu'!M$15*Ohj.lask.[[#This Row],[%-osuus 4]],0),0)</f>
        <v>32177</v>
      </c>
      <c r="V123" s="85">
        <f>IFERROR(ROUND(VLOOKUP($A123,'2.5 Päättäneet palaute'!$A:$AC,COLUMN('2.5 Päättäneet palaute'!AB:AB),FALSE),1),0)</f>
        <v>19372.5</v>
      </c>
      <c r="W123" s="23">
        <f>IFERROR(Ohj.lask.[[#This Row],[Painotetut pisteet 5]]/Ohj.lask.[[#Totals],[Painotetut pisteet 5]],0)</f>
        <v>2.9254338068370749E-3</v>
      </c>
      <c r="X123" s="20">
        <f>ROUND(IFERROR('1.1 Jakotaulu'!M$16*Ohj.lask.[[#This Row],[%-osuus 5]],0),0)</f>
        <v>101552</v>
      </c>
      <c r="Y123" s="22">
        <f>IFERROR(Ohj.lask.[[#This Row],[Jaettava € 6]]/Ohj.lask.[[#Totals],[Jaettava € 6]],"")</f>
        <v>1.7809679772131956E-3</v>
      </c>
      <c r="Z123" s="26">
        <f>IFERROR(Ohj.lask.[[#This Row],[Jaettava € 1]]+Ohj.lask.[[#This Row],[Jaettava € 2]]+Ohj.lask.[[#This Row],[Jaettava € 3]]+Ohj.lask.[[#This Row],[Jaettava € 4]]+Ohj.lask.[[#This Row],[Jaettava € 5]],"")</f>
        <v>3107985</v>
      </c>
      <c r="AA123" s="20">
        <v>0</v>
      </c>
      <c r="AB123" s="20">
        <v>0</v>
      </c>
      <c r="AC123" s="21">
        <v>0</v>
      </c>
      <c r="AD123" s="20">
        <v>0</v>
      </c>
      <c r="AE123" s="21">
        <v>0</v>
      </c>
      <c r="AF123" s="20">
        <v>0</v>
      </c>
      <c r="AG123" s="21">
        <v>0</v>
      </c>
      <c r="AH123" s="20">
        <v>0</v>
      </c>
      <c r="AI123" s="21">
        <v>0</v>
      </c>
      <c r="AJ123" s="26">
        <v>0</v>
      </c>
      <c r="AK123" s="20">
        <v>0</v>
      </c>
      <c r="AL123" s="20">
        <v>0</v>
      </c>
      <c r="AM123" s="21">
        <v>0</v>
      </c>
      <c r="AN123" s="136">
        <v>0</v>
      </c>
      <c r="AO123" s="20">
        <f>Ohj.lask.[[#This Row],[Jaettava € 1]]+Ohj.lask.[[#This Row],[Päätös 7, €]]</f>
        <v>2021972</v>
      </c>
      <c r="AP123" s="119">
        <f>Ohj.lask.[[#This Row],[Jaettava € 2]]</f>
        <v>771083</v>
      </c>
      <c r="AQ123" s="20">
        <f>Ohj.lask.[[#This Row],[Jaettava € 3]]+Ohj.lask.[[#This Row],[Jaettava € 4]]+Ohj.lask.[[#This Row],[Jaettava € 5]]</f>
        <v>314930</v>
      </c>
      <c r="AR123" s="45">
        <f>Ohj.lask.[[#This Row],[Jaettava € 6]]+Ohj.lask.[[#This Row],[Päätös 7, €]]</f>
        <v>3107985</v>
      </c>
      <c r="AS123" s="45">
        <f>ROUND(IFERROR(VLOOKUP(Ohj.lask.[[#This Row],[Y-tunnus]],'3.1 Alv vahvistettu'!A:Y,COLUMN(C:C),FALSE),0),0)</f>
        <v>307791</v>
      </c>
      <c r="AT123" s="26">
        <f>Ohj.lask.[[#This Row],[Perus-, suoritus- ja vaikuttavuusrahoitus yhteensä, €]]+Ohj.lask.[[#This Row],[Alv-korvaus, €]]</f>
        <v>3415776</v>
      </c>
    </row>
    <row r="124" spans="1:46" ht="12.75" x14ac:dyDescent="0.2">
      <c r="A124" s="147" t="s">
        <v>282</v>
      </c>
      <c r="B124" s="17" t="s">
        <v>126</v>
      </c>
      <c r="C124" s="17" t="s">
        <v>238</v>
      </c>
      <c r="D124" s="17" t="s">
        <v>423</v>
      </c>
      <c r="E124" s="17" t="s">
        <v>663</v>
      </c>
      <c r="F124" s="128">
        <v>169</v>
      </c>
      <c r="G124" s="135">
        <v>57</v>
      </c>
      <c r="H124" s="44">
        <f t="shared" si="6"/>
        <v>226</v>
      </c>
      <c r="I124" s="18">
        <f>IFERROR(VLOOKUP($A124,'2.1 Toteut. op.vuodet'!$A:$Q,COLUMN('2.1 Toteut. op.vuodet'!Q:Q),FALSE),0)</f>
        <v>0.77142966059972207</v>
      </c>
      <c r="J124" s="85">
        <f t="shared" si="7"/>
        <v>174.3</v>
      </c>
      <c r="K124" s="19">
        <f>IFERROR(Ohj.lask.[[#This Row],[Painotetut opiskelija-vuodet]]/Ohj.lask.[[#Totals],[Painotetut opiskelija-vuodet]],0)</f>
        <v>8.64668685053733E-4</v>
      </c>
      <c r="L124" s="20">
        <f>ROUND(IFERROR('1.1 Jakotaulu'!L$10*Ohj.lask.[[#This Row],[%-osuus 1]],0),0)</f>
        <v>1028692</v>
      </c>
      <c r="M124" s="349">
        <f>IFERROR(ROUND(VLOOKUP($A124,'2.2 Tutk. ja osien pain. pist.'!$A:$Q,COLUMN('2.2 Tutk. ja osien pain. pist.'!P:P),FALSE),1),0)</f>
        <v>16440</v>
      </c>
      <c r="N124" s="19">
        <f>IFERROR(Ohj.lask.[[#This Row],[Painotetut pisteet 2]]/Ohj.lask.[[#Totals],[Painotetut pisteet 2]],0)</f>
        <v>1.05058599693096E-3</v>
      </c>
      <c r="O124" s="26">
        <f>ROUND(IFERROR('1.1 Jakotaulu'!K$11*Ohj.lask.[[#This Row],[%-osuus 2]],0),0)</f>
        <v>389008</v>
      </c>
      <c r="P124" s="350">
        <f>IFERROR(ROUND(VLOOKUP($A124,'2.3 Työll. ja jatko-opisk.'!$A:$K,COLUMN('2.3 Työll. ja jatko-opisk.'!I:I),FALSE),1),0)</f>
        <v>212</v>
      </c>
      <c r="Q124" s="19">
        <f>IFERROR(Ohj.lask.[[#This Row],[Painotetut pisteet 3]]/Ohj.lask.[[#Totals],[Painotetut pisteet 3]],0)</f>
        <v>1.1191540040374009E-3</v>
      </c>
      <c r="R124" s="20">
        <f>ROUND(IFERROR('1.1 Jakotaulu'!L$13*Ohj.lask.[[#This Row],[%-osuus 3]],0),0)</f>
        <v>155399</v>
      </c>
      <c r="S124" s="349">
        <f>IFERROR(ROUND(VLOOKUP($A124,'2.4 Aloittaneet palaute'!$A:$K,COLUMN('2.4 Aloittaneet palaute'!J:J),FALSE),1),0)</f>
        <v>2388.6</v>
      </c>
      <c r="T124" s="23">
        <f>IFERROR(Ohj.lask.[[#This Row],[Painotetut pisteet 4]]/Ohj.lask.[[#Totals],[Painotetut pisteet 4]],0)</f>
        <v>1.9184975094712056E-3</v>
      </c>
      <c r="U124" s="26">
        <f>ROUND(IFERROR('1.1 Jakotaulu'!M$15*Ohj.lask.[[#This Row],[%-osuus 4]],0),0)</f>
        <v>22199</v>
      </c>
      <c r="V124" s="85">
        <f>IFERROR(ROUND(VLOOKUP($A124,'2.5 Päättäneet palaute'!$A:$AC,COLUMN('2.5 Päättäneet palaute'!AB:AB),FALSE),1),0)</f>
        <v>21186.2</v>
      </c>
      <c r="W124" s="23">
        <f>IFERROR(Ohj.lask.[[#This Row],[Painotetut pisteet 5]]/Ohj.lask.[[#Totals],[Painotetut pisteet 5]],0)</f>
        <v>3.199319949330837E-3</v>
      </c>
      <c r="X124" s="20">
        <f>ROUND(IFERROR('1.1 Jakotaulu'!M$16*Ohj.lask.[[#This Row],[%-osuus 5]],0),0)</f>
        <v>111059</v>
      </c>
      <c r="Y124" s="22">
        <f>IFERROR(Ohj.lask.[[#This Row],[Jaettava € 6]]/Ohj.lask.[[#Totals],[Jaettava € 6]],"")</f>
        <v>9.7779338532636957E-4</v>
      </c>
      <c r="Z124" s="26">
        <f>IFERROR(Ohj.lask.[[#This Row],[Jaettava € 1]]+Ohj.lask.[[#This Row],[Jaettava € 2]]+Ohj.lask.[[#This Row],[Jaettava € 3]]+Ohj.lask.[[#This Row],[Jaettava € 4]]+Ohj.lask.[[#This Row],[Jaettava € 5]],"")</f>
        <v>1706357</v>
      </c>
      <c r="AA124" s="20">
        <v>0</v>
      </c>
      <c r="AB124" s="20">
        <v>0</v>
      </c>
      <c r="AC124" s="21">
        <v>0</v>
      </c>
      <c r="AD124" s="20">
        <v>0</v>
      </c>
      <c r="AE124" s="21">
        <v>0</v>
      </c>
      <c r="AF124" s="20">
        <v>0</v>
      </c>
      <c r="AG124" s="21">
        <v>100000</v>
      </c>
      <c r="AH124" s="20">
        <v>0</v>
      </c>
      <c r="AI124" s="21">
        <v>80000</v>
      </c>
      <c r="AJ124" s="26">
        <v>20000</v>
      </c>
      <c r="AK124" s="20">
        <v>0</v>
      </c>
      <c r="AL124" s="20">
        <v>0</v>
      </c>
      <c r="AM124" s="21">
        <v>180000</v>
      </c>
      <c r="AN124" s="136">
        <v>20000</v>
      </c>
      <c r="AO124" s="20">
        <f>Ohj.lask.[[#This Row],[Jaettava € 1]]+Ohj.lask.[[#This Row],[Päätös 7, €]]</f>
        <v>1048692</v>
      </c>
      <c r="AP124" s="119">
        <f>Ohj.lask.[[#This Row],[Jaettava € 2]]</f>
        <v>389008</v>
      </c>
      <c r="AQ124" s="20">
        <f>Ohj.lask.[[#This Row],[Jaettava € 3]]+Ohj.lask.[[#This Row],[Jaettava € 4]]+Ohj.lask.[[#This Row],[Jaettava € 5]]</f>
        <v>288657</v>
      </c>
      <c r="AR124" s="45">
        <f>Ohj.lask.[[#This Row],[Jaettava € 6]]+Ohj.lask.[[#This Row],[Päätös 7, €]]</f>
        <v>1726357</v>
      </c>
      <c r="AS124" s="45">
        <f>ROUND(IFERROR(VLOOKUP(Ohj.lask.[[#This Row],[Y-tunnus]],'3.1 Alv vahvistettu'!A:Y,COLUMN(C:C),FALSE),0),0)</f>
        <v>73406</v>
      </c>
      <c r="AT124" s="26">
        <f>Ohj.lask.[[#This Row],[Perus-, suoritus- ja vaikuttavuusrahoitus yhteensä, €]]+Ohj.lask.[[#This Row],[Alv-korvaus, €]]</f>
        <v>1799763</v>
      </c>
    </row>
    <row r="125" spans="1:46" ht="12.75" x14ac:dyDescent="0.2">
      <c r="A125" s="147" t="s">
        <v>281</v>
      </c>
      <c r="B125" s="17" t="s">
        <v>879</v>
      </c>
      <c r="C125" s="17" t="s">
        <v>271</v>
      </c>
      <c r="D125" s="17" t="s">
        <v>423</v>
      </c>
      <c r="E125" s="17" t="s">
        <v>663</v>
      </c>
      <c r="F125" s="128">
        <v>488</v>
      </c>
      <c r="G125" s="135">
        <v>210</v>
      </c>
      <c r="H125" s="44">
        <f t="shared" si="6"/>
        <v>698</v>
      </c>
      <c r="I125" s="18">
        <f>IFERROR(VLOOKUP($A125,'2.1 Toteut. op.vuodet'!$A:$Q,COLUMN('2.1 Toteut. op.vuodet'!Q:Q),FALSE),0)</f>
        <v>0.69861567967588301</v>
      </c>
      <c r="J125" s="85">
        <f t="shared" si="7"/>
        <v>487.6</v>
      </c>
      <c r="K125" s="19">
        <f>IFERROR(Ohj.lask.[[#This Row],[Painotetut opiskelija-vuodet]]/Ohj.lask.[[#Totals],[Painotetut opiskelija-vuodet]],0)</f>
        <v>2.4188895630074597E-3</v>
      </c>
      <c r="L125" s="20">
        <f>ROUND(IFERROR('1.1 Jakotaulu'!L$10*Ohj.lask.[[#This Row],[%-osuus 1]],0),0)</f>
        <v>2877740</v>
      </c>
      <c r="M125" s="349">
        <f>IFERROR(ROUND(VLOOKUP($A125,'2.2 Tutk. ja osien pain. pist.'!$A:$Q,COLUMN('2.2 Tutk. ja osien pain. pist.'!P:P),FALSE),1),0)</f>
        <v>46368.9</v>
      </c>
      <c r="N125" s="19">
        <f>IFERROR(Ohj.lask.[[#This Row],[Painotetut pisteet 2]]/Ohj.lask.[[#Totals],[Painotetut pisteet 2]],0)</f>
        <v>2.9631701358328465E-3</v>
      </c>
      <c r="O125" s="26">
        <f>ROUND(IFERROR('1.1 Jakotaulu'!K$11*Ohj.lask.[[#This Row],[%-osuus 2]],0),0)</f>
        <v>1097194</v>
      </c>
      <c r="P125" s="350">
        <f>IFERROR(ROUND(VLOOKUP($A125,'2.3 Työll. ja jatko-opisk.'!$A:$K,COLUMN('2.3 Työll. ja jatko-opisk.'!I:I),FALSE),1),0)</f>
        <v>864.2</v>
      </c>
      <c r="Q125" s="19">
        <f>IFERROR(Ohj.lask.[[#This Row],[Painotetut pisteet 3]]/Ohj.lask.[[#Totals],[Painotetut pisteet 3]],0)</f>
        <v>4.5621362749486884E-3</v>
      </c>
      <c r="R125" s="20">
        <f>ROUND(IFERROR('1.1 Jakotaulu'!L$13*Ohj.lask.[[#This Row],[%-osuus 3]],0),0)</f>
        <v>633470</v>
      </c>
      <c r="S125" s="349">
        <f>IFERROR(ROUND(VLOOKUP($A125,'2.4 Aloittaneet palaute'!$A:$K,COLUMN('2.4 Aloittaneet palaute'!J:J),FALSE),1),0)</f>
        <v>6120.4</v>
      </c>
      <c r="T125" s="23">
        <f>IFERROR(Ohj.lask.[[#This Row],[Painotetut pisteet 4]]/Ohj.lask.[[#Totals],[Painotetut pisteet 4]],0)</f>
        <v>4.915838632239624E-3</v>
      </c>
      <c r="U125" s="26">
        <f>ROUND(IFERROR('1.1 Jakotaulu'!M$15*Ohj.lask.[[#This Row],[%-osuus 4]],0),0)</f>
        <v>56882</v>
      </c>
      <c r="V125" s="85">
        <f>IFERROR(ROUND(VLOOKUP($A125,'2.5 Päättäneet palaute'!$A:$AC,COLUMN('2.5 Päättäneet palaute'!AB:AB),FALSE),1),0)</f>
        <v>54837.2</v>
      </c>
      <c r="W125" s="23">
        <f>IFERROR(Ohj.lask.[[#This Row],[Painotetut pisteet 5]]/Ohj.lask.[[#Totals],[Painotetut pisteet 5]],0)</f>
        <v>8.2809445736113582E-3</v>
      </c>
      <c r="X125" s="20">
        <f>ROUND(IFERROR('1.1 Jakotaulu'!M$16*Ohj.lask.[[#This Row],[%-osuus 5]],0),0)</f>
        <v>287460</v>
      </c>
      <c r="Y125" s="22">
        <f>IFERROR(Ohj.lask.[[#This Row],[Jaettava € 6]]/Ohj.lask.[[#Totals],[Jaettava € 6]],"")</f>
        <v>2.8380709769418918E-3</v>
      </c>
      <c r="Z125" s="26">
        <f>IFERROR(Ohj.lask.[[#This Row],[Jaettava € 1]]+Ohj.lask.[[#This Row],[Jaettava € 2]]+Ohj.lask.[[#This Row],[Jaettava € 3]]+Ohj.lask.[[#This Row],[Jaettava € 4]]+Ohj.lask.[[#This Row],[Jaettava € 5]],"")</f>
        <v>4952746</v>
      </c>
      <c r="AA125" s="20">
        <v>0</v>
      </c>
      <c r="AB125" s="20">
        <v>0</v>
      </c>
      <c r="AC125" s="21">
        <v>150000</v>
      </c>
      <c r="AD125" s="20">
        <v>0</v>
      </c>
      <c r="AE125" s="21">
        <v>0</v>
      </c>
      <c r="AF125" s="20">
        <v>0</v>
      </c>
      <c r="AG125" s="21">
        <v>0</v>
      </c>
      <c r="AH125" s="20">
        <v>0</v>
      </c>
      <c r="AI125" s="21">
        <v>90000</v>
      </c>
      <c r="AJ125" s="26">
        <v>0</v>
      </c>
      <c r="AK125" s="20">
        <v>0</v>
      </c>
      <c r="AL125" s="20">
        <v>0</v>
      </c>
      <c r="AM125" s="21">
        <v>240000</v>
      </c>
      <c r="AN125" s="136">
        <v>0</v>
      </c>
      <c r="AO125" s="20">
        <f>Ohj.lask.[[#This Row],[Jaettava € 1]]+Ohj.lask.[[#This Row],[Päätös 7, €]]</f>
        <v>2877740</v>
      </c>
      <c r="AP125" s="119">
        <f>Ohj.lask.[[#This Row],[Jaettava € 2]]</f>
        <v>1097194</v>
      </c>
      <c r="AQ125" s="20">
        <f>Ohj.lask.[[#This Row],[Jaettava € 3]]+Ohj.lask.[[#This Row],[Jaettava € 4]]+Ohj.lask.[[#This Row],[Jaettava € 5]]</f>
        <v>977812</v>
      </c>
      <c r="AR125" s="45">
        <f>Ohj.lask.[[#This Row],[Jaettava € 6]]+Ohj.lask.[[#This Row],[Päätös 7, €]]</f>
        <v>4952746</v>
      </c>
      <c r="AS125" s="45">
        <f>ROUND(IFERROR(VLOOKUP(Ohj.lask.[[#This Row],[Y-tunnus]],'3.1 Alv vahvistettu'!A:Y,COLUMN(C:C),FALSE),0),0)</f>
        <v>216502</v>
      </c>
      <c r="AT125" s="26">
        <f>Ohj.lask.[[#This Row],[Perus-, suoritus- ja vaikuttavuusrahoitus yhteensä, €]]+Ohj.lask.[[#This Row],[Alv-korvaus, €]]</f>
        <v>5169248</v>
      </c>
    </row>
    <row r="126" spans="1:46" ht="12.75" x14ac:dyDescent="0.2">
      <c r="A126" s="147" t="s">
        <v>280</v>
      </c>
      <c r="B126" s="17" t="s">
        <v>128</v>
      </c>
      <c r="C126" s="17" t="s">
        <v>271</v>
      </c>
      <c r="D126" s="17" t="s">
        <v>422</v>
      </c>
      <c r="E126" s="17" t="s">
        <v>663</v>
      </c>
      <c r="F126" s="128">
        <v>563</v>
      </c>
      <c r="G126" s="135">
        <v>0</v>
      </c>
      <c r="H126" s="44">
        <f t="shared" si="6"/>
        <v>563</v>
      </c>
      <c r="I126" s="18">
        <f>IFERROR(VLOOKUP($A126,'2.1 Toteut. op.vuodet'!$A:$Q,COLUMN('2.1 Toteut. op.vuodet'!Q:Q),FALSE),0)</f>
        <v>1.1747874902883373</v>
      </c>
      <c r="J126" s="85">
        <f t="shared" si="7"/>
        <v>661.4</v>
      </c>
      <c r="K126" s="19">
        <f>IFERROR(Ohj.lask.[[#This Row],[Painotetut opiskelija-vuodet]]/Ohj.lask.[[#Totals],[Painotetut opiskelija-vuodet]],0)</f>
        <v>3.2810778444896096E-3</v>
      </c>
      <c r="L126" s="20">
        <f>ROUND(IFERROR('1.1 Jakotaulu'!L$10*Ohj.lask.[[#This Row],[%-osuus 1]],0),0)</f>
        <v>3903480</v>
      </c>
      <c r="M126" s="349">
        <f>IFERROR(ROUND(VLOOKUP($A126,'2.2 Tutk. ja osien pain. pist.'!$A:$Q,COLUMN('2.2 Tutk. ja osien pain. pist.'!P:P),FALSE),1),0)</f>
        <v>50039.7</v>
      </c>
      <c r="N126" s="19">
        <f>IFERROR(Ohj.lask.[[#This Row],[Painotetut pisteet 2]]/Ohj.lask.[[#Totals],[Painotetut pisteet 2]],0)</f>
        <v>3.1977498850745841E-3</v>
      </c>
      <c r="O126" s="26">
        <f>ROUND(IFERROR('1.1 Jakotaulu'!K$11*Ohj.lask.[[#This Row],[%-osuus 2]],0),0)</f>
        <v>1184053</v>
      </c>
      <c r="P126" s="350">
        <f>IFERROR(ROUND(VLOOKUP($A126,'2.3 Työll. ja jatko-opisk.'!$A:$K,COLUMN('2.3 Työll. ja jatko-opisk.'!I:I),FALSE),1),0)</f>
        <v>767.4</v>
      </c>
      <c r="Q126" s="19">
        <f>IFERROR(Ohj.lask.[[#This Row],[Painotetut pisteet 3]]/Ohj.lask.[[#Totals],[Painotetut pisteet 3]],0)</f>
        <v>4.0511263334825536E-3</v>
      </c>
      <c r="R126" s="20">
        <f>ROUND(IFERROR('1.1 Jakotaulu'!L$13*Ohj.lask.[[#This Row],[%-osuus 3]],0),0)</f>
        <v>562515</v>
      </c>
      <c r="S126" s="349">
        <f>IFERROR(ROUND(VLOOKUP($A126,'2.4 Aloittaneet palaute'!$A:$K,COLUMN('2.4 Aloittaneet palaute'!J:J),FALSE),1),0)</f>
        <v>2351</v>
      </c>
      <c r="T126" s="23">
        <f>IFERROR(Ohj.lask.[[#This Row],[Painotetut pisteet 4]]/Ohj.lask.[[#Totals],[Painotetut pisteet 4]],0)</f>
        <v>1.8882975989143449E-3</v>
      </c>
      <c r="U126" s="26">
        <f>ROUND(IFERROR('1.1 Jakotaulu'!M$15*Ohj.lask.[[#This Row],[%-osuus 4]],0),0)</f>
        <v>21850</v>
      </c>
      <c r="V126" s="85">
        <f>IFERROR(ROUND(VLOOKUP($A126,'2.5 Päättäneet palaute'!$A:$AC,COLUMN('2.5 Päättäneet palaute'!AB:AB),FALSE),1),0)</f>
        <v>21733.7</v>
      </c>
      <c r="W126" s="23">
        <f>IFERROR(Ohj.lask.[[#This Row],[Painotetut pisteet 5]]/Ohj.lask.[[#Totals],[Painotetut pisteet 5]],0)</f>
        <v>3.2819977146808588E-3</v>
      </c>
      <c r="X126" s="20">
        <f>ROUND(IFERROR('1.1 Jakotaulu'!M$16*Ohj.lask.[[#This Row],[%-osuus 5]],0),0)</f>
        <v>113930</v>
      </c>
      <c r="Y126" s="22">
        <f>IFERROR(Ohj.lask.[[#This Row],[Jaettava € 6]]/Ohj.lask.[[#Totals],[Jaettava € 6]],"")</f>
        <v>3.3154517765251342E-3</v>
      </c>
      <c r="Z126" s="26">
        <f>IFERROR(Ohj.lask.[[#This Row],[Jaettava € 1]]+Ohj.lask.[[#This Row],[Jaettava € 2]]+Ohj.lask.[[#This Row],[Jaettava € 3]]+Ohj.lask.[[#This Row],[Jaettava € 4]]+Ohj.lask.[[#This Row],[Jaettava € 5]],"")</f>
        <v>5785828</v>
      </c>
      <c r="AA126" s="20">
        <v>30000</v>
      </c>
      <c r="AB126" s="20">
        <v>0</v>
      </c>
      <c r="AC126" s="21">
        <v>50000</v>
      </c>
      <c r="AD126" s="20">
        <v>0</v>
      </c>
      <c r="AE126" s="21">
        <v>50000</v>
      </c>
      <c r="AF126" s="20">
        <v>0</v>
      </c>
      <c r="AG126" s="21">
        <v>300000</v>
      </c>
      <c r="AH126" s="20">
        <v>0</v>
      </c>
      <c r="AI126" s="21">
        <v>20000</v>
      </c>
      <c r="AJ126" s="26">
        <v>0</v>
      </c>
      <c r="AK126" s="20">
        <v>0</v>
      </c>
      <c r="AL126" s="20">
        <v>0</v>
      </c>
      <c r="AM126" s="21">
        <v>450000</v>
      </c>
      <c r="AN126" s="136">
        <v>0</v>
      </c>
      <c r="AO126" s="20">
        <f>Ohj.lask.[[#This Row],[Jaettava € 1]]+Ohj.lask.[[#This Row],[Päätös 7, €]]</f>
        <v>3903480</v>
      </c>
      <c r="AP126" s="119">
        <f>Ohj.lask.[[#This Row],[Jaettava € 2]]</f>
        <v>1184053</v>
      </c>
      <c r="AQ126" s="20">
        <f>Ohj.lask.[[#This Row],[Jaettava € 3]]+Ohj.lask.[[#This Row],[Jaettava € 4]]+Ohj.lask.[[#This Row],[Jaettava € 5]]</f>
        <v>698295</v>
      </c>
      <c r="AR126" s="45">
        <f>Ohj.lask.[[#This Row],[Jaettava € 6]]+Ohj.lask.[[#This Row],[Päätös 7, €]]</f>
        <v>5785828</v>
      </c>
      <c r="AS126" s="45">
        <f>ROUND(IFERROR(VLOOKUP(Ohj.lask.[[#This Row],[Y-tunnus]],'3.1 Alv vahvistettu'!A:Y,COLUMN(C:C),FALSE),0),0)</f>
        <v>0</v>
      </c>
      <c r="AT126" s="26">
        <f>Ohj.lask.[[#This Row],[Perus-, suoritus- ja vaikuttavuusrahoitus yhteensä, €]]+Ohj.lask.[[#This Row],[Alv-korvaus, €]]</f>
        <v>5785828</v>
      </c>
    </row>
    <row r="127" spans="1:46" ht="12.75" x14ac:dyDescent="0.2">
      <c r="A127" s="147" t="s">
        <v>279</v>
      </c>
      <c r="B127" s="17" t="s">
        <v>129</v>
      </c>
      <c r="C127" s="17" t="s">
        <v>238</v>
      </c>
      <c r="D127" s="17" t="s">
        <v>423</v>
      </c>
      <c r="E127" s="17" t="s">
        <v>664</v>
      </c>
      <c r="F127" s="128">
        <v>1087</v>
      </c>
      <c r="G127" s="135">
        <v>0</v>
      </c>
      <c r="H127" s="44">
        <f t="shared" si="6"/>
        <v>1087</v>
      </c>
      <c r="I127" s="18">
        <f>IFERROR(VLOOKUP($A127,'2.1 Toteut. op.vuodet'!$A:$Q,COLUMN('2.1 Toteut. op.vuodet'!Q:Q),FALSE),0)</f>
        <v>1.0418491321278893</v>
      </c>
      <c r="J127" s="85">
        <f t="shared" si="7"/>
        <v>1132.5</v>
      </c>
      <c r="K127" s="19">
        <f>IFERROR(Ohj.lask.[[#This Row],[Painotetut opiskelija-vuodet]]/Ohj.lask.[[#Totals],[Painotetut opiskelija-vuodet]],0)</f>
        <v>5.6181140896348399E-3</v>
      </c>
      <c r="L127" s="20">
        <f>ROUND(IFERROR('1.1 Jakotaulu'!L$10*Ohj.lask.[[#This Row],[%-osuus 1]],0),0)</f>
        <v>6683839</v>
      </c>
      <c r="M127" s="349">
        <f>IFERROR(ROUND(VLOOKUP($A127,'2.2 Tutk. ja osien pain. pist.'!$A:$Q,COLUMN('2.2 Tutk. ja osien pain. pist.'!P:P),FALSE),1),0)</f>
        <v>87651.3</v>
      </c>
      <c r="N127" s="19">
        <f>IFERROR(Ohj.lask.[[#This Row],[Painotetut pisteet 2]]/Ohj.lask.[[#Totals],[Painotetut pisteet 2]],0)</f>
        <v>5.6012912647685322E-3</v>
      </c>
      <c r="O127" s="26">
        <f>ROUND(IFERROR('1.1 Jakotaulu'!K$11*Ohj.lask.[[#This Row],[%-osuus 2]],0),0)</f>
        <v>2074029</v>
      </c>
      <c r="P127" s="350">
        <f>IFERROR(ROUND(VLOOKUP($A127,'2.3 Työll. ja jatko-opisk.'!$A:$K,COLUMN('2.3 Työll. ja jatko-opisk.'!I:I),FALSE),1),0)</f>
        <v>1163</v>
      </c>
      <c r="Q127" s="19">
        <f>IFERROR(Ohj.lask.[[#This Row],[Painotetut pisteet 3]]/Ohj.lask.[[#Totals],[Painotetut pisteet 3]],0)</f>
        <v>6.1395099372429113E-3</v>
      </c>
      <c r="R127" s="20">
        <f>ROUND(IFERROR('1.1 Jakotaulu'!L$13*Ohj.lask.[[#This Row],[%-osuus 3]],0),0)</f>
        <v>852495</v>
      </c>
      <c r="S127" s="349">
        <f>IFERROR(ROUND(VLOOKUP($A127,'2.4 Aloittaneet palaute'!$A:$K,COLUMN('2.4 Aloittaneet palaute'!J:J),FALSE),1),0)</f>
        <v>5187.5</v>
      </c>
      <c r="T127" s="23">
        <f>IFERROR(Ohj.lask.[[#This Row],[Painotetut pisteet 4]]/Ohj.lask.[[#Totals],[Painotetut pisteet 4]],0)</f>
        <v>4.1665435110030472E-3</v>
      </c>
      <c r="U127" s="26">
        <f>ROUND(IFERROR('1.1 Jakotaulu'!M$15*Ohj.lask.[[#This Row],[%-osuus 4]],0),0)</f>
        <v>48212</v>
      </c>
      <c r="V127" s="85">
        <f>IFERROR(ROUND(VLOOKUP($A127,'2.5 Päättäneet palaute'!$A:$AC,COLUMN('2.5 Päättäneet palaute'!AB:AB),FALSE),1),0)</f>
        <v>41712.300000000003</v>
      </c>
      <c r="W127" s="23">
        <f>IFERROR(Ohj.lask.[[#This Row],[Painotetut pisteet 5]]/Ohj.lask.[[#Totals],[Painotetut pisteet 5]],0)</f>
        <v>6.2989584504287068E-3</v>
      </c>
      <c r="X127" s="20">
        <f>ROUND(IFERROR('1.1 Jakotaulu'!M$16*Ohj.lask.[[#This Row],[%-osuus 5]],0),0)</f>
        <v>218659</v>
      </c>
      <c r="Y127" s="22">
        <f>IFERROR(Ohj.lask.[[#This Row],[Jaettava € 6]]/Ohj.lask.[[#Totals],[Jaettava € 6]],"")</f>
        <v>5.6599492782112527E-3</v>
      </c>
      <c r="Z127" s="26">
        <f>IFERROR(Ohj.lask.[[#This Row],[Jaettava € 1]]+Ohj.lask.[[#This Row],[Jaettava € 2]]+Ohj.lask.[[#This Row],[Jaettava € 3]]+Ohj.lask.[[#This Row],[Jaettava € 4]]+Ohj.lask.[[#This Row],[Jaettava € 5]],"")</f>
        <v>9877234</v>
      </c>
      <c r="AA127" s="20">
        <v>0</v>
      </c>
      <c r="AB127" s="20">
        <v>0</v>
      </c>
      <c r="AC127" s="21">
        <v>300000</v>
      </c>
      <c r="AD127" s="20">
        <v>0</v>
      </c>
      <c r="AE127" s="21">
        <v>0</v>
      </c>
      <c r="AF127" s="20">
        <v>0</v>
      </c>
      <c r="AG127" s="21">
        <v>40000</v>
      </c>
      <c r="AH127" s="20">
        <v>0</v>
      </c>
      <c r="AI127" s="21">
        <v>15000</v>
      </c>
      <c r="AJ127" s="26">
        <v>0</v>
      </c>
      <c r="AK127" s="20">
        <v>30000</v>
      </c>
      <c r="AL127" s="20">
        <v>15000</v>
      </c>
      <c r="AM127" s="21">
        <v>385000</v>
      </c>
      <c r="AN127" s="136">
        <v>15000</v>
      </c>
      <c r="AO127" s="20">
        <f>Ohj.lask.[[#This Row],[Jaettava € 1]]+Ohj.lask.[[#This Row],[Päätös 7, €]]</f>
        <v>6698839</v>
      </c>
      <c r="AP127" s="119">
        <f>Ohj.lask.[[#This Row],[Jaettava € 2]]</f>
        <v>2074029</v>
      </c>
      <c r="AQ127" s="20">
        <f>Ohj.lask.[[#This Row],[Jaettava € 3]]+Ohj.lask.[[#This Row],[Jaettava € 4]]+Ohj.lask.[[#This Row],[Jaettava € 5]]</f>
        <v>1119366</v>
      </c>
      <c r="AR127" s="45">
        <f>Ohj.lask.[[#This Row],[Jaettava € 6]]+Ohj.lask.[[#This Row],[Päätös 7, €]]</f>
        <v>9892234</v>
      </c>
      <c r="AS127" s="45">
        <f>ROUND(IFERROR(VLOOKUP(Ohj.lask.[[#This Row],[Y-tunnus]],'3.1 Alv vahvistettu'!A:Y,COLUMN(C:C),FALSE),0),0)</f>
        <v>614618</v>
      </c>
      <c r="AT127" s="26">
        <f>Ohj.lask.[[#This Row],[Perus-, suoritus- ja vaikuttavuusrahoitus yhteensä, €]]+Ohj.lask.[[#This Row],[Alv-korvaus, €]]</f>
        <v>10506852</v>
      </c>
    </row>
    <row r="128" spans="1:46" ht="12.75" x14ac:dyDescent="0.2">
      <c r="A128" s="147" t="s">
        <v>278</v>
      </c>
      <c r="B128" s="17" t="s">
        <v>130</v>
      </c>
      <c r="C128" s="17" t="s">
        <v>244</v>
      </c>
      <c r="D128" s="17" t="s">
        <v>422</v>
      </c>
      <c r="E128" s="17" t="s">
        <v>664</v>
      </c>
      <c r="F128" s="128">
        <v>1394</v>
      </c>
      <c r="G128" s="135">
        <v>125</v>
      </c>
      <c r="H128" s="44">
        <f t="shared" si="6"/>
        <v>1519</v>
      </c>
      <c r="I128" s="18">
        <f>IFERROR(VLOOKUP($A128,'2.1 Toteut. op.vuodet'!$A:$Q,COLUMN('2.1 Toteut. op.vuodet'!Q:Q),FALSE),0)</f>
        <v>1.1388284584800907</v>
      </c>
      <c r="J128" s="85">
        <f t="shared" si="7"/>
        <v>1729.9</v>
      </c>
      <c r="K128" s="19">
        <f>IFERROR(Ohj.lask.[[#This Row],[Painotetut opiskelija-vuodet]]/Ohj.lask.[[#Totals],[Painotetut opiskelija-vuodet]],0)</f>
        <v>8.5817002769618626E-3</v>
      </c>
      <c r="L128" s="20">
        <f>ROUND(IFERROR('1.1 Jakotaulu'!L$10*Ohj.lask.[[#This Row],[%-osuus 1]],0),0)</f>
        <v>10209602</v>
      </c>
      <c r="M128" s="349">
        <f>IFERROR(ROUND(VLOOKUP($A128,'2.2 Tutk. ja osien pain. pist.'!$A:$Q,COLUMN('2.2 Tutk. ja osien pain. pist.'!P:P),FALSE),1),0)</f>
        <v>153933.70000000001</v>
      </c>
      <c r="N128" s="19">
        <f>IFERROR(Ohj.lask.[[#This Row],[Painotetut pisteet 2]]/Ohj.lask.[[#Totals],[Painotetut pisteet 2]],0)</f>
        <v>9.8370188367257506E-3</v>
      </c>
      <c r="O128" s="26">
        <f>ROUND(IFERROR('1.1 Jakotaulu'!K$11*Ohj.lask.[[#This Row],[%-osuus 2]],0),0)</f>
        <v>3642422</v>
      </c>
      <c r="P128" s="350">
        <f>IFERROR(ROUND(VLOOKUP($A128,'2.3 Työll. ja jatko-opisk.'!$A:$K,COLUMN('2.3 Työll. ja jatko-opisk.'!I:I),FALSE),1),0)</f>
        <v>1708.1</v>
      </c>
      <c r="Q128" s="19">
        <f>IFERROR(Ohj.lask.[[#This Row],[Painotetut pisteet 3]]/Ohj.lask.[[#Totals],[Painotetut pisteet 3]],0)</f>
        <v>9.0171082749824737E-3</v>
      </c>
      <c r="R128" s="20">
        <f>ROUND(IFERROR('1.1 Jakotaulu'!L$13*Ohj.lask.[[#This Row],[%-osuus 3]],0),0)</f>
        <v>1252060</v>
      </c>
      <c r="S128" s="349">
        <f>IFERROR(ROUND(VLOOKUP($A128,'2.4 Aloittaneet palaute'!$A:$K,COLUMN('2.4 Aloittaneet palaute'!J:J),FALSE),1),0)</f>
        <v>11682.5</v>
      </c>
      <c r="T128" s="23">
        <f>IFERROR(Ohj.lask.[[#This Row],[Painotetut pisteet 4]]/Ohj.lask.[[#Totals],[Painotetut pisteet 4]],0)</f>
        <v>9.3832567840565016E-3</v>
      </c>
      <c r="U128" s="26">
        <f>ROUND(IFERROR('1.1 Jakotaulu'!M$15*Ohj.lask.[[#This Row],[%-osuus 4]],0),0)</f>
        <v>108575</v>
      </c>
      <c r="V128" s="85">
        <f>IFERROR(ROUND(VLOOKUP($A128,'2.5 Päättäneet palaute'!$A:$AC,COLUMN('2.5 Päättäneet palaute'!AB:AB),FALSE),1),0)</f>
        <v>47071.5</v>
      </c>
      <c r="W128" s="23">
        <f>IFERROR(Ohj.lask.[[#This Row],[Painotetut pisteet 5]]/Ohj.lask.[[#Totals],[Painotetut pisteet 5]],0)</f>
        <v>7.1082491902713313E-3</v>
      </c>
      <c r="X128" s="20">
        <f>ROUND(IFERROR('1.1 Jakotaulu'!M$16*Ohj.lask.[[#This Row],[%-osuus 5]],0),0)</f>
        <v>246752</v>
      </c>
      <c r="Y128" s="22">
        <f>IFERROR(Ohj.lask.[[#This Row],[Jaettava € 6]]/Ohj.lask.[[#Totals],[Jaettava € 6]],"")</f>
        <v>8.858702965933692E-3</v>
      </c>
      <c r="Z128" s="26">
        <f>IFERROR(Ohj.lask.[[#This Row],[Jaettava € 1]]+Ohj.lask.[[#This Row],[Jaettava € 2]]+Ohj.lask.[[#This Row],[Jaettava € 3]]+Ohj.lask.[[#This Row],[Jaettava € 4]]+Ohj.lask.[[#This Row],[Jaettava € 5]],"")</f>
        <v>15459411</v>
      </c>
      <c r="AA128" s="20">
        <v>0</v>
      </c>
      <c r="AB128" s="20">
        <v>0</v>
      </c>
      <c r="AC128" s="21">
        <v>0</v>
      </c>
      <c r="AD128" s="20">
        <v>0</v>
      </c>
      <c r="AE128" s="21">
        <v>210000</v>
      </c>
      <c r="AF128" s="20">
        <v>0</v>
      </c>
      <c r="AG128" s="21">
        <v>0</v>
      </c>
      <c r="AH128" s="20">
        <v>0</v>
      </c>
      <c r="AI128" s="21">
        <v>175000</v>
      </c>
      <c r="AJ128" s="26">
        <v>80000</v>
      </c>
      <c r="AK128" s="20">
        <v>0</v>
      </c>
      <c r="AL128" s="20">
        <v>0</v>
      </c>
      <c r="AM128" s="21">
        <v>385000</v>
      </c>
      <c r="AN128" s="136">
        <v>80000</v>
      </c>
      <c r="AO128" s="20">
        <f>Ohj.lask.[[#This Row],[Jaettava € 1]]+Ohj.lask.[[#This Row],[Päätös 7, €]]</f>
        <v>10289602</v>
      </c>
      <c r="AP128" s="119">
        <f>Ohj.lask.[[#This Row],[Jaettava € 2]]</f>
        <v>3642422</v>
      </c>
      <c r="AQ128" s="20">
        <f>Ohj.lask.[[#This Row],[Jaettava € 3]]+Ohj.lask.[[#This Row],[Jaettava € 4]]+Ohj.lask.[[#This Row],[Jaettava € 5]]</f>
        <v>1607387</v>
      </c>
      <c r="AR128" s="45">
        <f>Ohj.lask.[[#This Row],[Jaettava € 6]]+Ohj.lask.[[#This Row],[Päätös 7, €]]</f>
        <v>15539411</v>
      </c>
      <c r="AS128" s="45">
        <f>ROUND(IFERROR(VLOOKUP(Ohj.lask.[[#This Row],[Y-tunnus]],'3.1 Alv vahvistettu'!A:Y,COLUMN(C:C),FALSE),0),0)</f>
        <v>0</v>
      </c>
      <c r="AT128" s="26">
        <f>Ohj.lask.[[#This Row],[Perus-, suoritus- ja vaikuttavuusrahoitus yhteensä, €]]+Ohj.lask.[[#This Row],[Alv-korvaus, €]]</f>
        <v>15539411</v>
      </c>
    </row>
    <row r="129" spans="1:46" ht="12.75" x14ac:dyDescent="0.2">
      <c r="A129" s="147" t="s">
        <v>277</v>
      </c>
      <c r="B129" s="17" t="s">
        <v>131</v>
      </c>
      <c r="C129" s="113" t="s">
        <v>249</v>
      </c>
      <c r="D129" s="113" t="s">
        <v>423</v>
      </c>
      <c r="E129" s="113" t="s">
        <v>663</v>
      </c>
      <c r="F129" s="127">
        <v>956</v>
      </c>
      <c r="G129" s="135">
        <v>947</v>
      </c>
      <c r="H129" s="44">
        <f t="shared" si="6"/>
        <v>1903</v>
      </c>
      <c r="I129" s="18">
        <f>IFERROR(VLOOKUP($A129,'2.1 Toteut. op.vuodet'!$A:$Q,COLUMN('2.1 Toteut. op.vuodet'!Q:Q),FALSE),0)</f>
        <v>0.83638782889159302</v>
      </c>
      <c r="J129" s="85">
        <f t="shared" si="7"/>
        <v>1591.6</v>
      </c>
      <c r="K129" s="19">
        <f>IFERROR(Ohj.lask.[[#This Row],[Painotetut opiskelija-vuodet]]/Ohj.lask.[[#Totals],[Painotetut opiskelija-vuodet]],0)</f>
        <v>7.8956206490620844E-3</v>
      </c>
      <c r="L129" s="20">
        <f>ROUND(IFERROR('1.1 Jakotaulu'!L$10*Ohj.lask.[[#This Row],[%-osuus 1]],0),0)</f>
        <v>9393376</v>
      </c>
      <c r="M129" s="349">
        <f>IFERROR(ROUND(VLOOKUP($A129,'2.2 Tutk. ja osien pain. pist.'!$A:$Q,COLUMN('2.2 Tutk. ja osien pain. pist.'!P:P),FALSE),1),0)</f>
        <v>113047.9</v>
      </c>
      <c r="N129" s="19">
        <f>IFERROR(Ohj.lask.[[#This Row],[Painotetut pisteet 2]]/Ohj.lask.[[#Totals],[Painotetut pisteet 2]],0)</f>
        <v>7.2242421364021583E-3</v>
      </c>
      <c r="O129" s="26">
        <f>ROUND(IFERROR('1.1 Jakotaulu'!K$11*Ohj.lask.[[#This Row],[%-osuus 2]],0),0)</f>
        <v>2674971</v>
      </c>
      <c r="P129" s="350">
        <f>IFERROR(ROUND(VLOOKUP($A129,'2.3 Työll. ja jatko-opisk.'!$A:$K,COLUMN('2.3 Työll. ja jatko-opisk.'!I:I),FALSE),1),0)</f>
        <v>2021.6</v>
      </c>
      <c r="Q129" s="23">
        <f>IFERROR(Ohj.lask.[[#This Row],[Painotetut pisteet 3]]/Ohj.lask.[[#Totals],[Painotetut pisteet 3]],0)</f>
        <v>1.0672083653594386E-2</v>
      </c>
      <c r="R129" s="20">
        <f>ROUND(IFERROR('1.1 Jakotaulu'!L$13*Ohj.lask.[[#This Row],[%-osuus 3]],0),0)</f>
        <v>1481860</v>
      </c>
      <c r="S129" s="349">
        <f>IFERROR(ROUND(VLOOKUP($A129,'2.4 Aloittaneet palaute'!$A:$K,COLUMN('2.4 Aloittaneet palaute'!J:J),FALSE),1),0)</f>
        <v>20088.5</v>
      </c>
      <c r="T129" s="23">
        <f>IFERROR(Ohj.lask.[[#This Row],[Painotetut pisteet 4]]/Ohj.lask.[[#Totals],[Painotetut pisteet 4]],0)</f>
        <v>1.6134864447380187E-2</v>
      </c>
      <c r="U129" s="26">
        <f>ROUND(IFERROR('1.1 Jakotaulu'!M$15*Ohj.lask.[[#This Row],[%-osuus 4]],0),0)</f>
        <v>186699</v>
      </c>
      <c r="V129" s="85">
        <f>IFERROR(ROUND(VLOOKUP($A129,'2.5 Päättäneet palaute'!$A:$AC,COLUMN('2.5 Päättäneet palaute'!AB:AB),FALSE),1),0)</f>
        <v>109969.7</v>
      </c>
      <c r="W129" s="23">
        <f>IFERROR(Ohj.lask.[[#This Row],[Painotetut pisteet 5]]/Ohj.lask.[[#Totals],[Painotetut pisteet 5]],0)</f>
        <v>1.660648228714575E-2</v>
      </c>
      <c r="X129" s="20">
        <f>ROUND(IFERROR('1.1 Jakotaulu'!M$16*Ohj.lask.[[#This Row],[%-osuus 5]],0),0)</f>
        <v>576469</v>
      </c>
      <c r="Y129" s="22">
        <f>IFERROR(Ohj.lask.[[#This Row],[Jaettava € 6]]/Ohj.lask.[[#Totals],[Jaettava € 6]],"")</f>
        <v>8.2019902029269523E-3</v>
      </c>
      <c r="Z129" s="26">
        <f>IFERROR(Ohj.lask.[[#This Row],[Jaettava € 1]]+Ohj.lask.[[#This Row],[Jaettava € 2]]+Ohj.lask.[[#This Row],[Jaettava € 3]]+Ohj.lask.[[#This Row],[Jaettava € 4]]+Ohj.lask.[[#This Row],[Jaettava € 5]],"")</f>
        <v>14313375</v>
      </c>
      <c r="AA129" s="20">
        <v>455929</v>
      </c>
      <c r="AB129" s="20">
        <v>0</v>
      </c>
      <c r="AC129" s="21">
        <v>0</v>
      </c>
      <c r="AD129" s="20">
        <v>0</v>
      </c>
      <c r="AE129" s="21">
        <v>0</v>
      </c>
      <c r="AF129" s="20">
        <v>0</v>
      </c>
      <c r="AG129" s="21">
        <v>1410979</v>
      </c>
      <c r="AH129" s="20">
        <v>150000</v>
      </c>
      <c r="AI129" s="21">
        <v>0</v>
      </c>
      <c r="AJ129" s="26">
        <v>0</v>
      </c>
      <c r="AK129" s="20">
        <v>0</v>
      </c>
      <c r="AL129" s="20">
        <v>0</v>
      </c>
      <c r="AM129" s="21">
        <v>1866908</v>
      </c>
      <c r="AN129" s="136">
        <v>150000</v>
      </c>
      <c r="AO129" s="20">
        <f>Ohj.lask.[[#This Row],[Jaettava € 1]]+Ohj.lask.[[#This Row],[Päätös 7, €]]</f>
        <v>9543376</v>
      </c>
      <c r="AP129" s="119">
        <f>Ohj.lask.[[#This Row],[Jaettava € 2]]</f>
        <v>2674971</v>
      </c>
      <c r="AQ129" s="20">
        <f>Ohj.lask.[[#This Row],[Jaettava € 3]]+Ohj.lask.[[#This Row],[Jaettava € 4]]+Ohj.lask.[[#This Row],[Jaettava € 5]]</f>
        <v>2245028</v>
      </c>
      <c r="AR129" s="45">
        <f>Ohj.lask.[[#This Row],[Jaettava € 6]]+Ohj.lask.[[#This Row],[Päätös 7, €]]</f>
        <v>14463375</v>
      </c>
      <c r="AS129" s="45">
        <f>ROUND(IFERROR(VLOOKUP(Ohj.lask.[[#This Row],[Y-tunnus]],'3.1 Alv vahvistettu'!A:Y,COLUMN(C:C),FALSE),0),0)</f>
        <v>714159</v>
      </c>
      <c r="AT129" s="26">
        <f>Ohj.lask.[[#This Row],[Perus-, suoritus- ja vaikuttavuusrahoitus yhteensä, €]]+Ohj.lask.[[#This Row],[Alv-korvaus, €]]</f>
        <v>15177534</v>
      </c>
    </row>
    <row r="130" spans="1:46" ht="12.75" x14ac:dyDescent="0.2">
      <c r="A130" s="147" t="s">
        <v>276</v>
      </c>
      <c r="B130" s="17" t="s">
        <v>132</v>
      </c>
      <c r="C130" s="17" t="s">
        <v>249</v>
      </c>
      <c r="D130" s="17" t="s">
        <v>424</v>
      </c>
      <c r="E130" s="17" t="s">
        <v>663</v>
      </c>
      <c r="F130" s="128">
        <v>8065</v>
      </c>
      <c r="G130" s="135">
        <v>549</v>
      </c>
      <c r="H130" s="44">
        <f t="shared" si="6"/>
        <v>8614</v>
      </c>
      <c r="I130" s="18">
        <f>IFERROR(VLOOKUP($A130,'2.1 Toteut. op.vuodet'!$A:$Q,COLUMN('2.1 Toteut. op.vuodet'!Q:Q),FALSE),0)</f>
        <v>1.0582435230079013</v>
      </c>
      <c r="J130" s="85">
        <f t="shared" si="7"/>
        <v>9115.7000000000007</v>
      </c>
      <c r="K130" s="19">
        <f>IFERROR(Ohj.lask.[[#This Row],[Painotetut opiskelija-vuodet]]/Ohj.lask.[[#Totals],[Painotetut opiskelija-vuodet]],0)</f>
        <v>4.5221229674953033E-2</v>
      </c>
      <c r="L130" s="20">
        <f>ROUND(IFERROR('1.1 Jakotaulu'!L$10*Ohj.lask.[[#This Row],[%-osuus 1]],0),0)</f>
        <v>53799448</v>
      </c>
      <c r="M130" s="349">
        <f>IFERROR(ROUND(VLOOKUP($A130,'2.2 Tutk. ja osien pain. pist.'!$A:$Q,COLUMN('2.2 Tutk. ja osien pain. pist.'!P:P),FALSE),1),0)</f>
        <v>753169</v>
      </c>
      <c r="N130" s="19">
        <f>IFERROR(Ohj.lask.[[#This Row],[Painotetut pisteet 2]]/Ohj.lask.[[#Totals],[Painotetut pisteet 2]],0)</f>
        <v>4.8130705883363399E-2</v>
      </c>
      <c r="O130" s="26">
        <f>ROUND(IFERROR('1.1 Jakotaulu'!K$11*Ohj.lask.[[#This Row],[%-osuus 2]],0),0)</f>
        <v>17821693</v>
      </c>
      <c r="P130" s="350">
        <f>IFERROR(ROUND(VLOOKUP($A130,'2.3 Työll. ja jatko-opisk.'!$A:$K,COLUMN('2.3 Työll. ja jatko-opisk.'!I:I),FALSE),1),0)</f>
        <v>10741.9</v>
      </c>
      <c r="Q130" s="19">
        <f>IFERROR(Ohj.lask.[[#This Row],[Painotetut pisteet 3]]/Ohj.lask.[[#Totals],[Painotetut pisteet 3]],0)</f>
        <v>5.6706794320610175E-2</v>
      </c>
      <c r="R130" s="20">
        <f>ROUND(IFERROR('1.1 Jakotaulu'!L$13*Ohj.lask.[[#This Row],[%-osuus 3]],0),0)</f>
        <v>7873958</v>
      </c>
      <c r="S130" s="349">
        <f>IFERROR(ROUND(VLOOKUP($A130,'2.4 Aloittaneet palaute'!$A:$K,COLUMN('2.4 Aloittaneet palaute'!J:J),FALSE),1),0)</f>
        <v>58420.1</v>
      </c>
      <c r="T130" s="23">
        <f>IFERROR(Ohj.lask.[[#This Row],[Painotetut pisteet 4]]/Ohj.lask.[[#Totals],[Painotetut pisteet 4]],0)</f>
        <v>4.6922388157522719E-2</v>
      </c>
      <c r="U130" s="26">
        <f>ROUND(IFERROR('1.1 Jakotaulu'!M$15*Ohj.lask.[[#This Row],[%-osuus 4]],0),0)</f>
        <v>542946</v>
      </c>
      <c r="V130" s="85">
        <f>IFERROR(ROUND(VLOOKUP($A130,'2.5 Päättäneet palaute'!$A:$AC,COLUMN('2.5 Päättäneet palaute'!AB:AB),FALSE),1),0)</f>
        <v>305025.7</v>
      </c>
      <c r="W130" s="23">
        <f>IFERROR(Ohj.lask.[[#This Row],[Painotetut pisteet 5]]/Ohj.lask.[[#Totals],[Painotetut pisteet 5]],0)</f>
        <v>4.6061814155846877E-2</v>
      </c>
      <c r="X130" s="20">
        <f>ROUND(IFERROR('1.1 Jakotaulu'!M$16*Ohj.lask.[[#This Row],[%-osuus 5]],0),0)</f>
        <v>1598965</v>
      </c>
      <c r="Y130" s="22">
        <f>IFERROR(Ohj.lask.[[#This Row],[Jaettava € 6]]/Ohj.lask.[[#Totals],[Jaettava € 6]],"")</f>
        <v>4.6780438311456916E-2</v>
      </c>
      <c r="Z130" s="26">
        <f>IFERROR(Ohj.lask.[[#This Row],[Jaettava € 1]]+Ohj.lask.[[#This Row],[Jaettava € 2]]+Ohj.lask.[[#This Row],[Jaettava € 3]]+Ohj.lask.[[#This Row],[Jaettava € 4]]+Ohj.lask.[[#This Row],[Jaettava € 5]],"")</f>
        <v>81637010</v>
      </c>
      <c r="AA130" s="20">
        <v>0</v>
      </c>
      <c r="AB130" s="20">
        <v>0</v>
      </c>
      <c r="AC130" s="21">
        <v>0</v>
      </c>
      <c r="AD130" s="20">
        <v>0</v>
      </c>
      <c r="AE130" s="21">
        <v>0</v>
      </c>
      <c r="AF130" s="20">
        <v>0</v>
      </c>
      <c r="AG130" s="21">
        <v>695000</v>
      </c>
      <c r="AH130" s="20">
        <v>180000</v>
      </c>
      <c r="AI130" s="21">
        <v>110000</v>
      </c>
      <c r="AJ130" s="26">
        <v>0</v>
      </c>
      <c r="AK130" s="20">
        <v>165000</v>
      </c>
      <c r="AL130" s="20">
        <v>80000</v>
      </c>
      <c r="AM130" s="21">
        <v>970000</v>
      </c>
      <c r="AN130" s="136">
        <v>260000</v>
      </c>
      <c r="AO130" s="20">
        <f>Ohj.lask.[[#This Row],[Jaettava € 1]]+Ohj.lask.[[#This Row],[Päätös 7, €]]</f>
        <v>54059448</v>
      </c>
      <c r="AP130" s="119">
        <f>Ohj.lask.[[#This Row],[Jaettava € 2]]</f>
        <v>17821693</v>
      </c>
      <c r="AQ130" s="20">
        <f>Ohj.lask.[[#This Row],[Jaettava € 3]]+Ohj.lask.[[#This Row],[Jaettava € 4]]+Ohj.lask.[[#This Row],[Jaettava € 5]]</f>
        <v>10015869</v>
      </c>
      <c r="AR130" s="45">
        <f>Ohj.lask.[[#This Row],[Jaettava € 6]]+Ohj.lask.[[#This Row],[Päätös 7, €]]</f>
        <v>81897010</v>
      </c>
      <c r="AS130" s="45">
        <f>ROUND(IFERROR(VLOOKUP(Ohj.lask.[[#This Row],[Y-tunnus]],'3.1 Alv vahvistettu'!A:Y,COLUMN(C:C),FALSE),0),0)</f>
        <v>0</v>
      </c>
      <c r="AT130" s="26">
        <f>Ohj.lask.[[#This Row],[Perus-, suoritus- ja vaikuttavuusrahoitus yhteensä, €]]+Ohj.lask.[[#This Row],[Alv-korvaus, €]]</f>
        <v>81897010</v>
      </c>
    </row>
    <row r="131" spans="1:46" ht="12.75" x14ac:dyDescent="0.2">
      <c r="A131" s="147" t="s">
        <v>275</v>
      </c>
      <c r="B131" s="17" t="s">
        <v>133</v>
      </c>
      <c r="C131" s="17" t="s">
        <v>249</v>
      </c>
      <c r="D131" s="17" t="s">
        <v>423</v>
      </c>
      <c r="E131" s="17" t="s">
        <v>663</v>
      </c>
      <c r="F131" s="128">
        <v>61</v>
      </c>
      <c r="G131" s="135">
        <v>4</v>
      </c>
      <c r="H131" s="44">
        <f t="shared" si="6"/>
        <v>65</v>
      </c>
      <c r="I131" s="18">
        <f>IFERROR(VLOOKUP($A131,'2.1 Toteut. op.vuodet'!$A:$Q,COLUMN('2.1 Toteut. op.vuodet'!Q:Q),FALSE),0)</f>
        <v>1.4942816356850723</v>
      </c>
      <c r="J131" s="85">
        <f t="shared" si="7"/>
        <v>97.1</v>
      </c>
      <c r="K131" s="19">
        <f>IFERROR(Ohj.lask.[[#This Row],[Painotetut opiskelija-vuodet]]/Ohj.lask.[[#Totals],[Painotetut opiskelija-vuodet]],0)</f>
        <v>4.8169437360136237E-4</v>
      </c>
      <c r="L131" s="20">
        <f>ROUND(IFERROR('1.1 Jakotaulu'!L$10*Ohj.lask.[[#This Row],[%-osuus 1]],0),0)</f>
        <v>573069</v>
      </c>
      <c r="M131" s="349">
        <f>IFERROR(ROUND(VLOOKUP($A131,'2.2 Tutk. ja osien pain. pist.'!$A:$Q,COLUMN('2.2 Tutk. ja osien pain. pist.'!P:P),FALSE),1),0)</f>
        <v>9698.6</v>
      </c>
      <c r="N131" s="19">
        <f>IFERROR(Ohj.lask.[[#This Row],[Painotetut pisteet 2]]/Ohj.lask.[[#Totals],[Painotetut pisteet 2]],0)</f>
        <v>6.1978183393154558E-4</v>
      </c>
      <c r="O131" s="26">
        <f>ROUND(IFERROR('1.1 Jakotaulu'!K$11*Ohj.lask.[[#This Row],[%-osuus 2]],0),0)</f>
        <v>229491</v>
      </c>
      <c r="P131" s="350">
        <f>IFERROR(ROUND(VLOOKUP($A131,'2.3 Työll. ja jatko-opisk.'!$A:$K,COLUMN('2.3 Työll. ja jatko-opisk.'!I:I),FALSE),1),0)</f>
        <v>62.9</v>
      </c>
      <c r="Q131" s="19">
        <f>IFERROR(Ohj.lask.[[#This Row],[Painotetut pisteet 3]]/Ohj.lask.[[#Totals],[Painotetut pisteet 3]],0)</f>
        <v>3.3205088138656846E-4</v>
      </c>
      <c r="R131" s="20">
        <f>ROUND(IFERROR('1.1 Jakotaulu'!L$13*Ohj.lask.[[#This Row],[%-osuus 3]],0),0)</f>
        <v>46107</v>
      </c>
      <c r="S131" s="349">
        <f>IFERROR(ROUND(VLOOKUP($A131,'2.4 Aloittaneet palaute'!$A:$K,COLUMN('2.4 Aloittaneet palaute'!J:J),FALSE),1),0)</f>
        <v>631.70000000000005</v>
      </c>
      <c r="T131" s="23">
        <f>IFERROR(Ohj.lask.[[#This Row],[Painotetut pisteet 4]]/Ohj.lask.[[#Totals],[Painotetut pisteet 4]],0)</f>
        <v>5.0737456113746993E-4</v>
      </c>
      <c r="U131" s="26">
        <f>ROUND(IFERROR('1.1 Jakotaulu'!M$15*Ohj.lask.[[#This Row],[%-osuus 4]],0),0)</f>
        <v>5871</v>
      </c>
      <c r="V131" s="85">
        <f>IFERROR(ROUND(VLOOKUP($A131,'2.5 Päättäneet palaute'!$A:$AC,COLUMN('2.5 Päättäneet palaute'!AB:AB),FALSE),1),0)</f>
        <v>4127</v>
      </c>
      <c r="W131" s="23">
        <f>IFERROR(Ohj.lask.[[#This Row],[Painotetut pisteet 5]]/Ohj.lask.[[#Totals],[Painotetut pisteet 5]],0)</f>
        <v>6.2321668967952552E-4</v>
      </c>
      <c r="X131" s="20">
        <f>ROUND(IFERROR('1.1 Jakotaulu'!M$16*Ohj.lask.[[#This Row],[%-osuus 5]],0),0)</f>
        <v>21634</v>
      </c>
      <c r="Y131" s="22">
        <f>IFERROR(Ohj.lask.[[#This Row],[Jaettava € 6]]/Ohj.lask.[[#Totals],[Jaettava € 6]],"")</f>
        <v>5.0207265303109253E-4</v>
      </c>
      <c r="Z131" s="26">
        <f>IFERROR(Ohj.lask.[[#This Row],[Jaettava € 1]]+Ohj.lask.[[#This Row],[Jaettava € 2]]+Ohj.lask.[[#This Row],[Jaettava € 3]]+Ohj.lask.[[#This Row],[Jaettava € 4]]+Ohj.lask.[[#This Row],[Jaettava € 5]],"")</f>
        <v>876172</v>
      </c>
      <c r="AA131" s="20">
        <v>0</v>
      </c>
      <c r="AB131" s="20">
        <v>0</v>
      </c>
      <c r="AC131" s="21">
        <v>100000</v>
      </c>
      <c r="AD131" s="20">
        <v>0</v>
      </c>
      <c r="AE131" s="21">
        <v>0</v>
      </c>
      <c r="AF131" s="20">
        <v>0</v>
      </c>
      <c r="AG131" s="21">
        <v>0</v>
      </c>
      <c r="AH131" s="20">
        <v>0</v>
      </c>
      <c r="AI131" s="21">
        <v>0</v>
      </c>
      <c r="AJ131" s="26">
        <v>0</v>
      </c>
      <c r="AK131" s="20">
        <v>0</v>
      </c>
      <c r="AL131" s="20">
        <v>0</v>
      </c>
      <c r="AM131" s="21">
        <v>100000</v>
      </c>
      <c r="AN131" s="136">
        <v>0</v>
      </c>
      <c r="AO131" s="20">
        <f>Ohj.lask.[[#This Row],[Jaettava € 1]]+Ohj.lask.[[#This Row],[Päätös 7, €]]</f>
        <v>573069</v>
      </c>
      <c r="AP131" s="119">
        <f>Ohj.lask.[[#This Row],[Jaettava € 2]]</f>
        <v>229491</v>
      </c>
      <c r="AQ131" s="20">
        <f>Ohj.lask.[[#This Row],[Jaettava € 3]]+Ohj.lask.[[#This Row],[Jaettava € 4]]+Ohj.lask.[[#This Row],[Jaettava € 5]]</f>
        <v>73612</v>
      </c>
      <c r="AR131" s="45">
        <f>Ohj.lask.[[#This Row],[Jaettava € 6]]+Ohj.lask.[[#This Row],[Päätös 7, €]]</f>
        <v>876172</v>
      </c>
      <c r="AS131" s="45">
        <f>ROUND(IFERROR(VLOOKUP(Ohj.lask.[[#This Row],[Y-tunnus]],'3.1 Alv vahvistettu'!A:Y,COLUMN(C:C),FALSE),0),0)</f>
        <v>28808</v>
      </c>
      <c r="AT131" s="26">
        <f>Ohj.lask.[[#This Row],[Perus-, suoritus- ja vaikuttavuusrahoitus yhteensä, €]]+Ohj.lask.[[#This Row],[Alv-korvaus, €]]</f>
        <v>904980</v>
      </c>
    </row>
    <row r="132" spans="1:46" ht="12.75" x14ac:dyDescent="0.2">
      <c r="A132" s="147" t="s">
        <v>273</v>
      </c>
      <c r="B132" s="17" t="s">
        <v>134</v>
      </c>
      <c r="C132" s="17" t="s">
        <v>272</v>
      </c>
      <c r="D132" s="17" t="s">
        <v>423</v>
      </c>
      <c r="E132" s="17" t="s">
        <v>663</v>
      </c>
      <c r="F132" s="128">
        <v>66</v>
      </c>
      <c r="G132" s="135">
        <v>0</v>
      </c>
      <c r="H132" s="44">
        <f t="shared" si="6"/>
        <v>66</v>
      </c>
      <c r="I132" s="18">
        <f>IFERROR(VLOOKUP($A132,'2.1 Toteut. op.vuodet'!$A:$Q,COLUMN('2.1 Toteut. op.vuodet'!Q:Q),FALSE),0)</f>
        <v>1.5896765703321101</v>
      </c>
      <c r="J132" s="85">
        <f t="shared" si="7"/>
        <v>104.9</v>
      </c>
      <c r="K132" s="19">
        <f>IFERROR(Ohj.lask.[[#This Row],[Painotetut opiskelija-vuodet]]/Ohj.lask.[[#Totals],[Painotetut opiskelija-vuodet]],0)</f>
        <v>5.2038866931805269E-4</v>
      </c>
      <c r="L132" s="20">
        <f>ROUND(IFERROR('1.1 Jakotaulu'!L$10*Ohj.lask.[[#This Row],[%-osuus 1]],0),0)</f>
        <v>619104</v>
      </c>
      <c r="M132" s="349">
        <f>IFERROR(ROUND(VLOOKUP($A132,'2.2 Tutk. ja osien pain. pist.'!$A:$Q,COLUMN('2.2 Tutk. ja osien pain. pist.'!P:P),FALSE),1),0)</f>
        <v>13996</v>
      </c>
      <c r="N132" s="19">
        <f>IFERROR(Ohj.lask.[[#This Row],[Painotetut pisteet 2]]/Ohj.lask.[[#Totals],[Painotetut pisteet 2]],0)</f>
        <v>8.9440399106117507E-4</v>
      </c>
      <c r="O132" s="26">
        <f>ROUND(IFERROR('1.1 Jakotaulu'!K$11*Ohj.lask.[[#This Row],[%-osuus 2]],0),0)</f>
        <v>331177</v>
      </c>
      <c r="P132" s="350">
        <f>IFERROR(ROUND(VLOOKUP($A132,'2.3 Työll. ja jatko-opisk.'!$A:$K,COLUMN('2.3 Työll. ja jatko-opisk.'!I:I),FALSE),1),0)</f>
        <v>92.5</v>
      </c>
      <c r="Q132" s="19">
        <f>IFERROR(Ohj.lask.[[#This Row],[Painotetut pisteet 3]]/Ohj.lask.[[#Totals],[Painotetut pisteet 3]],0)</f>
        <v>4.8831011968613008E-4</v>
      </c>
      <c r="R132" s="20">
        <f>ROUND(IFERROR('1.1 Jakotaulu'!L$13*Ohj.lask.[[#This Row],[%-osuus 3]],0),0)</f>
        <v>67804</v>
      </c>
      <c r="S132" s="349">
        <f>IFERROR(ROUND(VLOOKUP($A132,'2.4 Aloittaneet palaute'!$A:$K,COLUMN('2.4 Aloittaneet palaute'!J:J),FALSE),1),0)</f>
        <v>537.9</v>
      </c>
      <c r="T132" s="23">
        <f>IFERROR(Ohj.lask.[[#This Row],[Painotetut pisteet 4]]/Ohj.lask.[[#Totals],[Painotetut pisteet 4]],0)</f>
        <v>4.3203542256742923E-4</v>
      </c>
      <c r="U132" s="26">
        <f>ROUND(IFERROR('1.1 Jakotaulu'!M$15*Ohj.lask.[[#This Row],[%-osuus 4]],0),0)</f>
        <v>4999</v>
      </c>
      <c r="V132" s="85">
        <f>IFERROR(ROUND(VLOOKUP($A132,'2.5 Päättäneet palaute'!$A:$AC,COLUMN('2.5 Päättäneet palaute'!AB:AB),FALSE),1),0)</f>
        <v>0</v>
      </c>
      <c r="W132" s="23">
        <f>IFERROR(Ohj.lask.[[#This Row],[Painotetut pisteet 5]]/Ohj.lask.[[#Totals],[Painotetut pisteet 5]],0)</f>
        <v>0</v>
      </c>
      <c r="X132" s="20">
        <f>ROUND(IFERROR('1.1 Jakotaulu'!M$16*Ohj.lask.[[#This Row],[%-osuus 5]],0),0)</f>
        <v>0</v>
      </c>
      <c r="Y132" s="22">
        <f>IFERROR(Ohj.lask.[[#This Row],[Jaettava € 6]]/Ohj.lask.[[#Totals],[Jaettava € 6]],"")</f>
        <v>5.8625760484660799E-4</v>
      </c>
      <c r="Z132" s="26">
        <f>IFERROR(Ohj.lask.[[#This Row],[Jaettava € 1]]+Ohj.lask.[[#This Row],[Jaettava € 2]]+Ohj.lask.[[#This Row],[Jaettava € 3]]+Ohj.lask.[[#This Row],[Jaettava € 4]]+Ohj.lask.[[#This Row],[Jaettava € 5]],"")</f>
        <v>1023084</v>
      </c>
      <c r="AA132" s="20">
        <v>0</v>
      </c>
      <c r="AB132" s="20">
        <v>0</v>
      </c>
      <c r="AC132" s="21">
        <v>0</v>
      </c>
      <c r="AD132" s="20">
        <v>0</v>
      </c>
      <c r="AE132" s="21">
        <v>0</v>
      </c>
      <c r="AF132" s="20">
        <v>0</v>
      </c>
      <c r="AG132" s="21">
        <v>0</v>
      </c>
      <c r="AH132" s="20">
        <v>0</v>
      </c>
      <c r="AI132" s="21">
        <v>0</v>
      </c>
      <c r="AJ132" s="26">
        <v>0</v>
      </c>
      <c r="AK132" s="20">
        <v>0</v>
      </c>
      <c r="AL132" s="20">
        <v>0</v>
      </c>
      <c r="AM132" s="21">
        <v>0</v>
      </c>
      <c r="AN132" s="136">
        <v>0</v>
      </c>
      <c r="AO132" s="20">
        <f>Ohj.lask.[[#This Row],[Jaettava € 1]]+Ohj.lask.[[#This Row],[Päätös 7, €]]</f>
        <v>619104</v>
      </c>
      <c r="AP132" s="119">
        <f>Ohj.lask.[[#This Row],[Jaettava € 2]]</f>
        <v>331177</v>
      </c>
      <c r="AQ132" s="20">
        <f>Ohj.lask.[[#This Row],[Jaettava € 3]]+Ohj.lask.[[#This Row],[Jaettava € 4]]+Ohj.lask.[[#This Row],[Jaettava € 5]]</f>
        <v>72803</v>
      </c>
      <c r="AR132" s="45">
        <f>Ohj.lask.[[#This Row],[Jaettava € 6]]+Ohj.lask.[[#This Row],[Päätös 7, €]]</f>
        <v>1023084</v>
      </c>
      <c r="AS132" s="45">
        <f>ROUND(IFERROR(VLOOKUP(Ohj.lask.[[#This Row],[Y-tunnus]],'3.1 Alv vahvistettu'!A:Y,COLUMN(C:C),FALSE),0),0)</f>
        <v>44481</v>
      </c>
      <c r="AT132" s="26">
        <f>Ohj.lask.[[#This Row],[Perus-, suoritus- ja vaikuttavuusrahoitus yhteensä, €]]+Ohj.lask.[[#This Row],[Alv-korvaus, €]]</f>
        <v>1067565</v>
      </c>
    </row>
    <row r="133" spans="1:46" ht="12.75" x14ac:dyDescent="0.2">
      <c r="A133" s="147" t="s">
        <v>268</v>
      </c>
      <c r="B133" s="17" t="s">
        <v>135</v>
      </c>
      <c r="C133" s="17" t="s">
        <v>242</v>
      </c>
      <c r="D133" s="17" t="s">
        <v>423</v>
      </c>
      <c r="E133" s="17" t="s">
        <v>663</v>
      </c>
      <c r="F133" s="128">
        <v>184</v>
      </c>
      <c r="G133" s="135">
        <v>13</v>
      </c>
      <c r="H133" s="44">
        <f t="shared" si="6"/>
        <v>197</v>
      </c>
      <c r="I133" s="18">
        <f>IFERROR(VLOOKUP($A133,'2.1 Toteut. op.vuodet'!$A:$Q,COLUMN('2.1 Toteut. op.vuodet'!Q:Q),FALSE),0)</f>
        <v>1.4130168599609065</v>
      </c>
      <c r="J133" s="85">
        <f t="shared" si="7"/>
        <v>278.39999999999998</v>
      </c>
      <c r="K133" s="19">
        <f>IFERROR(Ohj.lask.[[#This Row],[Painotetut opiskelija-vuodet]]/Ohj.lask.[[#Totals],[Painotetut opiskelija-vuodet]],0)</f>
        <v>1.3810887086572533E-3</v>
      </c>
      <c r="L133" s="20">
        <f>ROUND(IFERROR('1.1 Jakotaulu'!L$10*Ohj.lask.[[#This Row],[%-osuus 1]],0),0)</f>
        <v>1643074</v>
      </c>
      <c r="M133" s="349">
        <f>IFERROR(ROUND(VLOOKUP($A133,'2.2 Tutk. ja osien pain. pist.'!$A:$Q,COLUMN('2.2 Tutk. ja osien pain. pist.'!P:P),FALSE),1),0)</f>
        <v>23461.1</v>
      </c>
      <c r="N133" s="19">
        <f>IFERROR(Ohj.lask.[[#This Row],[Painotetut pisteet 2]]/Ohj.lask.[[#Totals],[Painotetut pisteet 2]],0)</f>
        <v>1.4992641808148994E-3</v>
      </c>
      <c r="O133" s="26">
        <f>ROUND(IFERROR('1.1 Jakotaulu'!K$11*Ohj.lask.[[#This Row],[%-osuus 2]],0),0)</f>
        <v>555143</v>
      </c>
      <c r="P133" s="350">
        <f>IFERROR(ROUND(VLOOKUP($A133,'2.3 Työll. ja jatko-opisk.'!$A:$K,COLUMN('2.3 Työll. ja jatko-opisk.'!I:I),FALSE),1),0)</f>
        <v>184</v>
      </c>
      <c r="Q133" s="19">
        <f>IFERROR(Ohj.lask.[[#This Row],[Painotetut pisteet 3]]/Ohj.lask.[[#Totals],[Painotetut pisteet 3]],0)</f>
        <v>9.7134121105132911E-4</v>
      </c>
      <c r="R133" s="20">
        <f>ROUND(IFERROR('1.1 Jakotaulu'!L$13*Ohj.lask.[[#This Row],[%-osuus 3]],0),0)</f>
        <v>134874</v>
      </c>
      <c r="S133" s="349">
        <f>IFERROR(ROUND(VLOOKUP($A133,'2.4 Aloittaneet palaute'!$A:$K,COLUMN('2.4 Aloittaneet palaute'!J:J),FALSE),1),0)</f>
        <v>1428.2</v>
      </c>
      <c r="T133" s="23">
        <f>IFERROR(Ohj.lask.[[#This Row],[Painotetut pisteet 4]]/Ohj.lask.[[#Totals],[Painotetut pisteet 4]],0)</f>
        <v>1.1471146876943716E-3</v>
      </c>
      <c r="U133" s="26">
        <f>ROUND(IFERROR('1.1 Jakotaulu'!M$15*Ohj.lask.[[#This Row],[%-osuus 4]],0),0)</f>
        <v>13273</v>
      </c>
      <c r="V133" s="85">
        <f>IFERROR(ROUND(VLOOKUP($A133,'2.5 Päättäneet palaute'!$A:$AC,COLUMN('2.5 Päättäneet palaute'!AB:AB),FALSE),1),0)</f>
        <v>10920.4</v>
      </c>
      <c r="W133" s="23">
        <f>IFERROR(Ohj.lask.[[#This Row],[Painotetut pisteet 5]]/Ohj.lask.[[#Totals],[Painotetut pisteet 5]],0)</f>
        <v>1.6490854223349383E-3</v>
      </c>
      <c r="X133" s="20">
        <f>ROUND(IFERROR('1.1 Jakotaulu'!M$16*Ohj.lask.[[#This Row],[%-osuus 5]],0),0)</f>
        <v>57245</v>
      </c>
      <c r="Y133" s="22">
        <f>IFERROR(Ohj.lask.[[#This Row],[Jaettava € 6]]/Ohj.lask.[[#Totals],[Jaettava € 6]],"")</f>
        <v>1.377339549174604E-3</v>
      </c>
      <c r="Z133" s="26">
        <f>IFERROR(Ohj.lask.[[#This Row],[Jaettava € 1]]+Ohj.lask.[[#This Row],[Jaettava € 2]]+Ohj.lask.[[#This Row],[Jaettava € 3]]+Ohj.lask.[[#This Row],[Jaettava € 4]]+Ohj.lask.[[#This Row],[Jaettava € 5]],"")</f>
        <v>2403609</v>
      </c>
      <c r="AA133" s="20">
        <v>0</v>
      </c>
      <c r="AB133" s="20">
        <v>0</v>
      </c>
      <c r="AC133" s="21">
        <v>0</v>
      </c>
      <c r="AD133" s="20">
        <v>0</v>
      </c>
      <c r="AE133" s="21">
        <v>0</v>
      </c>
      <c r="AF133" s="20">
        <v>0</v>
      </c>
      <c r="AG133" s="21">
        <v>0</v>
      </c>
      <c r="AH133" s="20">
        <v>0</v>
      </c>
      <c r="AI133" s="21">
        <v>0</v>
      </c>
      <c r="AJ133" s="26">
        <v>0</v>
      </c>
      <c r="AK133" s="20">
        <v>0</v>
      </c>
      <c r="AL133" s="20">
        <v>0</v>
      </c>
      <c r="AM133" s="21">
        <v>0</v>
      </c>
      <c r="AN133" s="136">
        <v>0</v>
      </c>
      <c r="AO133" s="20">
        <f>Ohj.lask.[[#This Row],[Jaettava € 1]]+Ohj.lask.[[#This Row],[Päätös 7, €]]</f>
        <v>1643074</v>
      </c>
      <c r="AP133" s="119">
        <f>Ohj.lask.[[#This Row],[Jaettava € 2]]</f>
        <v>555143</v>
      </c>
      <c r="AQ133" s="20">
        <f>Ohj.lask.[[#This Row],[Jaettava € 3]]+Ohj.lask.[[#This Row],[Jaettava € 4]]+Ohj.lask.[[#This Row],[Jaettava € 5]]</f>
        <v>205392</v>
      </c>
      <c r="AR133" s="45">
        <f>Ohj.lask.[[#This Row],[Jaettava € 6]]+Ohj.lask.[[#This Row],[Päätös 7, €]]</f>
        <v>2403609</v>
      </c>
      <c r="AS133" s="45">
        <f>ROUND(IFERROR(VLOOKUP(Ohj.lask.[[#This Row],[Y-tunnus]],'3.1 Alv vahvistettu'!A:Y,COLUMN(C:C),FALSE),0),0)</f>
        <v>144639</v>
      </c>
      <c r="AT133" s="26">
        <f>Ohj.lask.[[#This Row],[Perus-, suoritus- ja vaikuttavuusrahoitus yhteensä, €]]+Ohj.lask.[[#This Row],[Alv-korvaus, €]]</f>
        <v>2548248</v>
      </c>
    </row>
    <row r="134" spans="1:46" ht="12.75" x14ac:dyDescent="0.2">
      <c r="A134" s="147" t="s">
        <v>270</v>
      </c>
      <c r="B134" s="17" t="s">
        <v>177</v>
      </c>
      <c r="C134" s="17" t="s">
        <v>238</v>
      </c>
      <c r="D134" s="17" t="s">
        <v>423</v>
      </c>
      <c r="E134" s="17" t="s">
        <v>663</v>
      </c>
      <c r="F134" s="128">
        <v>35</v>
      </c>
      <c r="G134" s="135">
        <v>0</v>
      </c>
      <c r="H134" s="44">
        <f t="shared" ref="H134:H155" si="8">IFERROR(F134+G134,0)</f>
        <v>35</v>
      </c>
      <c r="I134" s="18">
        <f>IFERROR(VLOOKUP($A134,'2.1 Toteut. op.vuodet'!$A:$Q,COLUMN('2.1 Toteut. op.vuodet'!Q:Q),FALSE),0)</f>
        <v>0.76229999999999976</v>
      </c>
      <c r="J134" s="85">
        <f t="shared" ref="J134:J155" si="9">IFERROR(ROUND(H134*I134,1),0)</f>
        <v>26.7</v>
      </c>
      <c r="K134" s="19">
        <f>IFERROR(Ohj.lask.[[#This Row],[Painotetut opiskelija-vuodet]]/Ohj.lask.[[#Totals],[Painotetut opiskelija-vuodet]],0)</f>
        <v>1.3245355072251676E-4</v>
      </c>
      <c r="L134" s="20">
        <f>ROUND(IFERROR('1.1 Jakotaulu'!L$10*Ohj.lask.[[#This Row],[%-osuus 1]],0),0)</f>
        <v>157579</v>
      </c>
      <c r="M134" s="349">
        <f>IFERROR(ROUND(VLOOKUP($A134,'2.2 Tutk. ja osien pain. pist.'!$A:$Q,COLUMN('2.2 Tutk. ja osien pain. pist.'!P:P),FALSE),1),0)</f>
        <v>2265.1999999999998</v>
      </c>
      <c r="N134" s="19">
        <f>IFERROR(Ohj.lask.[[#This Row],[Painotetut pisteet 2]]/Ohj.lask.[[#Totals],[Painotetut pisteet 2]],0)</f>
        <v>1.4475592458929504E-4</v>
      </c>
      <c r="O134" s="26">
        <f>ROUND(IFERROR('1.1 Jakotaulu'!K$11*Ohj.lask.[[#This Row],[%-osuus 2]],0),0)</f>
        <v>53600</v>
      </c>
      <c r="P134" s="350">
        <f>IFERROR(ROUND(VLOOKUP($A134,'2.3 Työll. ja jatko-opisk.'!$A:$K,COLUMN('2.3 Työll. ja jatko-opisk.'!I:I),FALSE),1),0)</f>
        <v>83.6</v>
      </c>
      <c r="Q134" s="19">
        <f>IFERROR(Ohj.lask.[[#This Row],[Painotetut pisteet 3]]/Ohj.lask.[[#Totals],[Painotetut pisteet 3]],0)</f>
        <v>4.4132676762984296E-4</v>
      </c>
      <c r="R134" s="20">
        <f>ROUND(IFERROR('1.1 Jakotaulu'!L$13*Ohj.lask.[[#This Row],[%-osuus 3]],0),0)</f>
        <v>61280</v>
      </c>
      <c r="S134" s="349">
        <f>IFERROR(ROUND(VLOOKUP($A134,'2.4 Aloittaneet palaute'!$A:$K,COLUMN('2.4 Aloittaneet palaute'!J:J),FALSE),1),0)</f>
        <v>0</v>
      </c>
      <c r="T134" s="23">
        <f>IFERROR(Ohj.lask.[[#This Row],[Painotetut pisteet 4]]/Ohj.lask.[[#Totals],[Painotetut pisteet 4]],0)</f>
        <v>0</v>
      </c>
      <c r="U134" s="26">
        <f>ROUND(IFERROR('1.1 Jakotaulu'!M$15*Ohj.lask.[[#This Row],[%-osuus 4]],0),0)</f>
        <v>0</v>
      </c>
      <c r="V134" s="85">
        <f>IFERROR(ROUND(VLOOKUP($A134,'2.5 Päättäneet palaute'!$A:$AC,COLUMN('2.5 Päättäneet palaute'!AB:AB),FALSE),1),0)</f>
        <v>0</v>
      </c>
      <c r="W134" s="23">
        <f>IFERROR(Ohj.lask.[[#This Row],[Painotetut pisteet 5]]/Ohj.lask.[[#Totals],[Painotetut pisteet 5]],0)</f>
        <v>0</v>
      </c>
      <c r="X134" s="20">
        <f>ROUND(IFERROR('1.1 Jakotaulu'!M$16*Ohj.lask.[[#This Row],[%-osuus 5]],0),0)</f>
        <v>0</v>
      </c>
      <c r="Y134" s="22">
        <f>IFERROR(Ohj.lask.[[#This Row],[Jaettava € 6]]/Ohj.lask.[[#Totals],[Jaettava € 6]],"")</f>
        <v>1.5612712226845691E-4</v>
      </c>
      <c r="Z134" s="26">
        <f>IFERROR(Ohj.lask.[[#This Row],[Jaettava € 1]]+Ohj.lask.[[#This Row],[Jaettava € 2]]+Ohj.lask.[[#This Row],[Jaettava € 3]]+Ohj.lask.[[#This Row],[Jaettava € 4]]+Ohj.lask.[[#This Row],[Jaettava € 5]],"")</f>
        <v>272459</v>
      </c>
      <c r="AA134" s="20">
        <v>0</v>
      </c>
      <c r="AB134" s="20">
        <v>0</v>
      </c>
      <c r="AC134" s="21">
        <v>0</v>
      </c>
      <c r="AD134" s="20">
        <v>0</v>
      </c>
      <c r="AE134" s="21">
        <v>0</v>
      </c>
      <c r="AF134" s="20">
        <v>0</v>
      </c>
      <c r="AG134" s="21">
        <v>0</v>
      </c>
      <c r="AH134" s="20">
        <v>0</v>
      </c>
      <c r="AI134" s="21">
        <v>0</v>
      </c>
      <c r="AJ134" s="26">
        <v>0</v>
      </c>
      <c r="AK134" s="20">
        <v>0</v>
      </c>
      <c r="AL134" s="20">
        <v>0</v>
      </c>
      <c r="AM134" s="21">
        <v>0</v>
      </c>
      <c r="AN134" s="136">
        <v>0</v>
      </c>
      <c r="AO134" s="20">
        <f>Ohj.lask.[[#This Row],[Jaettava € 1]]+Ohj.lask.[[#This Row],[Päätös 7, €]]</f>
        <v>157579</v>
      </c>
      <c r="AP134" s="119">
        <f>Ohj.lask.[[#This Row],[Jaettava € 2]]</f>
        <v>53600</v>
      </c>
      <c r="AQ134" s="20">
        <f>Ohj.lask.[[#This Row],[Jaettava € 3]]+Ohj.lask.[[#This Row],[Jaettava € 4]]+Ohj.lask.[[#This Row],[Jaettava € 5]]</f>
        <v>61280</v>
      </c>
      <c r="AR134" s="45">
        <f>Ohj.lask.[[#This Row],[Jaettava € 6]]+Ohj.lask.[[#This Row],[Päätös 7, €]]</f>
        <v>272459</v>
      </c>
      <c r="AS134" s="45">
        <f>ROUND(IFERROR(VLOOKUP(Ohj.lask.[[#This Row],[Y-tunnus]],'3.1 Alv vahvistettu'!A:Y,COLUMN(C:C),FALSE),0),0)</f>
        <v>0</v>
      </c>
      <c r="AT134" s="26">
        <f>Ohj.lask.[[#This Row],[Perus-, suoritus- ja vaikuttavuusrahoitus yhteensä, €]]+Ohj.lask.[[#This Row],[Alv-korvaus, €]]</f>
        <v>272459</v>
      </c>
    </row>
    <row r="135" spans="1:46" ht="12.75" x14ac:dyDescent="0.2">
      <c r="A135" s="147" t="s">
        <v>269</v>
      </c>
      <c r="B135" s="17" t="s">
        <v>136</v>
      </c>
      <c r="C135" s="17" t="s">
        <v>242</v>
      </c>
      <c r="D135" s="17" t="s">
        <v>423</v>
      </c>
      <c r="E135" s="17" t="s">
        <v>663</v>
      </c>
      <c r="F135" s="128">
        <v>0</v>
      </c>
      <c r="G135" s="135">
        <v>37</v>
      </c>
      <c r="H135" s="44">
        <f t="shared" si="8"/>
        <v>37</v>
      </c>
      <c r="I135" s="18">
        <f>IFERROR(VLOOKUP($A135,'2.1 Toteut. op.vuodet'!$A:$Q,COLUMN('2.1 Toteut. op.vuodet'!Q:Q),FALSE),0)</f>
        <v>1.0227959697733</v>
      </c>
      <c r="J135" s="85">
        <f t="shared" si="9"/>
        <v>37.799999999999997</v>
      </c>
      <c r="K135" s="19">
        <f>IFERROR(Ohj.lask.[[#This Row],[Painotetut opiskelija-vuodet]]/Ohj.lask.[[#Totals],[Painotetut opiskelija-vuodet]],0)</f>
        <v>1.8751851001165291E-4</v>
      </c>
      <c r="L135" s="20">
        <f>ROUND(IFERROR('1.1 Jakotaulu'!L$10*Ohj.lask.[[#This Row],[%-osuus 1]],0),0)</f>
        <v>223090</v>
      </c>
      <c r="M135" s="349">
        <f>IFERROR(ROUND(VLOOKUP($A135,'2.2 Tutk. ja osien pain. pist.'!$A:$Q,COLUMN('2.2 Tutk. ja osien pain. pist.'!P:P),FALSE),1),0)</f>
        <v>282.39999999999998</v>
      </c>
      <c r="N135" s="19">
        <f>IFERROR(Ohj.lask.[[#This Row],[Painotetut pisteet 2]]/Ohj.lask.[[#Totals],[Painotetut pisteet 2]],0)</f>
        <v>1.8046562380371235E-5</v>
      </c>
      <c r="O135" s="26">
        <f>ROUND(IFERROR('1.1 Jakotaulu'!K$11*Ohj.lask.[[#This Row],[%-osuus 2]],0),0)</f>
        <v>6682</v>
      </c>
      <c r="P135" s="350">
        <f>IFERROR(ROUND(VLOOKUP($A135,'2.3 Työll. ja jatko-opisk.'!$A:$K,COLUMN('2.3 Työll. ja jatko-opisk.'!I:I),FALSE),1),0)</f>
        <v>0</v>
      </c>
      <c r="Q135" s="19">
        <f>IFERROR(Ohj.lask.[[#This Row],[Painotetut pisteet 3]]/Ohj.lask.[[#Totals],[Painotetut pisteet 3]],0)</f>
        <v>0</v>
      </c>
      <c r="R135" s="20">
        <f>ROUND(IFERROR('1.1 Jakotaulu'!L$13*Ohj.lask.[[#This Row],[%-osuus 3]],0),0)</f>
        <v>0</v>
      </c>
      <c r="S135" s="349">
        <f>IFERROR(ROUND(VLOOKUP($A135,'2.4 Aloittaneet palaute'!$A:$K,COLUMN('2.4 Aloittaneet palaute'!J:J),FALSE),1),0)</f>
        <v>1048.3</v>
      </c>
      <c r="T135" s="23">
        <f>IFERROR(Ohj.lask.[[#This Row],[Painotetut pisteet 4]]/Ohj.lask.[[#Totals],[Painotetut pisteet 4]],0)</f>
        <v>8.419831445946013E-4</v>
      </c>
      <c r="U135" s="26">
        <f>ROUND(IFERROR('1.1 Jakotaulu'!M$15*Ohj.lask.[[#This Row],[%-osuus 4]],0),0)</f>
        <v>9743</v>
      </c>
      <c r="V135" s="85">
        <f>IFERROR(ROUND(VLOOKUP($A135,'2.5 Päättäneet palaute'!$A:$AC,COLUMN('2.5 Päättäneet palaute'!AB:AB),FALSE),1),0)</f>
        <v>2711.8</v>
      </c>
      <c r="W135" s="23">
        <f>IFERROR(Ohj.lask.[[#This Row],[Painotetut pisteet 5]]/Ohj.lask.[[#Totals],[Painotetut pisteet 5]],0)</f>
        <v>4.0950787959121332E-4</v>
      </c>
      <c r="X135" s="20">
        <f>ROUND(IFERROR('1.1 Jakotaulu'!M$16*Ohj.lask.[[#This Row],[%-osuus 5]],0),0)</f>
        <v>14215</v>
      </c>
      <c r="Y135" s="22">
        <f>IFERROR(Ohj.lask.[[#This Row],[Jaettava € 6]]/Ohj.lask.[[#Totals],[Jaettava € 6]],"")</f>
        <v>1.4539484741988911E-4</v>
      </c>
      <c r="Z135" s="26">
        <f>IFERROR(Ohj.lask.[[#This Row],[Jaettava € 1]]+Ohj.lask.[[#This Row],[Jaettava € 2]]+Ohj.lask.[[#This Row],[Jaettava € 3]]+Ohj.lask.[[#This Row],[Jaettava € 4]]+Ohj.lask.[[#This Row],[Jaettava € 5]],"")</f>
        <v>253730</v>
      </c>
      <c r="AA135" s="20">
        <v>0</v>
      </c>
      <c r="AB135" s="20">
        <v>0</v>
      </c>
      <c r="AC135" s="21">
        <v>0</v>
      </c>
      <c r="AD135" s="20">
        <v>0</v>
      </c>
      <c r="AE135" s="21">
        <v>271603</v>
      </c>
      <c r="AF135" s="20">
        <v>0</v>
      </c>
      <c r="AG135" s="21">
        <v>0</v>
      </c>
      <c r="AH135" s="20">
        <v>0</v>
      </c>
      <c r="AI135" s="21">
        <v>99734</v>
      </c>
      <c r="AJ135" s="26">
        <v>10000</v>
      </c>
      <c r="AK135" s="20">
        <v>0</v>
      </c>
      <c r="AL135" s="20">
        <v>0</v>
      </c>
      <c r="AM135" s="21">
        <v>371337</v>
      </c>
      <c r="AN135" s="136">
        <v>10000</v>
      </c>
      <c r="AO135" s="20">
        <f>Ohj.lask.[[#This Row],[Jaettava € 1]]+Ohj.lask.[[#This Row],[Päätös 7, €]]</f>
        <v>233090</v>
      </c>
      <c r="AP135" s="119">
        <f>Ohj.lask.[[#This Row],[Jaettava € 2]]</f>
        <v>6682</v>
      </c>
      <c r="AQ135" s="20">
        <f>Ohj.lask.[[#This Row],[Jaettava € 3]]+Ohj.lask.[[#This Row],[Jaettava € 4]]+Ohj.lask.[[#This Row],[Jaettava € 5]]</f>
        <v>23958</v>
      </c>
      <c r="AR135" s="45">
        <f>Ohj.lask.[[#This Row],[Jaettava € 6]]+Ohj.lask.[[#This Row],[Päätös 7, €]]</f>
        <v>263730</v>
      </c>
      <c r="AS135" s="45">
        <f>ROUND(IFERROR(VLOOKUP(Ohj.lask.[[#This Row],[Y-tunnus]],'3.1 Alv vahvistettu'!A:Y,COLUMN(C:C),FALSE),0),0)</f>
        <v>27144</v>
      </c>
      <c r="AT135" s="26">
        <f>Ohj.lask.[[#This Row],[Perus-, suoritus- ja vaikuttavuusrahoitus yhteensä, €]]+Ohj.lask.[[#This Row],[Alv-korvaus, €]]</f>
        <v>290874</v>
      </c>
    </row>
    <row r="136" spans="1:46" ht="12.75" x14ac:dyDescent="0.2">
      <c r="A136" s="147" t="s">
        <v>267</v>
      </c>
      <c r="B136" s="17" t="s">
        <v>178</v>
      </c>
      <c r="C136" s="17" t="s">
        <v>238</v>
      </c>
      <c r="D136" s="17" t="s">
        <v>423</v>
      </c>
      <c r="E136" s="17" t="s">
        <v>663</v>
      </c>
      <c r="F136" s="128">
        <v>5</v>
      </c>
      <c r="G136" s="135">
        <v>0</v>
      </c>
      <c r="H136" s="44">
        <f t="shared" si="8"/>
        <v>5</v>
      </c>
      <c r="I136" s="18">
        <f>IFERROR(VLOOKUP($A136,'2.1 Toteut. op.vuodet'!$A:$Q,COLUMN('2.1 Toteut. op.vuodet'!Q:Q),FALSE),0)</f>
        <v>0.76229999999999998</v>
      </c>
      <c r="J136" s="85">
        <f t="shared" si="9"/>
        <v>3.8</v>
      </c>
      <c r="K136" s="19">
        <f>IFERROR(Ohj.lask.[[#This Row],[Painotetut opiskelija-vuodet]]/Ohj.lask.[[#Totals],[Painotetut opiskelija-vuodet]],0)</f>
        <v>1.8851067144028601E-5</v>
      </c>
      <c r="L136" s="20">
        <f>ROUND(IFERROR('1.1 Jakotaulu'!L$10*Ohj.lask.[[#This Row],[%-osuus 1]],0),0)</f>
        <v>22427</v>
      </c>
      <c r="M136" s="349">
        <f>IFERROR(ROUND(VLOOKUP($A136,'2.2 Tutk. ja osien pain. pist.'!$A:$Q,COLUMN('2.2 Tutk. ja osien pain. pist.'!P:P),FALSE),1),0)</f>
        <v>397.7</v>
      </c>
      <c r="N136" s="19">
        <f>IFERROR(Ohj.lask.[[#This Row],[Painotetut pisteet 2]]/Ohj.lask.[[#Totals],[Painotetut pisteet 2]],0)</f>
        <v>2.5414723295586545E-5</v>
      </c>
      <c r="O136" s="26">
        <f>ROUND(IFERROR('1.1 Jakotaulu'!K$11*Ohj.lask.[[#This Row],[%-osuus 2]],0),0)</f>
        <v>9410</v>
      </c>
      <c r="P136" s="350">
        <f>IFERROR(ROUND(VLOOKUP($A136,'2.3 Työll. ja jatko-opisk.'!$A:$K,COLUMN('2.3 Työll. ja jatko-opisk.'!I:I),FALSE),1),0)</f>
        <v>17.5</v>
      </c>
      <c r="Q136" s="19">
        <f>IFERROR(Ohj.lask.[[#This Row],[Painotetut pisteet 3]]/Ohj.lask.[[#Totals],[Painotetut pisteet 3]],0)</f>
        <v>9.238299561629489E-5</v>
      </c>
      <c r="R136" s="20">
        <f>ROUND(IFERROR('1.1 Jakotaulu'!L$13*Ohj.lask.[[#This Row],[%-osuus 3]],0),0)</f>
        <v>12828</v>
      </c>
      <c r="S136" s="349">
        <f>IFERROR(ROUND(VLOOKUP($A136,'2.4 Aloittaneet palaute'!$A:$K,COLUMN('2.4 Aloittaneet palaute'!J:J),FALSE),1),0)</f>
        <v>0</v>
      </c>
      <c r="T136" s="23">
        <f>IFERROR(Ohj.lask.[[#This Row],[Painotetut pisteet 4]]/Ohj.lask.[[#Totals],[Painotetut pisteet 4]],0)</f>
        <v>0</v>
      </c>
      <c r="U136" s="26">
        <f>ROUND(IFERROR('1.1 Jakotaulu'!M$15*Ohj.lask.[[#This Row],[%-osuus 4]],0),0)</f>
        <v>0</v>
      </c>
      <c r="V136" s="85">
        <f>IFERROR(ROUND(VLOOKUP($A136,'2.5 Päättäneet palaute'!$A:$AC,COLUMN('2.5 Päättäneet palaute'!AB:AB),FALSE),1),0)</f>
        <v>0</v>
      </c>
      <c r="W136" s="23">
        <f>IFERROR(Ohj.lask.[[#This Row],[Painotetut pisteet 5]]/Ohj.lask.[[#Totals],[Painotetut pisteet 5]],0)</f>
        <v>0</v>
      </c>
      <c r="X136" s="20">
        <f>ROUND(IFERROR('1.1 Jakotaulu'!M$16*Ohj.lask.[[#This Row],[%-osuus 5]],0),0)</f>
        <v>0</v>
      </c>
      <c r="Y136" s="22">
        <f>IFERROR(Ohj.lask.[[#This Row],[Jaettava € 6]]/Ohj.lask.[[#Totals],[Jaettava € 6]],"")</f>
        <v>2.5594375359671099E-5</v>
      </c>
      <c r="Z136" s="26">
        <f>IFERROR(Ohj.lask.[[#This Row],[Jaettava € 1]]+Ohj.lask.[[#This Row],[Jaettava € 2]]+Ohj.lask.[[#This Row],[Jaettava € 3]]+Ohj.lask.[[#This Row],[Jaettava € 4]]+Ohj.lask.[[#This Row],[Jaettava € 5]],"")</f>
        <v>44665</v>
      </c>
      <c r="AA136" s="20">
        <v>0</v>
      </c>
      <c r="AB136" s="20">
        <v>0</v>
      </c>
      <c r="AC136" s="21">
        <v>0</v>
      </c>
      <c r="AD136" s="20">
        <v>0</v>
      </c>
      <c r="AE136" s="21">
        <v>0</v>
      </c>
      <c r="AF136" s="20">
        <v>0</v>
      </c>
      <c r="AG136" s="21">
        <v>0</v>
      </c>
      <c r="AH136" s="20">
        <v>0</v>
      </c>
      <c r="AI136" s="21">
        <v>0</v>
      </c>
      <c r="AJ136" s="26">
        <v>0</v>
      </c>
      <c r="AK136" s="20">
        <v>0</v>
      </c>
      <c r="AL136" s="20">
        <v>0</v>
      </c>
      <c r="AM136" s="21">
        <v>0</v>
      </c>
      <c r="AN136" s="136">
        <v>0</v>
      </c>
      <c r="AO136" s="20">
        <f>Ohj.lask.[[#This Row],[Jaettava € 1]]+Ohj.lask.[[#This Row],[Päätös 7, €]]</f>
        <v>22427</v>
      </c>
      <c r="AP136" s="119">
        <f>Ohj.lask.[[#This Row],[Jaettava € 2]]</f>
        <v>9410</v>
      </c>
      <c r="AQ136" s="20">
        <f>Ohj.lask.[[#This Row],[Jaettava € 3]]+Ohj.lask.[[#This Row],[Jaettava € 4]]+Ohj.lask.[[#This Row],[Jaettava € 5]]</f>
        <v>12828</v>
      </c>
      <c r="AR136" s="45">
        <f>Ohj.lask.[[#This Row],[Jaettava € 6]]+Ohj.lask.[[#This Row],[Päätös 7, €]]</f>
        <v>44665</v>
      </c>
      <c r="AS136" s="45">
        <f>ROUND(IFERROR(VLOOKUP(Ohj.lask.[[#This Row],[Y-tunnus]],'3.1 Alv vahvistettu'!A:Y,COLUMN(C:C),FALSE),0),0)</f>
        <v>1342</v>
      </c>
      <c r="AT136" s="26">
        <f>Ohj.lask.[[#This Row],[Perus-, suoritus- ja vaikuttavuusrahoitus yhteensä, €]]+Ohj.lask.[[#This Row],[Alv-korvaus, €]]</f>
        <v>46007</v>
      </c>
    </row>
    <row r="137" spans="1:46" ht="12.75" x14ac:dyDescent="0.2">
      <c r="A137" s="147" t="s">
        <v>266</v>
      </c>
      <c r="B137" s="17" t="s">
        <v>137</v>
      </c>
      <c r="C137" s="17" t="s">
        <v>254</v>
      </c>
      <c r="D137" s="17" t="s">
        <v>423</v>
      </c>
      <c r="E137" s="17" t="s">
        <v>663</v>
      </c>
      <c r="F137" s="128">
        <v>610</v>
      </c>
      <c r="G137" s="135">
        <v>561</v>
      </c>
      <c r="H137" s="44">
        <f t="shared" si="8"/>
        <v>1171</v>
      </c>
      <c r="I137" s="18">
        <f>IFERROR(VLOOKUP($A137,'2.1 Toteut. op.vuodet'!$A:$Q,COLUMN('2.1 Toteut. op.vuodet'!Q:Q),FALSE),0)</f>
        <v>0.86117896208940192</v>
      </c>
      <c r="J137" s="85">
        <f t="shared" si="9"/>
        <v>1008.4</v>
      </c>
      <c r="K137" s="19">
        <f>IFERROR(Ohj.lask.[[#This Row],[Painotetut opiskelija-vuodet]]/Ohj.lask.[[#Totals],[Painotetut opiskelija-vuodet]],0)</f>
        <v>5.0024779231680108E-3</v>
      </c>
      <c r="L137" s="20">
        <f>ROUND(IFERROR('1.1 Jakotaulu'!L$10*Ohj.lask.[[#This Row],[%-osuus 1]],0),0)</f>
        <v>5951420</v>
      </c>
      <c r="M137" s="349">
        <f>IFERROR(ROUND(VLOOKUP($A137,'2.2 Tutk. ja osien pain. pist.'!$A:$Q,COLUMN('2.2 Tutk. ja osien pain. pist.'!P:P),FALSE),1),0)</f>
        <v>96364.6</v>
      </c>
      <c r="N137" s="19">
        <f>IFERROR(Ohj.lask.[[#This Row],[Painotetut pisteet 2]]/Ohj.lask.[[#Totals],[Painotetut pisteet 2]],0)</f>
        <v>6.1581082335677127E-3</v>
      </c>
      <c r="O137" s="26">
        <f>ROUND(IFERROR('1.1 Jakotaulu'!K$11*Ohj.lask.[[#This Row],[%-osuus 2]],0),0)</f>
        <v>2280206</v>
      </c>
      <c r="P137" s="350">
        <f>IFERROR(ROUND(VLOOKUP($A137,'2.3 Työll. ja jatko-opisk.'!$A:$K,COLUMN('2.3 Työll. ja jatko-opisk.'!I:I),FALSE),1),0)</f>
        <v>1514.8</v>
      </c>
      <c r="Q137" s="19">
        <f>IFERROR(Ohj.lask.[[#This Row],[Painotetut pisteet 3]]/Ohj.lask.[[#Totals],[Painotetut pisteet 3]],0)</f>
        <v>7.9966721005464859E-3</v>
      </c>
      <c r="R137" s="20">
        <f>ROUND(IFERROR('1.1 Jakotaulu'!L$13*Ohj.lask.[[#This Row],[%-osuus 3]],0),0)</f>
        <v>1110369</v>
      </c>
      <c r="S137" s="349">
        <f>IFERROR(ROUND(VLOOKUP($A137,'2.4 Aloittaneet palaute'!$A:$K,COLUMN('2.4 Aloittaneet palaute'!J:J),FALSE),1),0)</f>
        <v>11096.4</v>
      </c>
      <c r="T137" s="23">
        <f>IFERROR(Ohj.lask.[[#This Row],[Painotetut pisteet 4]]/Ohj.lask.[[#Totals],[Painotetut pisteet 4]],0)</f>
        <v>8.9125076463603299E-3</v>
      </c>
      <c r="U137" s="26">
        <f>ROUND(IFERROR('1.1 Jakotaulu'!M$15*Ohj.lask.[[#This Row],[%-osuus 4]],0),0)</f>
        <v>103128</v>
      </c>
      <c r="V137" s="85">
        <f>IFERROR(ROUND(VLOOKUP($A137,'2.5 Päättäneet palaute'!$A:$AC,COLUMN('2.5 Päättäneet palaute'!AB:AB),FALSE),1),0)</f>
        <v>57979.7</v>
      </c>
      <c r="W137" s="23">
        <f>IFERROR(Ohj.lask.[[#This Row],[Painotetut pisteet 5]]/Ohj.lask.[[#Totals],[Painotetut pisteet 5]],0)</f>
        <v>8.755492295277922E-3</v>
      </c>
      <c r="X137" s="20">
        <f>ROUND(IFERROR('1.1 Jakotaulu'!M$16*Ohj.lask.[[#This Row],[%-osuus 5]],0),0)</f>
        <v>303934</v>
      </c>
      <c r="Y137" s="22">
        <f>IFERROR(Ohj.lask.[[#This Row],[Jaettava € 6]]/Ohj.lask.[[#Totals],[Jaettava € 6]],"")</f>
        <v>5.5865000394230164E-3</v>
      </c>
      <c r="Z137" s="26">
        <f>IFERROR(Ohj.lask.[[#This Row],[Jaettava € 1]]+Ohj.lask.[[#This Row],[Jaettava € 2]]+Ohj.lask.[[#This Row],[Jaettava € 3]]+Ohj.lask.[[#This Row],[Jaettava € 4]]+Ohj.lask.[[#This Row],[Jaettava € 5]],"")</f>
        <v>9749057</v>
      </c>
      <c r="AA137" s="20">
        <v>616000</v>
      </c>
      <c r="AB137" s="20">
        <v>0</v>
      </c>
      <c r="AC137" s="21">
        <v>0</v>
      </c>
      <c r="AD137" s="20">
        <v>0</v>
      </c>
      <c r="AE137" s="21">
        <v>0</v>
      </c>
      <c r="AF137" s="20">
        <v>0</v>
      </c>
      <c r="AG137" s="21">
        <v>0</v>
      </c>
      <c r="AH137" s="20">
        <v>170000</v>
      </c>
      <c r="AI137" s="21">
        <v>60000</v>
      </c>
      <c r="AJ137" s="26">
        <v>60000</v>
      </c>
      <c r="AK137" s="20">
        <v>0</v>
      </c>
      <c r="AL137" s="20">
        <v>0</v>
      </c>
      <c r="AM137" s="21">
        <v>676000</v>
      </c>
      <c r="AN137" s="136">
        <v>230000</v>
      </c>
      <c r="AO137" s="20">
        <f>Ohj.lask.[[#This Row],[Jaettava € 1]]+Ohj.lask.[[#This Row],[Päätös 7, €]]</f>
        <v>6181420</v>
      </c>
      <c r="AP137" s="119">
        <f>Ohj.lask.[[#This Row],[Jaettava € 2]]</f>
        <v>2280206</v>
      </c>
      <c r="AQ137" s="20">
        <f>Ohj.lask.[[#This Row],[Jaettava € 3]]+Ohj.lask.[[#This Row],[Jaettava € 4]]+Ohj.lask.[[#This Row],[Jaettava € 5]]</f>
        <v>1517431</v>
      </c>
      <c r="AR137" s="45">
        <f>Ohj.lask.[[#This Row],[Jaettava € 6]]+Ohj.lask.[[#This Row],[Päätös 7, €]]</f>
        <v>9979057</v>
      </c>
      <c r="AS137" s="45">
        <f>ROUND(IFERROR(VLOOKUP(Ohj.lask.[[#This Row],[Y-tunnus]],'3.1 Alv vahvistettu'!A:Y,COLUMN(C:C),FALSE),0),0)</f>
        <v>444662</v>
      </c>
      <c r="AT137" s="26">
        <f>Ohj.lask.[[#This Row],[Perus-, suoritus- ja vaikuttavuusrahoitus yhteensä, €]]+Ohj.lask.[[#This Row],[Alv-korvaus, €]]</f>
        <v>10423719</v>
      </c>
    </row>
    <row r="138" spans="1:46" ht="12.75" x14ac:dyDescent="0.2">
      <c r="A138" s="147" t="s">
        <v>265</v>
      </c>
      <c r="B138" s="17" t="s">
        <v>138</v>
      </c>
      <c r="C138" s="113" t="s">
        <v>254</v>
      </c>
      <c r="D138" s="113" t="s">
        <v>423</v>
      </c>
      <c r="E138" s="113" t="s">
        <v>663</v>
      </c>
      <c r="F138" s="127">
        <v>302</v>
      </c>
      <c r="G138" s="135">
        <v>18</v>
      </c>
      <c r="H138" s="20">
        <f t="shared" si="8"/>
        <v>320</v>
      </c>
      <c r="I138" s="18">
        <f>IFERROR(VLOOKUP($A138,'2.1 Toteut. op.vuodet'!$A:$Q,COLUMN('2.1 Toteut. op.vuodet'!Q:Q),FALSE),0)</f>
        <v>1.1542896959572388</v>
      </c>
      <c r="J138" s="85">
        <f t="shared" si="9"/>
        <v>369.4</v>
      </c>
      <c r="K138" s="19">
        <f>IFERROR(Ohj.lask.[[#This Row],[Painotetut opiskelija-vuodet]]/Ohj.lask.[[#Totals],[Painotetut opiskelija-vuodet]],0)</f>
        <v>1.8325221586853065E-3</v>
      </c>
      <c r="L138" s="20">
        <f>ROUND(IFERROR('1.1 Jakotaulu'!L$10*Ohj.lask.[[#This Row],[%-osuus 1]],0),0)</f>
        <v>2180142</v>
      </c>
      <c r="M138" s="349">
        <f>IFERROR(ROUND(VLOOKUP($A138,'2.2 Tutk. ja osien pain. pist.'!$A:$Q,COLUMN('2.2 Tutk. ja osien pain. pist.'!P:P),FALSE),1),0)</f>
        <v>18746.2</v>
      </c>
      <c r="N138" s="19">
        <f>IFERROR(Ohj.lask.[[#This Row],[Painotetut pisteet 2]]/Ohj.lask.[[#Totals],[Painotetut pisteet 2]],0)</f>
        <v>1.1979619960868105E-3</v>
      </c>
      <c r="O138" s="26">
        <f>ROUND(IFERROR('1.1 Jakotaulu'!K$11*Ohj.lask.[[#This Row],[%-osuus 2]],0),0)</f>
        <v>443578</v>
      </c>
      <c r="P138" s="350">
        <f>IFERROR(ROUND(VLOOKUP($A138,'2.3 Työll. ja jatko-opisk.'!$A:$K,COLUMN('2.3 Työll. ja jatko-opisk.'!I:I),FALSE),1),0)</f>
        <v>271</v>
      </c>
      <c r="Q138" s="23">
        <f>IFERROR(Ohj.lask.[[#This Row],[Painotetut pisteet 3]]/Ohj.lask.[[#Totals],[Painotetut pisteet 3]],0)</f>
        <v>1.430616674972338E-3</v>
      </c>
      <c r="R138" s="20">
        <f>ROUND(IFERROR('1.1 Jakotaulu'!L$13*Ohj.lask.[[#This Row],[%-osuus 3]],0),0)</f>
        <v>198647</v>
      </c>
      <c r="S138" s="349">
        <f>IFERROR(ROUND(VLOOKUP($A138,'2.4 Aloittaneet palaute'!$A:$K,COLUMN('2.4 Aloittaneet palaute'!J:J),FALSE),1),0)</f>
        <v>2583.1</v>
      </c>
      <c r="T138" s="23">
        <f>IFERROR(Ohj.lask.[[#This Row],[Painotetut pisteet 4]]/Ohj.lask.[[#Totals],[Painotetut pisteet 4]],0)</f>
        <v>2.0747177914741148E-3</v>
      </c>
      <c r="U138" s="26">
        <f>ROUND(IFERROR('1.1 Jakotaulu'!M$15*Ohj.lask.[[#This Row],[%-osuus 4]],0),0)</f>
        <v>24007</v>
      </c>
      <c r="V138" s="85">
        <f>IFERROR(ROUND(VLOOKUP($A138,'2.5 Päättäneet palaute'!$A:$AC,COLUMN('2.5 Päättäneet palaute'!AB:AB),FALSE),1),0)</f>
        <v>12323.2</v>
      </c>
      <c r="W138" s="23">
        <f>IFERROR(Ohj.lask.[[#This Row],[Painotetut pisteet 5]]/Ohj.lask.[[#Totals],[Painotetut pisteet 5]],0)</f>
        <v>1.8609217131714875E-3</v>
      </c>
      <c r="X138" s="20">
        <f>ROUND(IFERROR('1.1 Jakotaulu'!M$16*Ohj.lask.[[#This Row],[%-osuus 5]],0),0)</f>
        <v>64599</v>
      </c>
      <c r="Y138" s="22">
        <f>IFERROR(Ohj.lask.[[#This Row],[Jaettava € 6]]/Ohj.lask.[[#Totals],[Jaettava € 6]],"")</f>
        <v>1.6680742331549952E-3</v>
      </c>
      <c r="Z138" s="26">
        <f>IFERROR(Ohj.lask.[[#This Row],[Jaettava € 1]]+Ohj.lask.[[#This Row],[Jaettava € 2]]+Ohj.lask.[[#This Row],[Jaettava € 3]]+Ohj.lask.[[#This Row],[Jaettava € 4]]+Ohj.lask.[[#This Row],[Jaettava € 5]],"")</f>
        <v>2910973</v>
      </c>
      <c r="AA138" s="20">
        <v>0</v>
      </c>
      <c r="AB138" s="20">
        <v>0</v>
      </c>
      <c r="AC138" s="21">
        <v>0</v>
      </c>
      <c r="AD138" s="20">
        <v>0</v>
      </c>
      <c r="AE138" s="21">
        <v>0</v>
      </c>
      <c r="AF138" s="20">
        <v>0</v>
      </c>
      <c r="AG138" s="21">
        <v>0</v>
      </c>
      <c r="AH138" s="20">
        <v>0</v>
      </c>
      <c r="AI138" s="21">
        <v>0</v>
      </c>
      <c r="AJ138" s="26">
        <v>0</v>
      </c>
      <c r="AK138" s="20">
        <v>0</v>
      </c>
      <c r="AL138" s="20">
        <v>0</v>
      </c>
      <c r="AM138" s="21">
        <v>0</v>
      </c>
      <c r="AN138" s="136">
        <v>0</v>
      </c>
      <c r="AO138" s="20">
        <f>Ohj.lask.[[#This Row],[Jaettava € 1]]+Ohj.lask.[[#This Row],[Päätös 7, €]]</f>
        <v>2180142</v>
      </c>
      <c r="AP138" s="119">
        <f>Ohj.lask.[[#This Row],[Jaettava € 2]]</f>
        <v>443578</v>
      </c>
      <c r="AQ138" s="20">
        <f>Ohj.lask.[[#This Row],[Jaettava € 3]]+Ohj.lask.[[#This Row],[Jaettava € 4]]+Ohj.lask.[[#This Row],[Jaettava € 5]]</f>
        <v>287253</v>
      </c>
      <c r="AR138" s="45">
        <f>Ohj.lask.[[#This Row],[Jaettava € 6]]+Ohj.lask.[[#This Row],[Päätös 7, €]]</f>
        <v>2910973</v>
      </c>
      <c r="AS138" s="45">
        <f>ROUND(IFERROR(VLOOKUP(Ohj.lask.[[#This Row],[Y-tunnus]],'3.1 Alv vahvistettu'!A:Y,COLUMN(C:C),FALSE),0),0)</f>
        <v>139000</v>
      </c>
      <c r="AT138" s="26">
        <f>Ohj.lask.[[#This Row],[Perus-, suoritus- ja vaikuttavuusrahoitus yhteensä, €]]+Ohj.lask.[[#This Row],[Alv-korvaus, €]]</f>
        <v>3049973</v>
      </c>
    </row>
    <row r="139" spans="1:46" ht="12.75" x14ac:dyDescent="0.2">
      <c r="A139" s="147" t="s">
        <v>264</v>
      </c>
      <c r="B139" s="17" t="s">
        <v>139</v>
      </c>
      <c r="C139" s="113" t="s">
        <v>254</v>
      </c>
      <c r="D139" s="113" t="s">
        <v>424</v>
      </c>
      <c r="E139" s="113" t="s">
        <v>665</v>
      </c>
      <c r="F139" s="127">
        <v>4466</v>
      </c>
      <c r="G139" s="135">
        <v>623</v>
      </c>
      <c r="H139" s="44">
        <f t="shared" si="8"/>
        <v>5089</v>
      </c>
      <c r="I139" s="18">
        <f>IFERROR(VLOOKUP($A139,'2.1 Toteut. op.vuodet'!$A:$Q,COLUMN('2.1 Toteut. op.vuodet'!Q:Q),FALSE),0)</f>
        <v>0.98272576163675673</v>
      </c>
      <c r="J139" s="85">
        <f t="shared" si="9"/>
        <v>5001.1000000000004</v>
      </c>
      <c r="K139" s="19">
        <f>IFERROR(Ohj.lask.[[#This Row],[Painotetut opiskelija-vuodet]]/Ohj.lask.[[#Totals],[Painotetut opiskelija-vuodet]],0)</f>
        <v>2.4809492603684591E-2</v>
      </c>
      <c r="L139" s="20">
        <f>ROUND(IFERROR('1.1 Jakotaulu'!L$10*Ohj.lask.[[#This Row],[%-osuus 1]],0),0)</f>
        <v>29515717</v>
      </c>
      <c r="M139" s="349">
        <f>IFERROR(ROUND(VLOOKUP($A139,'2.2 Tutk. ja osien pain. pist.'!$A:$Q,COLUMN('2.2 Tutk. ja osien pain. pist.'!P:P),FALSE),1),0)</f>
        <v>402977.4</v>
      </c>
      <c r="N139" s="19">
        <f>IFERROR(Ohj.lask.[[#This Row],[Painotetut pisteet 2]]/Ohj.lask.[[#Totals],[Painotetut pisteet 2]],0)</f>
        <v>2.5751971625282623E-2</v>
      </c>
      <c r="O139" s="26">
        <f>ROUND(IFERROR('1.1 Jakotaulu'!K$11*Ohj.lask.[[#This Row],[%-osuus 2]],0),0)</f>
        <v>9535363</v>
      </c>
      <c r="P139" s="350">
        <f>IFERROR(ROUND(VLOOKUP($A139,'2.3 Työll. ja jatko-opisk.'!$A:$K,COLUMN('2.3 Työll. ja jatko-opisk.'!I:I),FALSE),1),0)</f>
        <v>5090.3</v>
      </c>
      <c r="Q139" s="23">
        <f>IFERROR(Ohj.lask.[[#This Row],[Painotetut pisteet 3]]/Ohj.lask.[[#Totals],[Painotetut pisteet 3]],0)</f>
        <v>2.6871837862035765E-2</v>
      </c>
      <c r="R139" s="20">
        <f>ROUND(IFERROR('1.1 Jakotaulu'!L$13*Ohj.lask.[[#This Row],[%-osuus 3]],0),0)</f>
        <v>3731259</v>
      </c>
      <c r="S139" s="349">
        <f>IFERROR(ROUND(VLOOKUP($A139,'2.4 Aloittaneet palaute'!$A:$K,COLUMN('2.4 Aloittaneet palaute'!J:J),FALSE),1),0)</f>
        <v>35925.300000000003</v>
      </c>
      <c r="T139" s="23">
        <f>IFERROR(Ohj.lask.[[#This Row],[Painotetut pisteet 4]]/Ohj.lask.[[#Totals],[Painotetut pisteet 4]],0)</f>
        <v>2.8854809753414513E-2</v>
      </c>
      <c r="U139" s="26">
        <f>ROUND(IFERROR('1.1 Jakotaulu'!M$15*Ohj.lask.[[#This Row],[%-osuus 4]],0),0)</f>
        <v>333884</v>
      </c>
      <c r="V139" s="85">
        <f>IFERROR(ROUND(VLOOKUP($A139,'2.5 Päättäneet palaute'!$A:$AC,COLUMN('2.5 Päättäneet palaute'!AB:AB),FALSE),1),0)</f>
        <v>148030.39999999999</v>
      </c>
      <c r="W139" s="23">
        <f>IFERROR(Ohj.lask.[[#This Row],[Painotetut pisteet 5]]/Ohj.lask.[[#Totals],[Painotetut pisteet 5]],0)</f>
        <v>2.2354014019853655E-2</v>
      </c>
      <c r="X139" s="20">
        <f>ROUND(IFERROR('1.1 Jakotaulu'!M$16*Ohj.lask.[[#This Row],[%-osuus 5]],0),0)</f>
        <v>775985</v>
      </c>
      <c r="Y139" s="22">
        <f>IFERROR(Ohj.lask.[[#This Row],[Jaettava € 6]]/Ohj.lask.[[#Totals],[Jaettava € 6]],"")</f>
        <v>2.5151542525842577E-2</v>
      </c>
      <c r="Z139" s="26">
        <f>IFERROR(Ohj.lask.[[#This Row],[Jaettava € 1]]+Ohj.lask.[[#This Row],[Jaettava € 2]]+Ohj.lask.[[#This Row],[Jaettava € 3]]+Ohj.lask.[[#This Row],[Jaettava € 4]]+Ohj.lask.[[#This Row],[Jaettava € 5]],"")</f>
        <v>43892208</v>
      </c>
      <c r="AA139" s="20">
        <v>0</v>
      </c>
      <c r="AB139" s="20">
        <v>0</v>
      </c>
      <c r="AC139" s="21">
        <v>0</v>
      </c>
      <c r="AD139" s="20">
        <v>0</v>
      </c>
      <c r="AE139" s="21">
        <v>0</v>
      </c>
      <c r="AF139" s="20">
        <v>0</v>
      </c>
      <c r="AG139" s="21">
        <v>0</v>
      </c>
      <c r="AH139" s="20">
        <v>0</v>
      </c>
      <c r="AI139" s="21">
        <v>100000</v>
      </c>
      <c r="AJ139" s="26">
        <v>100000</v>
      </c>
      <c r="AK139" s="20">
        <v>70000</v>
      </c>
      <c r="AL139" s="20">
        <v>40000</v>
      </c>
      <c r="AM139" s="21">
        <v>170000</v>
      </c>
      <c r="AN139" s="136">
        <v>140000</v>
      </c>
      <c r="AO139" s="20">
        <f>Ohj.lask.[[#This Row],[Jaettava € 1]]+Ohj.lask.[[#This Row],[Päätös 7, €]]</f>
        <v>29655717</v>
      </c>
      <c r="AP139" s="119">
        <f>Ohj.lask.[[#This Row],[Jaettava € 2]]</f>
        <v>9535363</v>
      </c>
      <c r="AQ139" s="20">
        <f>Ohj.lask.[[#This Row],[Jaettava € 3]]+Ohj.lask.[[#This Row],[Jaettava € 4]]+Ohj.lask.[[#This Row],[Jaettava € 5]]</f>
        <v>4841128</v>
      </c>
      <c r="AR139" s="45">
        <f>Ohj.lask.[[#This Row],[Jaettava € 6]]+Ohj.lask.[[#This Row],[Päätös 7, €]]</f>
        <v>44032208</v>
      </c>
      <c r="AS139" s="45">
        <f>ROUND(IFERROR(VLOOKUP(Ohj.lask.[[#This Row],[Y-tunnus]],'3.1 Alv vahvistettu'!A:Y,COLUMN(C:C),FALSE),0),0)</f>
        <v>0</v>
      </c>
      <c r="AT139" s="26">
        <f>Ohj.lask.[[#This Row],[Perus-, suoritus- ja vaikuttavuusrahoitus yhteensä, €]]+Ohj.lask.[[#This Row],[Alv-korvaus, €]]</f>
        <v>44032208</v>
      </c>
    </row>
    <row r="140" spans="1:46" ht="12.75" x14ac:dyDescent="0.2">
      <c r="A140" s="147" t="s">
        <v>263</v>
      </c>
      <c r="B140" s="17" t="s">
        <v>141</v>
      </c>
      <c r="C140" s="17" t="s">
        <v>254</v>
      </c>
      <c r="D140" s="17" t="s">
        <v>423</v>
      </c>
      <c r="E140" s="17" t="s">
        <v>663</v>
      </c>
      <c r="F140" s="128">
        <v>218</v>
      </c>
      <c r="G140" s="135">
        <v>16</v>
      </c>
      <c r="H140" s="44">
        <f t="shared" si="8"/>
        <v>234</v>
      </c>
      <c r="I140" s="18">
        <f>IFERROR(VLOOKUP($A140,'2.1 Toteut. op.vuodet'!$A:$Q,COLUMN('2.1 Toteut. op.vuodet'!Q:Q),FALSE),0)</f>
        <v>1.0126169556453382</v>
      </c>
      <c r="J140" s="85">
        <f t="shared" si="9"/>
        <v>237</v>
      </c>
      <c r="K140" s="19">
        <f>IFERROR(Ohj.lask.[[#This Row],[Painotetut opiskelija-vuodet]]/Ohj.lask.[[#Totals],[Painotetut opiskelija-vuodet]],0)</f>
        <v>1.1757112929302049E-3</v>
      </c>
      <c r="L140" s="20">
        <f>ROUND(IFERROR('1.1 Jakotaulu'!L$10*Ohj.lask.[[#This Row],[%-osuus 1]],0),0)</f>
        <v>1398737</v>
      </c>
      <c r="M140" s="349">
        <f>IFERROR(ROUND(VLOOKUP($A140,'2.2 Tutk. ja osien pain. pist.'!$A:$Q,COLUMN('2.2 Tutk. ja osien pain. pist.'!P:P),FALSE),1),0)</f>
        <v>21006.3</v>
      </c>
      <c r="N140" s="19">
        <f>IFERROR(Ohj.lask.[[#This Row],[Painotetut pisteet 2]]/Ohj.lask.[[#Totals],[Painotetut pisteet 2]],0)</f>
        <v>1.3423920089617291E-3</v>
      </c>
      <c r="O140" s="26">
        <f>ROUND(IFERROR('1.1 Jakotaulu'!K$11*Ohj.lask.[[#This Row],[%-osuus 2]],0),0)</f>
        <v>497057</v>
      </c>
      <c r="P140" s="350">
        <f>IFERROR(ROUND(VLOOKUP($A140,'2.3 Työll. ja jatko-opisk.'!$A:$K,COLUMN('2.3 Työll. ja jatko-opisk.'!I:I),FALSE),1),0)</f>
        <v>237.4</v>
      </c>
      <c r="Q140" s="19">
        <f>IFERROR(Ohj.lask.[[#This Row],[Painotetut pisteet 3]]/Ohj.lask.[[#Totals],[Painotetut pisteet 3]],0)</f>
        <v>1.2532413233890519E-3</v>
      </c>
      <c r="R140" s="20">
        <f>ROUND(IFERROR('1.1 Jakotaulu'!L$13*Ohj.lask.[[#This Row],[%-osuus 3]],0),0)</f>
        <v>174017</v>
      </c>
      <c r="S140" s="349">
        <f>IFERROR(ROUND(VLOOKUP($A140,'2.4 Aloittaneet palaute'!$A:$K,COLUMN('2.4 Aloittaneet palaute'!J:J),FALSE),1),0)</f>
        <v>2381.1</v>
      </c>
      <c r="T140" s="23">
        <f>IFERROR(Ohj.lask.[[#This Row],[Painotetut pisteet 4]]/Ohj.lask.[[#Totals],[Painotetut pisteet 4]],0)</f>
        <v>1.9124735911420444E-3</v>
      </c>
      <c r="U140" s="26">
        <f>ROUND(IFERROR('1.1 Jakotaulu'!M$15*Ohj.lask.[[#This Row],[%-osuus 4]],0),0)</f>
        <v>22130</v>
      </c>
      <c r="V140" s="85">
        <f>IFERROR(ROUND(VLOOKUP($A140,'2.5 Päättäneet palaute'!$A:$AC,COLUMN('2.5 Päättäneet palaute'!AB:AB),FALSE),1),0)</f>
        <v>18166.599999999999</v>
      </c>
      <c r="W140" s="23">
        <f>IFERROR(Ohj.lask.[[#This Row],[Painotetut pisteet 5]]/Ohj.lask.[[#Totals],[Painotetut pisteet 5]],0)</f>
        <v>2.7433313096031178E-3</v>
      </c>
      <c r="X140" s="20">
        <f>ROUND(IFERROR('1.1 Jakotaulu'!M$16*Ohj.lask.[[#This Row],[%-osuus 5]],0),0)</f>
        <v>95231</v>
      </c>
      <c r="Y140" s="22">
        <f>IFERROR(Ohj.lask.[[#This Row],[Jaettava € 6]]/Ohj.lask.[[#Totals],[Jaettava € 6]],"")</f>
        <v>1.2533147015372787E-3</v>
      </c>
      <c r="Z140" s="26">
        <f>IFERROR(Ohj.lask.[[#This Row],[Jaettava € 1]]+Ohj.lask.[[#This Row],[Jaettava € 2]]+Ohj.lask.[[#This Row],[Jaettava € 3]]+Ohj.lask.[[#This Row],[Jaettava € 4]]+Ohj.lask.[[#This Row],[Jaettava € 5]],"")</f>
        <v>2187172</v>
      </c>
      <c r="AA140" s="20">
        <v>0</v>
      </c>
      <c r="AB140" s="20">
        <v>0</v>
      </c>
      <c r="AC140" s="21">
        <v>0</v>
      </c>
      <c r="AD140" s="20">
        <v>0</v>
      </c>
      <c r="AE140" s="21">
        <v>0</v>
      </c>
      <c r="AF140" s="20">
        <v>0</v>
      </c>
      <c r="AG140" s="21">
        <v>0</v>
      </c>
      <c r="AH140" s="20">
        <v>0</v>
      </c>
      <c r="AI140" s="21">
        <v>10000</v>
      </c>
      <c r="AJ140" s="26">
        <v>10000</v>
      </c>
      <c r="AK140" s="20">
        <v>0</v>
      </c>
      <c r="AL140" s="20">
        <v>0</v>
      </c>
      <c r="AM140" s="21">
        <v>10000</v>
      </c>
      <c r="AN140" s="136">
        <v>10000</v>
      </c>
      <c r="AO140" s="20">
        <f>Ohj.lask.[[#This Row],[Jaettava € 1]]+Ohj.lask.[[#This Row],[Päätös 7, €]]</f>
        <v>1408737</v>
      </c>
      <c r="AP140" s="119">
        <f>Ohj.lask.[[#This Row],[Jaettava € 2]]</f>
        <v>497057</v>
      </c>
      <c r="AQ140" s="20">
        <f>Ohj.lask.[[#This Row],[Jaettava € 3]]+Ohj.lask.[[#This Row],[Jaettava € 4]]+Ohj.lask.[[#This Row],[Jaettava € 5]]</f>
        <v>291378</v>
      </c>
      <c r="AR140" s="45">
        <f>Ohj.lask.[[#This Row],[Jaettava € 6]]+Ohj.lask.[[#This Row],[Päätös 7, €]]</f>
        <v>2197172</v>
      </c>
      <c r="AS140" s="45">
        <f>ROUND(IFERROR(VLOOKUP(Ohj.lask.[[#This Row],[Y-tunnus]],'3.1 Alv vahvistettu'!A:Y,COLUMN(C:C),FALSE),0),0)</f>
        <v>118830</v>
      </c>
      <c r="AT140" s="26">
        <f>Ohj.lask.[[#This Row],[Perus-, suoritus- ja vaikuttavuusrahoitus yhteensä, €]]+Ohj.lask.[[#This Row],[Alv-korvaus, €]]</f>
        <v>2316002</v>
      </c>
    </row>
    <row r="141" spans="1:46" ht="12.75" x14ac:dyDescent="0.2">
      <c r="A141" s="147" t="s">
        <v>776</v>
      </c>
      <c r="B141" s="17" t="s">
        <v>777</v>
      </c>
      <c r="C141" s="113" t="s">
        <v>254</v>
      </c>
      <c r="D141" s="113" t="s">
        <v>423</v>
      </c>
      <c r="E141" s="113" t="s">
        <v>663</v>
      </c>
      <c r="F141" s="127">
        <v>79</v>
      </c>
      <c r="G141" s="135">
        <v>5</v>
      </c>
      <c r="H141" s="44">
        <f t="shared" si="8"/>
        <v>84</v>
      </c>
      <c r="I141" s="18">
        <f>IFERROR(VLOOKUP($A141,'2.1 Toteut. op.vuodet'!$A:$Q,COLUMN('2.1 Toteut. op.vuodet'!Q:Q),FALSE),0)</f>
        <v>1.5787943774818158</v>
      </c>
      <c r="J141" s="85">
        <f t="shared" si="9"/>
        <v>132.6</v>
      </c>
      <c r="K141" s="19">
        <f>IFERROR(Ohj.lask.[[#This Row],[Painotetut opiskelija-vuodet]]/Ohj.lask.[[#Totals],[Painotetut opiskelija-vuodet]],0)</f>
        <v>6.5780302718373485E-4</v>
      </c>
      <c r="L141" s="20">
        <f>ROUND(IFERROR('1.1 Jakotaulu'!L$10*Ohj.lask.[[#This Row],[%-osuus 1]],0),0)</f>
        <v>782585</v>
      </c>
      <c r="M141" s="349">
        <f>IFERROR(ROUND(VLOOKUP($A141,'2.2 Tutk. ja osien pain. pist.'!$A:$Q,COLUMN('2.2 Tutk. ja osien pain. pist.'!P:P),FALSE),1),0)</f>
        <v>13919.6</v>
      </c>
      <c r="N141" s="19">
        <f>IFERROR(Ohj.lask.[[#This Row],[Painotetut pisteet 2]]/Ohj.lask.[[#Totals],[Painotetut pisteet 2]],0)</f>
        <v>8.8952170577130121E-4</v>
      </c>
      <c r="O141" s="26">
        <f>ROUND(IFERROR('1.1 Jakotaulu'!K$11*Ohj.lask.[[#This Row],[%-osuus 2]],0),0)</f>
        <v>329369</v>
      </c>
      <c r="P141" s="350">
        <f>IFERROR(ROUND(VLOOKUP($A141,'2.3 Työll. ja jatko-opisk.'!$A:$K,COLUMN('2.3 Työll. ja jatko-opisk.'!I:I),FALSE),1),0)</f>
        <v>86.5</v>
      </c>
      <c r="Q141" s="23">
        <f>IFERROR(Ohj.lask.[[#This Row],[Painotetut pisteet 3]]/Ohj.lask.[[#Totals],[Painotetut pisteet 3]],0)</f>
        <v>4.5663594976054332E-4</v>
      </c>
      <c r="R141" s="20">
        <f>ROUND(IFERROR('1.1 Jakotaulu'!L$13*Ohj.lask.[[#This Row],[%-osuus 3]],0),0)</f>
        <v>63406</v>
      </c>
      <c r="S141" s="349">
        <f>IFERROR(ROUND(VLOOKUP($A141,'2.4 Aloittaneet palaute'!$A:$K,COLUMN('2.4 Aloittaneet palaute'!J:J),FALSE),1),0)</f>
        <v>871.7</v>
      </c>
      <c r="T141" s="23">
        <f>IFERROR(Ohj.lask.[[#This Row],[Painotetut pisteet 4]]/Ohj.lask.[[#Totals],[Painotetut pisteet 4]],0)</f>
        <v>7.0013994767062298E-4</v>
      </c>
      <c r="U141" s="26">
        <f>ROUND(IFERROR('1.1 Jakotaulu'!M$15*Ohj.lask.[[#This Row],[%-osuus 4]],0),0)</f>
        <v>8101</v>
      </c>
      <c r="V141" s="85">
        <f>IFERROR(ROUND(VLOOKUP($A141,'2.5 Päättäneet palaute'!$A:$AC,COLUMN('2.5 Päättäneet palaute'!AB:AB),FALSE),1),0)</f>
        <v>2670</v>
      </c>
      <c r="W141" s="23">
        <f>IFERROR(Ohj.lask.[[#This Row],[Painotetut pisteet 5]]/Ohj.lask.[[#Totals],[Painotetut pisteet 5]],0)</f>
        <v>4.0319567759736685E-4</v>
      </c>
      <c r="X141" s="20">
        <f>ROUND(IFERROR('1.1 Jakotaulu'!M$16*Ohj.lask.[[#This Row],[%-osuus 5]],0),0)</f>
        <v>13996</v>
      </c>
      <c r="Y141" s="22">
        <f>IFERROR(Ohj.lask.[[#This Row],[Jaettava € 6]]/Ohj.lask.[[#Totals],[Jaettava € 6]],"")</f>
        <v>6.8617852759578365E-4</v>
      </c>
      <c r="Z141" s="26">
        <f>IFERROR(Ohj.lask.[[#This Row],[Jaettava € 1]]+Ohj.lask.[[#This Row],[Jaettava € 2]]+Ohj.lask.[[#This Row],[Jaettava € 3]]+Ohj.lask.[[#This Row],[Jaettava € 4]]+Ohj.lask.[[#This Row],[Jaettava € 5]],"")</f>
        <v>1197457</v>
      </c>
      <c r="AA141" s="20">
        <v>0</v>
      </c>
      <c r="AB141" s="20">
        <v>0</v>
      </c>
      <c r="AC141" s="21">
        <v>0</v>
      </c>
      <c r="AD141" s="20">
        <v>0</v>
      </c>
      <c r="AE141" s="21">
        <v>0</v>
      </c>
      <c r="AF141" s="20">
        <v>0</v>
      </c>
      <c r="AG141" s="21">
        <v>0</v>
      </c>
      <c r="AH141" s="20">
        <v>0</v>
      </c>
      <c r="AI141" s="21">
        <v>15000</v>
      </c>
      <c r="AJ141" s="26">
        <v>10000</v>
      </c>
      <c r="AK141" s="20">
        <v>0</v>
      </c>
      <c r="AL141" s="20">
        <v>0</v>
      </c>
      <c r="AM141" s="21">
        <v>15000</v>
      </c>
      <c r="AN141" s="136">
        <v>10000</v>
      </c>
      <c r="AO141" s="20">
        <f>Ohj.lask.[[#This Row],[Jaettava € 1]]+Ohj.lask.[[#This Row],[Päätös 7, €]]</f>
        <v>792585</v>
      </c>
      <c r="AP141" s="119">
        <f>Ohj.lask.[[#This Row],[Jaettava € 2]]</f>
        <v>329369</v>
      </c>
      <c r="AQ141" s="20">
        <f>Ohj.lask.[[#This Row],[Jaettava € 3]]+Ohj.lask.[[#This Row],[Jaettava € 4]]+Ohj.lask.[[#This Row],[Jaettava € 5]]</f>
        <v>85503</v>
      </c>
      <c r="AR141" s="45">
        <f>Ohj.lask.[[#This Row],[Jaettava € 6]]+Ohj.lask.[[#This Row],[Päätös 7, €]]</f>
        <v>1207457</v>
      </c>
      <c r="AS141" s="45">
        <f>ROUND(IFERROR(VLOOKUP(Ohj.lask.[[#This Row],[Y-tunnus]],'3.1 Alv vahvistettu'!A:Y,COLUMN(C:C),FALSE),0),0)</f>
        <v>25470</v>
      </c>
      <c r="AT141" s="26">
        <f>Ohj.lask.[[#This Row],[Perus-, suoritus- ja vaikuttavuusrahoitus yhteensä, €]]+Ohj.lask.[[#This Row],[Alv-korvaus, €]]</f>
        <v>1232927</v>
      </c>
    </row>
    <row r="142" spans="1:46" ht="12.75" x14ac:dyDescent="0.2">
      <c r="A142" s="147" t="s">
        <v>330</v>
      </c>
      <c r="B142" s="17" t="s">
        <v>156</v>
      </c>
      <c r="C142" s="17" t="s">
        <v>254</v>
      </c>
      <c r="D142" s="17" t="s">
        <v>423</v>
      </c>
      <c r="E142" s="17" t="s">
        <v>663</v>
      </c>
      <c r="F142" s="128">
        <v>28</v>
      </c>
      <c r="G142" s="135">
        <v>0</v>
      </c>
      <c r="H142" s="44">
        <f t="shared" si="8"/>
        <v>28</v>
      </c>
      <c r="I142" s="18">
        <f>IFERROR(VLOOKUP($A142,'2.1 Toteut. op.vuodet'!$A:$Q,COLUMN('2.1 Toteut. op.vuodet'!Q:Q),FALSE),0)</f>
        <v>0.76229999999999964</v>
      </c>
      <c r="J142" s="85">
        <f t="shared" si="9"/>
        <v>21.3</v>
      </c>
      <c r="K142" s="19">
        <f>IFERROR(Ohj.lask.[[#This Row],[Painotetut opiskelija-vuodet]]/Ohj.lask.[[#Totals],[Painotetut opiskelija-vuodet]],0)</f>
        <v>1.0566519214942347E-4</v>
      </c>
      <c r="L142" s="20">
        <f>ROUND(IFERROR('1.1 Jakotaulu'!L$10*Ohj.lask.[[#This Row],[%-osuus 1]],0),0)</f>
        <v>125709</v>
      </c>
      <c r="M142" s="349">
        <f>IFERROR(ROUND(VLOOKUP($A142,'2.2 Tutk. ja osien pain. pist.'!$A:$Q,COLUMN('2.2 Tutk. ja osien pain. pist.'!P:P),FALSE),1),0)</f>
        <v>3066.5</v>
      </c>
      <c r="N142" s="19">
        <f>IFERROR(Ohj.lask.[[#This Row],[Painotetut pisteet 2]]/Ohj.lask.[[#Totals],[Painotetut pisteet 2]],0)</f>
        <v>1.9596240630102122E-4</v>
      </c>
      <c r="O142" s="26">
        <f>ROUND(IFERROR('1.1 Jakotaulu'!K$11*Ohj.lask.[[#This Row],[%-osuus 2]],0),0)</f>
        <v>72560</v>
      </c>
      <c r="P142" s="350">
        <f>IFERROR(ROUND(VLOOKUP($A142,'2.3 Työll. ja jatko-opisk.'!$A:$K,COLUMN('2.3 Työll. ja jatko-opisk.'!I:I),FALSE),1),0)</f>
        <v>0</v>
      </c>
      <c r="Q142" s="19">
        <f>IFERROR(Ohj.lask.[[#This Row],[Painotetut pisteet 3]]/Ohj.lask.[[#Totals],[Painotetut pisteet 3]],0)</f>
        <v>0</v>
      </c>
      <c r="R142" s="20">
        <f>ROUND(IFERROR('1.1 Jakotaulu'!L$13*Ohj.lask.[[#This Row],[%-osuus 3]],0),0)</f>
        <v>0</v>
      </c>
      <c r="S142" s="349">
        <f>IFERROR(ROUND(VLOOKUP($A142,'2.4 Aloittaneet palaute'!$A:$K,COLUMN('2.4 Aloittaneet palaute'!J:J),FALSE),1),0)</f>
        <v>51.3</v>
      </c>
      <c r="T142" s="23">
        <f>IFERROR(Ohj.lask.[[#This Row],[Painotetut pisteet 4]]/Ohj.lask.[[#Totals],[Painotetut pisteet 4]],0)</f>
        <v>4.1203601371461456E-5</v>
      </c>
      <c r="U142" s="26">
        <f>ROUND(IFERROR('1.1 Jakotaulu'!M$15*Ohj.lask.[[#This Row],[%-osuus 4]],0),0)</f>
        <v>477</v>
      </c>
      <c r="V142" s="85">
        <f>IFERROR(ROUND(VLOOKUP($A142,'2.5 Päättäneet palaute'!$A:$AC,COLUMN('2.5 Päättäneet palaute'!AB:AB),FALSE),1),0)</f>
        <v>1871.3</v>
      </c>
      <c r="W142" s="23">
        <f>IFERROR(Ohj.lask.[[#This Row],[Painotetut pisteet 5]]/Ohj.lask.[[#Totals],[Painotetut pisteet 5]],0)</f>
        <v>2.8258429643743542E-4</v>
      </c>
      <c r="X142" s="20">
        <f>ROUND(IFERROR('1.1 Jakotaulu'!M$16*Ohj.lask.[[#This Row],[%-osuus 5]],0),0)</f>
        <v>9809</v>
      </c>
      <c r="Y142" s="22">
        <f>IFERROR(Ohj.lask.[[#This Row],[Jaettava € 6]]/Ohj.lask.[[#Totals],[Jaettava € 6]],"")</f>
        <v>1.1950822686972363E-4</v>
      </c>
      <c r="Z142" s="26">
        <f>IFERROR(Ohj.lask.[[#This Row],[Jaettava € 1]]+Ohj.lask.[[#This Row],[Jaettava € 2]]+Ohj.lask.[[#This Row],[Jaettava € 3]]+Ohj.lask.[[#This Row],[Jaettava € 4]]+Ohj.lask.[[#This Row],[Jaettava € 5]],"")</f>
        <v>208555</v>
      </c>
      <c r="AA142" s="20">
        <v>0</v>
      </c>
      <c r="AB142" s="20">
        <v>0</v>
      </c>
      <c r="AC142" s="21">
        <v>0</v>
      </c>
      <c r="AD142" s="20">
        <v>0</v>
      </c>
      <c r="AE142" s="21">
        <v>25000</v>
      </c>
      <c r="AF142" s="20">
        <v>0</v>
      </c>
      <c r="AG142" s="21">
        <v>0</v>
      </c>
      <c r="AH142" s="20">
        <v>0</v>
      </c>
      <c r="AI142" s="21">
        <v>2500</v>
      </c>
      <c r="AJ142" s="26">
        <v>0</v>
      </c>
      <c r="AK142" s="20">
        <v>0</v>
      </c>
      <c r="AL142" s="20">
        <v>0</v>
      </c>
      <c r="AM142" s="21">
        <v>27500</v>
      </c>
      <c r="AN142" s="136">
        <v>0</v>
      </c>
      <c r="AO142" s="20">
        <f>Ohj.lask.[[#This Row],[Jaettava € 1]]+Ohj.lask.[[#This Row],[Päätös 7, €]]</f>
        <v>125709</v>
      </c>
      <c r="AP142" s="119">
        <f>Ohj.lask.[[#This Row],[Jaettava € 2]]</f>
        <v>72560</v>
      </c>
      <c r="AQ142" s="20">
        <f>Ohj.lask.[[#This Row],[Jaettava € 3]]+Ohj.lask.[[#This Row],[Jaettava € 4]]+Ohj.lask.[[#This Row],[Jaettava € 5]]</f>
        <v>10286</v>
      </c>
      <c r="AR142" s="45">
        <f>Ohj.lask.[[#This Row],[Jaettava € 6]]+Ohj.lask.[[#This Row],[Päätös 7, €]]</f>
        <v>208555</v>
      </c>
      <c r="AS142" s="45">
        <f>ROUND(IFERROR(VLOOKUP(Ohj.lask.[[#This Row],[Y-tunnus]],'3.1 Alv vahvistettu'!A:Y,COLUMN(C:C),FALSE),0),0)</f>
        <v>12683</v>
      </c>
      <c r="AT142" s="26">
        <f>Ohj.lask.[[#This Row],[Perus-, suoritus- ja vaikuttavuusrahoitus yhteensä, €]]+Ohj.lask.[[#This Row],[Alv-korvaus, €]]</f>
        <v>221238</v>
      </c>
    </row>
    <row r="143" spans="1:46" ht="12.75" x14ac:dyDescent="0.2">
      <c r="A143" s="147" t="s">
        <v>262</v>
      </c>
      <c r="B143" s="17" t="s">
        <v>142</v>
      </c>
      <c r="C143" s="17" t="s">
        <v>238</v>
      </c>
      <c r="D143" s="17" t="s">
        <v>423</v>
      </c>
      <c r="E143" s="17" t="s">
        <v>663</v>
      </c>
      <c r="F143" s="128">
        <v>702</v>
      </c>
      <c r="G143" s="135">
        <v>590</v>
      </c>
      <c r="H143" s="44">
        <f t="shared" si="8"/>
        <v>1292</v>
      </c>
      <c r="I143" s="18">
        <f>IFERROR(VLOOKUP($A143,'2.1 Toteut. op.vuodet'!$A:$Q,COLUMN('2.1 Toteut. op.vuodet'!Q:Q),FALSE),0)</f>
        <v>1.1952786067435588</v>
      </c>
      <c r="J143" s="85">
        <f t="shared" si="9"/>
        <v>1544.3</v>
      </c>
      <c r="K143" s="19">
        <f>IFERROR(Ohj.lask.[[#This Row],[Painotetut opiskelija-vuodet]]/Ohj.lask.[[#Totals],[Painotetut opiskelija-vuodet]],0)</f>
        <v>7.6609744711903602E-3</v>
      </c>
      <c r="L143" s="20">
        <f>ROUND(IFERROR('1.1 Jakotaulu'!L$10*Ohj.lask.[[#This Row],[%-osuus 1]],0),0)</f>
        <v>9114219</v>
      </c>
      <c r="M143" s="349">
        <f>IFERROR(ROUND(VLOOKUP($A143,'2.2 Tutk. ja osien pain. pist.'!$A:$Q,COLUMN('2.2 Tutk. ja osien pain. pist.'!P:P),FALSE),1),0)</f>
        <v>143178</v>
      </c>
      <c r="N143" s="19">
        <f>IFERROR(Ohj.lask.[[#This Row],[Painotetut pisteet 2]]/Ohj.lask.[[#Totals],[Painotetut pisteet 2]],0)</f>
        <v>9.1496838119574826E-3</v>
      </c>
      <c r="O143" s="26">
        <f>ROUND(IFERROR('1.1 Jakotaulu'!K$11*Ohj.lask.[[#This Row],[%-osuus 2]],0),0)</f>
        <v>3387917</v>
      </c>
      <c r="P143" s="350">
        <f>IFERROR(ROUND(VLOOKUP($A143,'2.3 Työll. ja jatko-opisk.'!$A:$K,COLUMN('2.3 Työll. ja jatko-opisk.'!I:I),FALSE),1),0)</f>
        <v>1266.9000000000001</v>
      </c>
      <c r="Q143" s="19">
        <f>IFERROR(Ohj.lask.[[#This Row],[Painotetut pisteet 3]]/Ohj.lask.[[#Totals],[Painotetut pisteet 3]],0)</f>
        <v>6.6880009797876576E-3</v>
      </c>
      <c r="R143" s="20">
        <f>ROUND(IFERROR('1.1 Jakotaulu'!L$13*Ohj.lask.[[#This Row],[%-osuus 3]],0),0)</f>
        <v>928655</v>
      </c>
      <c r="S143" s="349">
        <f>IFERROR(ROUND(VLOOKUP($A143,'2.4 Aloittaneet palaute'!$A:$K,COLUMN('2.4 Aloittaneet palaute'!J:J),FALSE),1),0)</f>
        <v>12360</v>
      </c>
      <c r="T143" s="23">
        <f>IFERROR(Ohj.lask.[[#This Row],[Painotetut pisteet 4]]/Ohj.lask.[[#Totals],[Painotetut pisteet 4]],0)</f>
        <v>9.9274174064573808E-3</v>
      </c>
      <c r="U143" s="26">
        <f>ROUND(IFERROR('1.1 Jakotaulu'!M$15*Ohj.lask.[[#This Row],[%-osuus 4]],0),0)</f>
        <v>114872</v>
      </c>
      <c r="V143" s="85">
        <f>IFERROR(ROUND(VLOOKUP($A143,'2.5 Päättäneet palaute'!$A:$AC,COLUMN('2.5 Päättäneet palaute'!AB:AB),FALSE),1),0)</f>
        <v>32964.9</v>
      </c>
      <c r="W143" s="23">
        <f>IFERROR(Ohj.lask.[[#This Row],[Painotetut pisteet 5]]/Ohj.lask.[[#Totals],[Painotetut pisteet 5]],0)</f>
        <v>4.9780169260035352E-3</v>
      </c>
      <c r="X143" s="20">
        <f>ROUND(IFERROR('1.1 Jakotaulu'!M$16*Ohj.lask.[[#This Row],[%-osuus 5]],0),0)</f>
        <v>172804</v>
      </c>
      <c r="Y143" s="22">
        <f>IFERROR(Ohj.lask.[[#This Row],[Jaettava € 6]]/Ohj.lask.[[#Totals],[Jaettava € 6]],"")</f>
        <v>7.8610901994237339E-3</v>
      </c>
      <c r="Z143" s="26">
        <f>IFERROR(Ohj.lask.[[#This Row],[Jaettava € 1]]+Ohj.lask.[[#This Row],[Jaettava € 2]]+Ohj.lask.[[#This Row],[Jaettava € 3]]+Ohj.lask.[[#This Row],[Jaettava € 4]]+Ohj.lask.[[#This Row],[Jaettava € 5]],"")</f>
        <v>13718467</v>
      </c>
      <c r="AA143" s="20">
        <v>0</v>
      </c>
      <c r="AB143" s="20">
        <v>0</v>
      </c>
      <c r="AC143" s="21">
        <v>0</v>
      </c>
      <c r="AD143" s="20">
        <v>0</v>
      </c>
      <c r="AE143" s="21">
        <v>0</v>
      </c>
      <c r="AF143" s="20">
        <v>0</v>
      </c>
      <c r="AG143" s="21">
        <v>0</v>
      </c>
      <c r="AH143" s="20">
        <v>170000</v>
      </c>
      <c r="AI143" s="21">
        <v>95000</v>
      </c>
      <c r="AJ143" s="26">
        <v>0</v>
      </c>
      <c r="AK143" s="20">
        <v>0</v>
      </c>
      <c r="AL143" s="20">
        <v>0</v>
      </c>
      <c r="AM143" s="21">
        <v>95000</v>
      </c>
      <c r="AN143" s="136">
        <v>170000</v>
      </c>
      <c r="AO143" s="20">
        <f>Ohj.lask.[[#This Row],[Jaettava € 1]]+Ohj.lask.[[#This Row],[Päätös 7, €]]</f>
        <v>9284219</v>
      </c>
      <c r="AP143" s="119">
        <f>Ohj.lask.[[#This Row],[Jaettava € 2]]</f>
        <v>3387917</v>
      </c>
      <c r="AQ143" s="20">
        <f>Ohj.lask.[[#This Row],[Jaettava € 3]]+Ohj.lask.[[#This Row],[Jaettava € 4]]+Ohj.lask.[[#This Row],[Jaettava € 5]]</f>
        <v>1216331</v>
      </c>
      <c r="AR143" s="45">
        <f>Ohj.lask.[[#This Row],[Jaettava € 6]]+Ohj.lask.[[#This Row],[Päätös 7, €]]</f>
        <v>13888467</v>
      </c>
      <c r="AS143" s="45">
        <f>ROUND(IFERROR(VLOOKUP(Ohj.lask.[[#This Row],[Y-tunnus]],'3.1 Alv vahvistettu'!A:Y,COLUMN(C:C),FALSE),0),0)</f>
        <v>969851</v>
      </c>
      <c r="AT143" s="26">
        <f>Ohj.lask.[[#This Row],[Perus-, suoritus- ja vaikuttavuusrahoitus yhteensä, €]]+Ohj.lask.[[#This Row],[Alv-korvaus, €]]</f>
        <v>14858318</v>
      </c>
    </row>
    <row r="144" spans="1:46" ht="12.75" x14ac:dyDescent="0.2">
      <c r="A144" s="147" t="s">
        <v>261</v>
      </c>
      <c r="B144" s="17" t="s">
        <v>193</v>
      </c>
      <c r="C144" s="113" t="s">
        <v>238</v>
      </c>
      <c r="D144" s="113" t="s">
        <v>423</v>
      </c>
      <c r="E144" s="113" t="s">
        <v>663</v>
      </c>
      <c r="F144" s="127">
        <v>0</v>
      </c>
      <c r="G144" s="135">
        <v>5</v>
      </c>
      <c r="H144" s="44">
        <f t="shared" si="8"/>
        <v>5</v>
      </c>
      <c r="I144" s="18">
        <f>IFERROR(VLOOKUP($A144,'2.1 Toteut. op.vuodet'!$A:$Q,COLUMN('2.1 Toteut. op.vuodet'!Q:Q),FALSE),0)</f>
        <v>0.8600000000000001</v>
      </c>
      <c r="J144" s="85">
        <f t="shared" si="9"/>
        <v>4.3</v>
      </c>
      <c r="K144" s="19">
        <f>IFERROR(Ohj.lask.[[#This Row],[Painotetut opiskelija-vuodet]]/Ohj.lask.[[#Totals],[Painotetut opiskelija-vuodet]],0)</f>
        <v>2.1331470715611312E-5</v>
      </c>
      <c r="L144" s="20">
        <f>ROUND(IFERROR('1.1 Jakotaulu'!L$10*Ohj.lask.[[#This Row],[%-osuus 1]],0),0)</f>
        <v>25378</v>
      </c>
      <c r="M144" s="349">
        <f>IFERROR(ROUND(VLOOKUP($A144,'2.2 Tutk. ja osien pain. pist.'!$A:$Q,COLUMN('2.2 Tutk. ja osien pain. pist.'!P:P),FALSE),1),0)</f>
        <v>0</v>
      </c>
      <c r="N144" s="19">
        <f>IFERROR(Ohj.lask.[[#This Row],[Painotetut pisteet 2]]/Ohj.lask.[[#Totals],[Painotetut pisteet 2]],0)</f>
        <v>0</v>
      </c>
      <c r="O144" s="26">
        <f>ROUND(IFERROR('1.1 Jakotaulu'!K$11*Ohj.lask.[[#This Row],[%-osuus 2]],0),0)</f>
        <v>0</v>
      </c>
      <c r="P144" s="350">
        <f>IFERROR(ROUND(VLOOKUP($A144,'2.3 Työll. ja jatko-opisk.'!$A:$K,COLUMN('2.3 Työll. ja jatko-opisk.'!I:I),FALSE),1),0)</f>
        <v>0</v>
      </c>
      <c r="Q144" s="23">
        <f>IFERROR(Ohj.lask.[[#This Row],[Painotetut pisteet 3]]/Ohj.lask.[[#Totals],[Painotetut pisteet 3]],0)</f>
        <v>0</v>
      </c>
      <c r="R144" s="20">
        <f>ROUND(IFERROR('1.1 Jakotaulu'!L$13*Ohj.lask.[[#This Row],[%-osuus 3]],0),0)</f>
        <v>0</v>
      </c>
      <c r="S144" s="349">
        <f>IFERROR(ROUND(VLOOKUP($A144,'2.4 Aloittaneet palaute'!$A:$K,COLUMN('2.4 Aloittaneet palaute'!J:J),FALSE),1),0)</f>
        <v>0</v>
      </c>
      <c r="T144" s="23">
        <f>IFERROR(Ohj.lask.[[#This Row],[Painotetut pisteet 4]]/Ohj.lask.[[#Totals],[Painotetut pisteet 4]],0)</f>
        <v>0</v>
      </c>
      <c r="U144" s="26">
        <f>ROUND(IFERROR('1.1 Jakotaulu'!M$15*Ohj.lask.[[#This Row],[%-osuus 4]],0),0)</f>
        <v>0</v>
      </c>
      <c r="V144" s="85">
        <f>IFERROR(ROUND(VLOOKUP($A144,'2.5 Päättäneet palaute'!$A:$AC,COLUMN('2.5 Päättäneet palaute'!AB:AB),FALSE),1),0)</f>
        <v>0</v>
      </c>
      <c r="W144" s="23">
        <f>IFERROR(Ohj.lask.[[#This Row],[Painotetut pisteet 5]]/Ohj.lask.[[#Totals],[Painotetut pisteet 5]],0)</f>
        <v>0</v>
      </c>
      <c r="X144" s="20">
        <f>ROUND(IFERROR('1.1 Jakotaulu'!M$16*Ohj.lask.[[#This Row],[%-osuus 5]],0),0)</f>
        <v>0</v>
      </c>
      <c r="Y144" s="22">
        <f>IFERROR(Ohj.lask.[[#This Row],[Jaettava € 6]]/Ohj.lask.[[#Totals],[Jaettava € 6]],"")</f>
        <v>1.4542349890915328E-5</v>
      </c>
      <c r="Z144" s="26">
        <f>IFERROR(Ohj.lask.[[#This Row],[Jaettava € 1]]+Ohj.lask.[[#This Row],[Jaettava € 2]]+Ohj.lask.[[#This Row],[Jaettava € 3]]+Ohj.lask.[[#This Row],[Jaettava € 4]]+Ohj.lask.[[#This Row],[Jaettava € 5]],"")</f>
        <v>25378</v>
      </c>
      <c r="AA144" s="20">
        <v>0</v>
      </c>
      <c r="AB144" s="20">
        <v>0</v>
      </c>
      <c r="AC144" s="21">
        <v>0</v>
      </c>
      <c r="AD144" s="20">
        <v>0</v>
      </c>
      <c r="AE144" s="21">
        <v>0</v>
      </c>
      <c r="AF144" s="20">
        <v>0</v>
      </c>
      <c r="AG144" s="21">
        <v>0</v>
      </c>
      <c r="AH144" s="20">
        <v>0</v>
      </c>
      <c r="AI144" s="21">
        <v>40000</v>
      </c>
      <c r="AJ144" s="26">
        <v>0</v>
      </c>
      <c r="AK144" s="20">
        <v>0</v>
      </c>
      <c r="AL144" s="20">
        <v>0</v>
      </c>
      <c r="AM144" s="21">
        <v>40000</v>
      </c>
      <c r="AN144" s="136">
        <v>0</v>
      </c>
      <c r="AO144" s="20">
        <f>Ohj.lask.[[#This Row],[Jaettava € 1]]+Ohj.lask.[[#This Row],[Päätös 7, €]]</f>
        <v>25378</v>
      </c>
      <c r="AP144" s="119">
        <f>Ohj.lask.[[#This Row],[Jaettava € 2]]</f>
        <v>0</v>
      </c>
      <c r="AQ144" s="20">
        <f>Ohj.lask.[[#This Row],[Jaettava € 3]]+Ohj.lask.[[#This Row],[Jaettava € 4]]+Ohj.lask.[[#This Row],[Jaettava € 5]]</f>
        <v>0</v>
      </c>
      <c r="AR144" s="45">
        <f>Ohj.lask.[[#This Row],[Jaettava € 6]]+Ohj.lask.[[#This Row],[Päätös 7, €]]</f>
        <v>25378</v>
      </c>
      <c r="AS144" s="45">
        <f>ROUND(IFERROR(VLOOKUP(Ohj.lask.[[#This Row],[Y-tunnus]],'3.1 Alv vahvistettu'!A:Y,COLUMN(C:C),FALSE),0),0)</f>
        <v>0</v>
      </c>
      <c r="AT144" s="26">
        <f>Ohj.lask.[[#This Row],[Perus-, suoritus- ja vaikuttavuusrahoitus yhteensä, €]]+Ohj.lask.[[#This Row],[Alv-korvaus, €]]</f>
        <v>25378</v>
      </c>
    </row>
    <row r="145" spans="1:46" ht="12.75" x14ac:dyDescent="0.2">
      <c r="A145" s="147" t="s">
        <v>260</v>
      </c>
      <c r="B145" s="17" t="s">
        <v>185</v>
      </c>
      <c r="C145" s="17" t="s">
        <v>238</v>
      </c>
      <c r="D145" s="17" t="s">
        <v>423</v>
      </c>
      <c r="E145" s="17" t="s">
        <v>663</v>
      </c>
      <c r="F145" s="128">
        <v>0</v>
      </c>
      <c r="G145" s="135">
        <v>3</v>
      </c>
      <c r="H145" s="44">
        <f t="shared" si="8"/>
        <v>3</v>
      </c>
      <c r="I145" s="18">
        <f>IFERROR(VLOOKUP($A145,'2.1 Toteut. op.vuodet'!$A:$Q,COLUMN('2.1 Toteut. op.vuodet'!Q:Q),FALSE),0)</f>
        <v>0.43</v>
      </c>
      <c r="J145" s="85">
        <f t="shared" si="9"/>
        <v>1.3</v>
      </c>
      <c r="K145" s="19">
        <f>IFERROR(Ohj.lask.[[#This Row],[Painotetut opiskelija-vuodet]]/Ohj.lask.[[#Totals],[Painotetut opiskelija-vuodet]],0)</f>
        <v>6.4490492861150481E-6</v>
      </c>
      <c r="L145" s="20">
        <f>ROUND(IFERROR('1.1 Jakotaulu'!L$10*Ohj.lask.[[#This Row],[%-osuus 1]],0),0)</f>
        <v>7672</v>
      </c>
      <c r="M145" s="349">
        <f>IFERROR(ROUND(VLOOKUP($A145,'2.2 Tutk. ja osien pain. pist.'!$A:$Q,COLUMN('2.2 Tutk. ja osien pain. pist.'!P:P),FALSE),1),0)</f>
        <v>0</v>
      </c>
      <c r="N145" s="19">
        <f>IFERROR(Ohj.lask.[[#This Row],[Painotetut pisteet 2]]/Ohj.lask.[[#Totals],[Painotetut pisteet 2]],0)</f>
        <v>0</v>
      </c>
      <c r="O145" s="26">
        <f>ROUND(IFERROR('1.1 Jakotaulu'!K$11*Ohj.lask.[[#This Row],[%-osuus 2]],0),0)</f>
        <v>0</v>
      </c>
      <c r="P145" s="350">
        <f>IFERROR(ROUND(VLOOKUP($A145,'2.3 Työll. ja jatko-opisk.'!$A:$K,COLUMN('2.3 Työll. ja jatko-opisk.'!I:I),FALSE),1),0)</f>
        <v>0</v>
      </c>
      <c r="Q145" s="19">
        <f>IFERROR(Ohj.lask.[[#This Row],[Painotetut pisteet 3]]/Ohj.lask.[[#Totals],[Painotetut pisteet 3]],0)</f>
        <v>0</v>
      </c>
      <c r="R145" s="20">
        <f>ROUND(IFERROR('1.1 Jakotaulu'!L$13*Ohj.lask.[[#This Row],[%-osuus 3]],0),0)</f>
        <v>0</v>
      </c>
      <c r="S145" s="349">
        <f>IFERROR(ROUND(VLOOKUP($A145,'2.4 Aloittaneet palaute'!$A:$K,COLUMN('2.4 Aloittaneet palaute'!J:J),FALSE),1),0)</f>
        <v>0</v>
      </c>
      <c r="T145" s="23">
        <f>IFERROR(Ohj.lask.[[#This Row],[Painotetut pisteet 4]]/Ohj.lask.[[#Totals],[Painotetut pisteet 4]],0)</f>
        <v>0</v>
      </c>
      <c r="U145" s="26">
        <f>ROUND(IFERROR('1.1 Jakotaulu'!M$15*Ohj.lask.[[#This Row],[%-osuus 4]],0),0)</f>
        <v>0</v>
      </c>
      <c r="V145" s="85">
        <f>IFERROR(ROUND(VLOOKUP($A145,'2.5 Päättäneet palaute'!$A:$AC,COLUMN('2.5 Päättäneet palaute'!AB:AB),FALSE),1),0)</f>
        <v>0</v>
      </c>
      <c r="W145" s="23">
        <f>IFERROR(Ohj.lask.[[#This Row],[Painotetut pisteet 5]]/Ohj.lask.[[#Totals],[Painotetut pisteet 5]],0)</f>
        <v>0</v>
      </c>
      <c r="X145" s="20">
        <f>ROUND(IFERROR('1.1 Jakotaulu'!M$16*Ohj.lask.[[#This Row],[%-osuus 5]],0),0)</f>
        <v>0</v>
      </c>
      <c r="Y145" s="22">
        <f>IFERROR(Ohj.lask.[[#This Row],[Jaettava € 6]]/Ohj.lask.[[#Totals],[Jaettava € 6]],"")</f>
        <v>4.3962845126921897E-6</v>
      </c>
      <c r="Z145" s="26">
        <f>IFERROR(Ohj.lask.[[#This Row],[Jaettava € 1]]+Ohj.lask.[[#This Row],[Jaettava € 2]]+Ohj.lask.[[#This Row],[Jaettava € 3]]+Ohj.lask.[[#This Row],[Jaettava € 4]]+Ohj.lask.[[#This Row],[Jaettava € 5]],"")</f>
        <v>7672</v>
      </c>
      <c r="AA145" s="20">
        <v>0</v>
      </c>
      <c r="AB145" s="20">
        <v>0</v>
      </c>
      <c r="AC145" s="21">
        <v>0</v>
      </c>
      <c r="AD145" s="20">
        <v>0</v>
      </c>
      <c r="AE145" s="21">
        <v>400000</v>
      </c>
      <c r="AF145" s="20">
        <v>0</v>
      </c>
      <c r="AG145" s="21">
        <v>0</v>
      </c>
      <c r="AH145" s="20">
        <v>0</v>
      </c>
      <c r="AI145" s="21">
        <v>50000</v>
      </c>
      <c r="AJ145" s="26">
        <v>0</v>
      </c>
      <c r="AK145" s="20">
        <v>0</v>
      </c>
      <c r="AL145" s="20">
        <v>0</v>
      </c>
      <c r="AM145" s="21">
        <v>450000</v>
      </c>
      <c r="AN145" s="136">
        <v>0</v>
      </c>
      <c r="AO145" s="20">
        <f>Ohj.lask.[[#This Row],[Jaettava € 1]]+Ohj.lask.[[#This Row],[Päätös 7, €]]</f>
        <v>7672</v>
      </c>
      <c r="AP145" s="119">
        <f>Ohj.lask.[[#This Row],[Jaettava € 2]]</f>
        <v>0</v>
      </c>
      <c r="AQ145" s="20">
        <f>Ohj.lask.[[#This Row],[Jaettava € 3]]+Ohj.lask.[[#This Row],[Jaettava € 4]]+Ohj.lask.[[#This Row],[Jaettava € 5]]</f>
        <v>0</v>
      </c>
      <c r="AR145" s="45">
        <f>Ohj.lask.[[#This Row],[Jaettava € 6]]+Ohj.lask.[[#This Row],[Päätös 7, €]]</f>
        <v>7672</v>
      </c>
      <c r="AS145" s="45">
        <f>ROUND(IFERROR(VLOOKUP(Ohj.lask.[[#This Row],[Y-tunnus]],'3.1 Alv vahvistettu'!A:Y,COLUMN(C:C),FALSE),0),0)</f>
        <v>113902</v>
      </c>
      <c r="AT145" s="26">
        <f>Ohj.lask.[[#This Row],[Perus-, suoritus- ja vaikuttavuusrahoitus yhteensä, €]]+Ohj.lask.[[#This Row],[Alv-korvaus, €]]</f>
        <v>121574</v>
      </c>
    </row>
    <row r="146" spans="1:46" ht="12.75" x14ac:dyDescent="0.2">
      <c r="A146" s="147" t="s">
        <v>259</v>
      </c>
      <c r="B146" s="17" t="s">
        <v>143</v>
      </c>
      <c r="C146" s="17" t="s">
        <v>244</v>
      </c>
      <c r="D146" s="17" t="s">
        <v>424</v>
      </c>
      <c r="E146" s="17" t="s">
        <v>665</v>
      </c>
      <c r="F146" s="128">
        <v>2401</v>
      </c>
      <c r="G146" s="135">
        <v>209</v>
      </c>
      <c r="H146" s="44">
        <f t="shared" si="8"/>
        <v>2610</v>
      </c>
      <c r="I146" s="18">
        <f>IFERROR(VLOOKUP($A146,'2.1 Toteut. op.vuodet'!$A:$Q,COLUMN('2.1 Toteut. op.vuodet'!Q:Q),FALSE),0)</f>
        <v>1.004020735391344</v>
      </c>
      <c r="J146" s="85">
        <f t="shared" si="9"/>
        <v>2620.5</v>
      </c>
      <c r="K146" s="19">
        <f>IFERROR(Ohj.lask.[[#This Row],[Painotetut opiskelija-vuodet]]/Ohj.lask.[[#Totals],[Painotetut opiskelija-vuodet]],0)</f>
        <v>1.2999795118664987E-2</v>
      </c>
      <c r="L146" s="20">
        <f>ROUND(IFERROR('1.1 Jakotaulu'!L$10*Ohj.lask.[[#This Row],[%-osuus 1]],0),0)</f>
        <v>15465785</v>
      </c>
      <c r="M146" s="349">
        <f>IFERROR(ROUND(VLOOKUP($A146,'2.2 Tutk. ja osien pain. pist.'!$A:$Q,COLUMN('2.2 Tutk. ja osien pain. pist.'!P:P),FALSE),1),0)</f>
        <v>182487.7</v>
      </c>
      <c r="N146" s="19">
        <f>IFERROR(Ohj.lask.[[#This Row],[Painotetut pisteet 2]]/Ohj.lask.[[#Totals],[Painotetut pisteet 2]],0)</f>
        <v>1.1661741011687226E-2</v>
      </c>
      <c r="O146" s="26">
        <f>ROUND(IFERROR('1.1 Jakotaulu'!K$11*Ohj.lask.[[#This Row],[%-osuus 2]],0),0)</f>
        <v>4318074</v>
      </c>
      <c r="P146" s="350">
        <f>IFERROR(ROUND(VLOOKUP($A146,'2.3 Työll. ja jatko-opisk.'!$A:$K,COLUMN('2.3 Työll. ja jatko-opisk.'!I:I),FALSE),1),0)</f>
        <v>3164.1</v>
      </c>
      <c r="Q146" s="19">
        <f>IFERROR(Ohj.lask.[[#This Row],[Painotetut pisteet 3]]/Ohj.lask.[[#Totals],[Painotetut pisteet 3]],0)</f>
        <v>1.6703373510258208E-2</v>
      </c>
      <c r="R146" s="20">
        <f>ROUND(IFERROR('1.1 Jakotaulu'!L$13*Ohj.lask.[[#This Row],[%-osuus 3]],0),0)</f>
        <v>2319328</v>
      </c>
      <c r="S146" s="349">
        <f>IFERROR(ROUND(VLOOKUP($A146,'2.4 Aloittaneet palaute'!$A:$K,COLUMN('2.4 Aloittaneet palaute'!J:J),FALSE),1),0)</f>
        <v>8580.7999999999993</v>
      </c>
      <c r="T146" s="23">
        <f>IFERROR(Ohj.lask.[[#This Row],[Painotetut pisteet 4]]/Ohj.lask.[[#Totals],[Painotetut pisteet 4]],0)</f>
        <v>6.8920051198486645E-3</v>
      </c>
      <c r="U146" s="26">
        <f>ROUND(IFERROR('1.1 Jakotaulu'!M$15*Ohj.lask.[[#This Row],[%-osuus 4]],0),0)</f>
        <v>79748</v>
      </c>
      <c r="V146" s="85">
        <f>IFERROR(ROUND(VLOOKUP($A146,'2.5 Päättäneet palaute'!$A:$AC,COLUMN('2.5 Päättäneet palaute'!AB:AB),FALSE),1),0)</f>
        <v>71516.899999999994</v>
      </c>
      <c r="W146" s="23">
        <f>IFERROR(Ohj.lask.[[#This Row],[Painotetut pisteet 5]]/Ohj.lask.[[#Totals],[Painotetut pisteet 5]],0)</f>
        <v>1.0799739683581694E-2</v>
      </c>
      <c r="X146" s="20">
        <f>ROUND(IFERROR('1.1 Jakotaulu'!M$16*Ohj.lask.[[#This Row],[%-osuus 5]],0),0)</f>
        <v>374896</v>
      </c>
      <c r="Y146" s="22">
        <f>IFERROR(Ohj.lask.[[#This Row],[Jaettava € 6]]/Ohj.lask.[[#Totals],[Jaettava € 6]],"")</f>
        <v>1.2926309054383182E-2</v>
      </c>
      <c r="Z146" s="26">
        <f>IFERROR(Ohj.lask.[[#This Row],[Jaettava € 1]]+Ohj.lask.[[#This Row],[Jaettava € 2]]+Ohj.lask.[[#This Row],[Jaettava € 3]]+Ohj.lask.[[#This Row],[Jaettava € 4]]+Ohj.lask.[[#This Row],[Jaettava € 5]],"")</f>
        <v>22557831</v>
      </c>
      <c r="AA146" s="20">
        <v>0</v>
      </c>
      <c r="AB146" s="20">
        <v>0</v>
      </c>
      <c r="AC146" s="21">
        <v>0</v>
      </c>
      <c r="AD146" s="20">
        <v>0</v>
      </c>
      <c r="AE146" s="21">
        <v>0</v>
      </c>
      <c r="AF146" s="20">
        <v>0</v>
      </c>
      <c r="AG146" s="21">
        <v>0</v>
      </c>
      <c r="AH146" s="20">
        <v>0</v>
      </c>
      <c r="AI146" s="21">
        <v>0</v>
      </c>
      <c r="AJ146" s="26">
        <v>0</v>
      </c>
      <c r="AK146" s="20">
        <v>80000</v>
      </c>
      <c r="AL146" s="20">
        <v>0</v>
      </c>
      <c r="AM146" s="21">
        <v>80000</v>
      </c>
      <c r="AN146" s="136">
        <v>0</v>
      </c>
      <c r="AO146" s="20">
        <f>Ohj.lask.[[#This Row],[Jaettava € 1]]+Ohj.lask.[[#This Row],[Päätös 7, €]]</f>
        <v>15465785</v>
      </c>
      <c r="AP146" s="119">
        <f>Ohj.lask.[[#This Row],[Jaettava € 2]]</f>
        <v>4318074</v>
      </c>
      <c r="AQ146" s="20">
        <f>Ohj.lask.[[#This Row],[Jaettava € 3]]+Ohj.lask.[[#This Row],[Jaettava € 4]]+Ohj.lask.[[#This Row],[Jaettava € 5]]</f>
        <v>2773972</v>
      </c>
      <c r="AR146" s="45">
        <f>Ohj.lask.[[#This Row],[Jaettava € 6]]+Ohj.lask.[[#This Row],[Päätös 7, €]]</f>
        <v>22557831</v>
      </c>
      <c r="AS146" s="45">
        <f>ROUND(IFERROR(VLOOKUP(Ohj.lask.[[#This Row],[Y-tunnus]],'3.1 Alv vahvistettu'!A:Y,COLUMN(C:C),FALSE),0),0)</f>
        <v>0</v>
      </c>
      <c r="AT146" s="26">
        <f>Ohj.lask.[[#This Row],[Perus-, suoritus- ja vaikuttavuusrahoitus yhteensä, €]]+Ohj.lask.[[#This Row],[Alv-korvaus, €]]</f>
        <v>22557831</v>
      </c>
    </row>
    <row r="147" spans="1:46" ht="12.75" x14ac:dyDescent="0.2">
      <c r="A147" s="147" t="s">
        <v>258</v>
      </c>
      <c r="B147" s="17" t="s">
        <v>144</v>
      </c>
      <c r="C147" s="17" t="s">
        <v>249</v>
      </c>
      <c r="D147" s="17" t="s">
        <v>422</v>
      </c>
      <c r="E147" s="17" t="s">
        <v>663</v>
      </c>
      <c r="F147" s="128">
        <v>1000</v>
      </c>
      <c r="G147" s="135">
        <v>55</v>
      </c>
      <c r="H147" s="44">
        <f t="shared" si="8"/>
        <v>1055</v>
      </c>
      <c r="I147" s="18">
        <f>IFERROR(VLOOKUP($A147,'2.1 Toteut. op.vuodet'!$A:$Q,COLUMN('2.1 Toteut. op.vuodet'!Q:Q),FALSE),0)</f>
        <v>0.98672504152095963</v>
      </c>
      <c r="J147" s="85">
        <f t="shared" si="9"/>
        <v>1041</v>
      </c>
      <c r="K147" s="19">
        <f>IFERROR(Ohj.lask.[[#This Row],[Painotetut opiskelija-vuodet]]/Ohj.lask.[[#Totals],[Painotetut opiskelija-vuodet]],0)</f>
        <v>5.1642002360352034E-3</v>
      </c>
      <c r="L147" s="20">
        <f>ROUND(IFERROR('1.1 Jakotaulu'!L$10*Ohj.lask.[[#This Row],[%-osuus 1]],0),0)</f>
        <v>6143821</v>
      </c>
      <c r="M147" s="349">
        <f>IFERROR(ROUND(VLOOKUP($A147,'2.2 Tutk. ja osien pain. pist.'!$A:$Q,COLUMN('2.2 Tutk. ja osien pain. pist.'!P:P),FALSE),1),0)</f>
        <v>92978</v>
      </c>
      <c r="N147" s="19">
        <f>IFERROR(Ohj.lask.[[#This Row],[Painotetut pisteet 2]]/Ohj.lask.[[#Totals],[Painotetut pisteet 2]],0)</f>
        <v>5.9416900743702438E-3</v>
      </c>
      <c r="O147" s="26">
        <f>ROUND(IFERROR('1.1 Jakotaulu'!K$11*Ohj.lask.[[#This Row],[%-osuus 2]],0),0)</f>
        <v>2200071</v>
      </c>
      <c r="P147" s="350">
        <f>IFERROR(ROUND(VLOOKUP($A147,'2.3 Työll. ja jatko-opisk.'!$A:$K,COLUMN('2.3 Työll. ja jatko-opisk.'!I:I),FALSE),1),0)</f>
        <v>1100.2</v>
      </c>
      <c r="Q147" s="19">
        <f>IFERROR(Ohj.lask.[[#This Row],[Painotetut pisteet 3]]/Ohj.lask.[[#Totals],[Painotetut pisteet 3]],0)</f>
        <v>5.8079869586884362E-3</v>
      </c>
      <c r="R147" s="20">
        <f>ROUND(IFERROR('1.1 Jakotaulu'!L$13*Ohj.lask.[[#This Row],[%-osuus 3]],0),0)</f>
        <v>806461</v>
      </c>
      <c r="S147" s="349">
        <f>IFERROR(ROUND(VLOOKUP($A147,'2.4 Aloittaneet palaute'!$A:$K,COLUMN('2.4 Aloittaneet palaute'!J:J),FALSE),1),0)</f>
        <v>9347.4</v>
      </c>
      <c r="T147" s="23">
        <f>IFERROR(Ohj.lask.[[#This Row],[Painotetut pisteet 4]]/Ohj.lask.[[#Totals],[Painotetut pisteet 4]],0)</f>
        <v>7.5077298919999777E-3</v>
      </c>
      <c r="U147" s="26">
        <f>ROUND(IFERROR('1.1 Jakotaulu'!M$15*Ohj.lask.[[#This Row],[%-osuus 4]],0),0)</f>
        <v>86873</v>
      </c>
      <c r="V147" s="85">
        <f>IFERROR(ROUND(VLOOKUP($A147,'2.5 Päättäneet palaute'!$A:$AC,COLUMN('2.5 Päättäneet palaute'!AB:AB),FALSE),1),0)</f>
        <v>47154.400000000001</v>
      </c>
      <c r="W147" s="23">
        <f>IFERROR(Ohj.lask.[[#This Row],[Painotetut pisteet 5]]/Ohj.lask.[[#Totals],[Painotetut pisteet 5]],0)</f>
        <v>7.1207678875270701E-3</v>
      </c>
      <c r="X147" s="20">
        <f>ROUND(IFERROR('1.1 Jakotaulu'!M$16*Ohj.lask.[[#This Row],[%-osuus 5]],0),0)</f>
        <v>247187</v>
      </c>
      <c r="Y147" s="22">
        <f>IFERROR(Ohj.lask.[[#This Row],[Jaettava € 6]]/Ohj.lask.[[#Totals],[Jaettava € 6]],"")</f>
        <v>5.4348511449265474E-3</v>
      </c>
      <c r="Z147" s="26">
        <f>IFERROR(Ohj.lask.[[#This Row],[Jaettava € 1]]+Ohj.lask.[[#This Row],[Jaettava € 2]]+Ohj.lask.[[#This Row],[Jaettava € 3]]+Ohj.lask.[[#This Row],[Jaettava € 4]]+Ohj.lask.[[#This Row],[Jaettava € 5]],"")</f>
        <v>9484413</v>
      </c>
      <c r="AA147" s="20">
        <v>0</v>
      </c>
      <c r="AB147" s="20">
        <v>0</v>
      </c>
      <c r="AC147" s="21">
        <v>0</v>
      </c>
      <c r="AD147" s="20">
        <v>0</v>
      </c>
      <c r="AE147" s="21">
        <v>0</v>
      </c>
      <c r="AF147" s="20">
        <v>0</v>
      </c>
      <c r="AG147" s="21">
        <v>0</v>
      </c>
      <c r="AH147" s="20">
        <v>0</v>
      </c>
      <c r="AI147" s="21">
        <v>0</v>
      </c>
      <c r="AJ147" s="26">
        <v>0</v>
      </c>
      <c r="AK147" s="20">
        <v>0</v>
      </c>
      <c r="AL147" s="20">
        <v>0</v>
      </c>
      <c r="AM147" s="21">
        <v>0</v>
      </c>
      <c r="AN147" s="136">
        <v>0</v>
      </c>
      <c r="AO147" s="20">
        <f>Ohj.lask.[[#This Row],[Jaettava € 1]]+Ohj.lask.[[#This Row],[Päätös 7, €]]</f>
        <v>6143821</v>
      </c>
      <c r="AP147" s="119">
        <f>Ohj.lask.[[#This Row],[Jaettava € 2]]</f>
        <v>2200071</v>
      </c>
      <c r="AQ147" s="20">
        <f>Ohj.lask.[[#This Row],[Jaettava € 3]]+Ohj.lask.[[#This Row],[Jaettava € 4]]+Ohj.lask.[[#This Row],[Jaettava € 5]]</f>
        <v>1140521</v>
      </c>
      <c r="AR147" s="45">
        <f>Ohj.lask.[[#This Row],[Jaettava € 6]]+Ohj.lask.[[#This Row],[Päätös 7, €]]</f>
        <v>9484413</v>
      </c>
      <c r="AS147" s="45">
        <f>ROUND(IFERROR(VLOOKUP(Ohj.lask.[[#This Row],[Y-tunnus]],'3.1 Alv vahvistettu'!A:Y,COLUMN(C:C),FALSE),0),0)</f>
        <v>0</v>
      </c>
      <c r="AT147" s="26">
        <f>Ohj.lask.[[#This Row],[Perus-, suoritus- ja vaikuttavuusrahoitus yhteensä, €]]+Ohj.lask.[[#This Row],[Alv-korvaus, €]]</f>
        <v>9484413</v>
      </c>
    </row>
    <row r="148" spans="1:46" ht="12.75" x14ac:dyDescent="0.2">
      <c r="A148" s="147" t="s">
        <v>257</v>
      </c>
      <c r="B148" s="17" t="s">
        <v>145</v>
      </c>
      <c r="C148" s="17" t="s">
        <v>256</v>
      </c>
      <c r="D148" s="17" t="s">
        <v>423</v>
      </c>
      <c r="E148" s="17" t="s">
        <v>663</v>
      </c>
      <c r="F148" s="128">
        <v>17</v>
      </c>
      <c r="G148" s="135">
        <v>0</v>
      </c>
      <c r="H148" s="44">
        <f t="shared" si="8"/>
        <v>17</v>
      </c>
      <c r="I148" s="18">
        <f>IFERROR(VLOOKUP($A148,'2.1 Toteut. op.vuodet'!$A:$Q,COLUMN('2.1 Toteut. op.vuodet'!Q:Q),FALSE),0)</f>
        <v>0.84241283738708694</v>
      </c>
      <c r="J148" s="85">
        <f t="shared" si="9"/>
        <v>14.3</v>
      </c>
      <c r="K148" s="19">
        <f>IFERROR(Ohj.lask.[[#This Row],[Painotetut opiskelija-vuodet]]/Ohj.lask.[[#Totals],[Painotetut opiskelija-vuodet]],0)</f>
        <v>7.0939542147265537E-5</v>
      </c>
      <c r="L148" s="20">
        <f>ROUND(IFERROR('1.1 Jakotaulu'!L$10*Ohj.lask.[[#This Row],[%-osuus 1]],0),0)</f>
        <v>84396</v>
      </c>
      <c r="M148" s="349">
        <f>IFERROR(ROUND(VLOOKUP($A148,'2.2 Tutk. ja osien pain. pist.'!$A:$Q,COLUMN('2.2 Tutk. ja osien pain. pist.'!P:P),FALSE),1),0)</f>
        <v>200.5</v>
      </c>
      <c r="N148" s="19">
        <f>IFERROR(Ohj.lask.[[#This Row],[Painotetut pisteet 2]]/Ohj.lask.[[#Totals],[Painotetut pisteet 2]],0)</f>
        <v>1.2812803673032695E-5</v>
      </c>
      <c r="O148" s="26">
        <f>ROUND(IFERROR('1.1 Jakotaulu'!K$11*Ohj.lask.[[#This Row],[%-osuus 2]],0),0)</f>
        <v>4744</v>
      </c>
      <c r="P148" s="350">
        <f>IFERROR(ROUND(VLOOKUP($A148,'2.3 Työll. ja jatko-opisk.'!$A:$K,COLUMN('2.3 Työll. ja jatko-opisk.'!I:I),FALSE),1),0)</f>
        <v>53.5</v>
      </c>
      <c r="Q148" s="19">
        <f>IFERROR(Ohj.lask.[[#This Row],[Painotetut pisteet 3]]/Ohj.lask.[[#Totals],[Painotetut pisteet 3]],0)</f>
        <v>2.824280151698158E-4</v>
      </c>
      <c r="R148" s="20">
        <f>ROUND(IFERROR('1.1 Jakotaulu'!L$13*Ohj.lask.[[#This Row],[%-osuus 3]],0),0)</f>
        <v>39216</v>
      </c>
      <c r="S148" s="349">
        <f>IFERROR(ROUND(VLOOKUP($A148,'2.4 Aloittaneet palaute'!$A:$K,COLUMN('2.4 Aloittaneet palaute'!J:J),FALSE),1),0)</f>
        <v>256</v>
      </c>
      <c r="T148" s="23">
        <f>IFERROR(Ohj.lask.[[#This Row],[Painotetut pisteet 4]]/Ohj.lask.[[#Totals],[Painotetut pisteet 4]],0)</f>
        <v>2.0561641230202991E-4</v>
      </c>
      <c r="U148" s="26">
        <f>ROUND(IFERROR('1.1 Jakotaulu'!M$15*Ohj.lask.[[#This Row],[%-osuus 4]],0),0)</f>
        <v>2379</v>
      </c>
      <c r="V148" s="85">
        <f>IFERROR(ROUND(VLOOKUP($A148,'2.5 Päättäneet palaute'!$A:$AC,COLUMN('2.5 Päättäneet palaute'!AB:AB),FALSE),1),0)</f>
        <v>3755.6</v>
      </c>
      <c r="W148" s="23">
        <f>IFERROR(Ohj.lask.[[#This Row],[Painotetut pisteet 5]]/Ohj.lask.[[#Totals],[Painotetut pisteet 5]],0)</f>
        <v>5.6713171789688052E-4</v>
      </c>
      <c r="X148" s="20">
        <f>ROUND(IFERROR('1.1 Jakotaulu'!M$16*Ohj.lask.[[#This Row],[%-osuus 5]],0),0)</f>
        <v>19687</v>
      </c>
      <c r="Y148" s="22">
        <f>IFERROR(Ohj.lask.[[#This Row],[Jaettava € 6]]/Ohj.lask.[[#Totals],[Jaettava € 6]],"")</f>
        <v>8.6196286361859301E-5</v>
      </c>
      <c r="Z148" s="26">
        <f>IFERROR(Ohj.lask.[[#This Row],[Jaettava € 1]]+Ohj.lask.[[#This Row],[Jaettava € 2]]+Ohj.lask.[[#This Row],[Jaettava € 3]]+Ohj.lask.[[#This Row],[Jaettava € 4]]+Ohj.lask.[[#This Row],[Jaettava € 5]],"")</f>
        <v>150422</v>
      </c>
      <c r="AA148" s="20">
        <v>0</v>
      </c>
      <c r="AB148" s="20">
        <v>0</v>
      </c>
      <c r="AC148" s="21">
        <v>0</v>
      </c>
      <c r="AD148" s="20">
        <v>0</v>
      </c>
      <c r="AE148" s="21">
        <v>0</v>
      </c>
      <c r="AF148" s="20">
        <v>0</v>
      </c>
      <c r="AG148" s="21">
        <v>0</v>
      </c>
      <c r="AH148" s="20">
        <v>0</v>
      </c>
      <c r="AI148" s="21">
        <v>4000</v>
      </c>
      <c r="AJ148" s="26">
        <v>4000</v>
      </c>
      <c r="AK148" s="20">
        <v>0</v>
      </c>
      <c r="AL148" s="20">
        <v>0</v>
      </c>
      <c r="AM148" s="21">
        <v>4000</v>
      </c>
      <c r="AN148" s="136">
        <v>4000</v>
      </c>
      <c r="AO148" s="20">
        <f>Ohj.lask.[[#This Row],[Jaettava € 1]]+Ohj.lask.[[#This Row],[Päätös 7, €]]</f>
        <v>88396</v>
      </c>
      <c r="AP148" s="119">
        <f>Ohj.lask.[[#This Row],[Jaettava € 2]]</f>
        <v>4744</v>
      </c>
      <c r="AQ148" s="20">
        <f>Ohj.lask.[[#This Row],[Jaettava € 3]]+Ohj.lask.[[#This Row],[Jaettava € 4]]+Ohj.lask.[[#This Row],[Jaettava € 5]]</f>
        <v>61282</v>
      </c>
      <c r="AR148" s="45">
        <f>Ohj.lask.[[#This Row],[Jaettava € 6]]+Ohj.lask.[[#This Row],[Päätös 7, €]]</f>
        <v>154422</v>
      </c>
      <c r="AS148" s="45">
        <f>ROUND(IFERROR(VLOOKUP(Ohj.lask.[[#This Row],[Y-tunnus]],'3.1 Alv vahvistettu'!A:Y,COLUMN(C:C),FALSE),0),0)</f>
        <v>0</v>
      </c>
      <c r="AT148" s="26">
        <f>Ohj.lask.[[#This Row],[Perus-, suoritus- ja vaikuttavuusrahoitus yhteensä, €]]+Ohj.lask.[[#This Row],[Alv-korvaus, €]]</f>
        <v>154422</v>
      </c>
    </row>
    <row r="149" spans="1:46" ht="12.75" x14ac:dyDescent="0.2">
      <c r="A149" s="147" t="s">
        <v>255</v>
      </c>
      <c r="B149" s="17" t="s">
        <v>186</v>
      </c>
      <c r="C149" s="17" t="s">
        <v>254</v>
      </c>
      <c r="D149" s="17" t="s">
        <v>423</v>
      </c>
      <c r="E149" s="17" t="s">
        <v>663</v>
      </c>
      <c r="F149" s="128">
        <v>0</v>
      </c>
      <c r="G149" s="135">
        <v>0</v>
      </c>
      <c r="H149" s="44">
        <f t="shared" si="8"/>
        <v>0</v>
      </c>
      <c r="I149" s="18">
        <f>IFERROR(VLOOKUP($A149,'2.1 Toteut. op.vuodet'!$A:$Q,COLUMN('2.1 Toteut. op.vuodet'!Q:Q),FALSE),0)</f>
        <v>0</v>
      </c>
      <c r="J149" s="85">
        <f t="shared" si="9"/>
        <v>0</v>
      </c>
      <c r="K149" s="19">
        <f>IFERROR(Ohj.lask.[[#This Row],[Painotetut opiskelija-vuodet]]/Ohj.lask.[[#Totals],[Painotetut opiskelija-vuodet]],0)</f>
        <v>0</v>
      </c>
      <c r="L149" s="20">
        <f>ROUND(IFERROR('1.1 Jakotaulu'!L$10*Ohj.lask.[[#This Row],[%-osuus 1]],0),0)</f>
        <v>0</v>
      </c>
      <c r="M149" s="349">
        <f>IFERROR(ROUND(VLOOKUP($A149,'2.2 Tutk. ja osien pain. pist.'!$A:$Q,COLUMN('2.2 Tutk. ja osien pain. pist.'!P:P),FALSE),1),0)</f>
        <v>0</v>
      </c>
      <c r="N149" s="19">
        <f>IFERROR(Ohj.lask.[[#This Row],[Painotetut pisteet 2]]/Ohj.lask.[[#Totals],[Painotetut pisteet 2]],0)</f>
        <v>0</v>
      </c>
      <c r="O149" s="26">
        <f>ROUND(IFERROR('1.1 Jakotaulu'!K$11*Ohj.lask.[[#This Row],[%-osuus 2]],0),0)</f>
        <v>0</v>
      </c>
      <c r="P149" s="350">
        <f>IFERROR(ROUND(VLOOKUP($A149,'2.3 Työll. ja jatko-opisk.'!$A:$K,COLUMN('2.3 Työll. ja jatko-opisk.'!I:I),FALSE),1),0)</f>
        <v>0</v>
      </c>
      <c r="Q149" s="19">
        <f>IFERROR(Ohj.lask.[[#This Row],[Painotetut pisteet 3]]/Ohj.lask.[[#Totals],[Painotetut pisteet 3]],0)</f>
        <v>0</v>
      </c>
      <c r="R149" s="20">
        <f>ROUND(IFERROR('1.1 Jakotaulu'!L$13*Ohj.lask.[[#This Row],[%-osuus 3]],0),0)</f>
        <v>0</v>
      </c>
      <c r="S149" s="349">
        <f>IFERROR(ROUND(VLOOKUP($A149,'2.4 Aloittaneet palaute'!$A:$K,COLUMN('2.4 Aloittaneet palaute'!J:J),FALSE),1),0)</f>
        <v>0</v>
      </c>
      <c r="T149" s="23">
        <f>IFERROR(Ohj.lask.[[#This Row],[Painotetut pisteet 4]]/Ohj.lask.[[#Totals],[Painotetut pisteet 4]],0)</f>
        <v>0</v>
      </c>
      <c r="U149" s="26">
        <f>ROUND(IFERROR('1.1 Jakotaulu'!M$15*Ohj.lask.[[#This Row],[%-osuus 4]],0),0)</f>
        <v>0</v>
      </c>
      <c r="V149" s="85">
        <f>IFERROR(ROUND(VLOOKUP($A149,'2.5 Päättäneet palaute'!$A:$AC,COLUMN('2.5 Päättäneet palaute'!AB:AB),FALSE),1),0)</f>
        <v>0</v>
      </c>
      <c r="W149" s="23">
        <f>IFERROR(Ohj.lask.[[#This Row],[Painotetut pisteet 5]]/Ohj.lask.[[#Totals],[Painotetut pisteet 5]],0)</f>
        <v>0</v>
      </c>
      <c r="X149" s="20">
        <f>ROUND(IFERROR('1.1 Jakotaulu'!M$16*Ohj.lask.[[#This Row],[%-osuus 5]],0),0)</f>
        <v>0</v>
      </c>
      <c r="Y149" s="22">
        <f>IFERROR(Ohj.lask.[[#This Row],[Jaettava € 6]]/Ohj.lask.[[#Totals],[Jaettava € 6]],"")</f>
        <v>0</v>
      </c>
      <c r="Z149" s="26">
        <f>IFERROR(Ohj.lask.[[#This Row],[Jaettava € 1]]+Ohj.lask.[[#This Row],[Jaettava € 2]]+Ohj.lask.[[#This Row],[Jaettava € 3]]+Ohj.lask.[[#This Row],[Jaettava € 4]]+Ohj.lask.[[#This Row],[Jaettava € 5]],"")</f>
        <v>0</v>
      </c>
      <c r="AA149" s="20">
        <v>0</v>
      </c>
      <c r="AB149" s="20">
        <v>0</v>
      </c>
      <c r="AC149" s="21">
        <v>0</v>
      </c>
      <c r="AD149" s="20">
        <v>0</v>
      </c>
      <c r="AE149" s="21">
        <v>0</v>
      </c>
      <c r="AF149" s="20">
        <v>0</v>
      </c>
      <c r="AG149" s="21">
        <v>0</v>
      </c>
      <c r="AH149" s="20">
        <v>0</v>
      </c>
      <c r="AI149" s="21">
        <v>0</v>
      </c>
      <c r="AJ149" s="26">
        <v>0</v>
      </c>
      <c r="AK149" s="20">
        <v>0</v>
      </c>
      <c r="AL149" s="20">
        <v>0</v>
      </c>
      <c r="AM149" s="21">
        <v>0</v>
      </c>
      <c r="AN149" s="136">
        <v>0</v>
      </c>
      <c r="AO149" s="20">
        <f>Ohj.lask.[[#This Row],[Jaettava € 1]]+Ohj.lask.[[#This Row],[Päätös 7, €]]</f>
        <v>0</v>
      </c>
      <c r="AP149" s="119">
        <f>Ohj.lask.[[#This Row],[Jaettava € 2]]</f>
        <v>0</v>
      </c>
      <c r="AQ149" s="20">
        <f>Ohj.lask.[[#This Row],[Jaettava € 3]]+Ohj.lask.[[#This Row],[Jaettava € 4]]+Ohj.lask.[[#This Row],[Jaettava € 5]]</f>
        <v>0</v>
      </c>
      <c r="AR149" s="45">
        <f>Ohj.lask.[[#This Row],[Jaettava € 6]]+Ohj.lask.[[#This Row],[Päätös 7, €]]</f>
        <v>0</v>
      </c>
      <c r="AS149" s="45">
        <f>ROUND(IFERROR(VLOOKUP(Ohj.lask.[[#This Row],[Y-tunnus]],'3.1 Alv vahvistettu'!A:Y,COLUMN(C:C),FALSE),0),0)</f>
        <v>0</v>
      </c>
      <c r="AT149" s="26">
        <f>Ohj.lask.[[#This Row],[Perus-, suoritus- ja vaikuttavuusrahoitus yhteensä, €]]+Ohj.lask.[[#This Row],[Alv-korvaus, €]]</f>
        <v>0</v>
      </c>
    </row>
    <row r="150" spans="1:46" ht="12.75" x14ac:dyDescent="0.2">
      <c r="A150" s="147" t="s">
        <v>253</v>
      </c>
      <c r="B150" s="17" t="s">
        <v>146</v>
      </c>
      <c r="C150" s="17" t="s">
        <v>252</v>
      </c>
      <c r="D150" s="17" t="s">
        <v>423</v>
      </c>
      <c r="E150" s="17" t="s">
        <v>663</v>
      </c>
      <c r="F150" s="128">
        <v>158</v>
      </c>
      <c r="G150" s="135">
        <v>15</v>
      </c>
      <c r="H150" s="44">
        <f t="shared" si="8"/>
        <v>173</v>
      </c>
      <c r="I150" s="18">
        <f>IFERROR(VLOOKUP($A150,'2.1 Toteut. op.vuodet'!$A:$Q,COLUMN('2.1 Toteut. op.vuodet'!Q:Q),FALSE),0)</f>
        <v>1.4781056053298072</v>
      </c>
      <c r="J150" s="85">
        <f t="shared" si="9"/>
        <v>255.7</v>
      </c>
      <c r="K150" s="19">
        <f>IFERROR(Ohj.lask.[[#This Row],[Painotetut opiskelija-vuodet]]/Ohj.lask.[[#Totals],[Painotetut opiskelija-vuodet]],0)</f>
        <v>1.2684783865073981E-3</v>
      </c>
      <c r="L150" s="20">
        <f>ROUND(IFERROR('1.1 Jakotaulu'!L$10*Ohj.lask.[[#This Row],[%-osuus 1]],0),0)</f>
        <v>1509102</v>
      </c>
      <c r="M150" s="349">
        <f>IFERROR(ROUND(VLOOKUP($A150,'2.2 Tutk. ja osien pain. pist.'!$A:$Q,COLUMN('2.2 Tutk. ja osien pain. pist.'!P:P),FALSE),1),0)</f>
        <v>26830.3</v>
      </c>
      <c r="N150" s="19">
        <f>IFERROR(Ohj.lask.[[#This Row],[Painotetut pisteet 2]]/Ohj.lask.[[#Totals],[Painotetut pisteet 2]],0)</f>
        <v>1.7145704059280255E-3</v>
      </c>
      <c r="O150" s="26">
        <f>ROUND(IFERROR('1.1 Jakotaulu'!K$11*Ohj.lask.[[#This Row],[%-osuus 2]],0),0)</f>
        <v>634866</v>
      </c>
      <c r="P150" s="350">
        <f>IFERROR(ROUND(VLOOKUP($A150,'2.3 Työll. ja jatko-opisk.'!$A:$K,COLUMN('2.3 Työll. ja jatko-opisk.'!I:I),FALSE),1),0)</f>
        <v>94.1</v>
      </c>
      <c r="Q150" s="19">
        <f>IFERROR(Ohj.lask.[[#This Row],[Painotetut pisteet 3]]/Ohj.lask.[[#Totals],[Painotetut pisteet 3]],0)</f>
        <v>4.967565649996199E-4</v>
      </c>
      <c r="R150" s="20">
        <f>ROUND(IFERROR('1.1 Jakotaulu'!L$13*Ohj.lask.[[#This Row],[%-osuus 3]],0),0)</f>
        <v>68977</v>
      </c>
      <c r="S150" s="349">
        <f>IFERROR(ROUND(VLOOKUP($A150,'2.4 Aloittaneet palaute'!$A:$K,COLUMN('2.4 Aloittaneet palaute'!J:J),FALSE),1),0)</f>
        <v>1359</v>
      </c>
      <c r="T150" s="23">
        <f>IFERROR(Ohj.lask.[[#This Row],[Painotetut pisteet 4]]/Ohj.lask.[[#Totals],[Painotetut pisteet 4]],0)</f>
        <v>1.091534001243979E-3</v>
      </c>
      <c r="U150" s="26">
        <f>ROUND(IFERROR('1.1 Jakotaulu'!M$15*Ohj.lask.[[#This Row],[%-osuus 4]],0),0)</f>
        <v>12630</v>
      </c>
      <c r="V150" s="85">
        <f>IFERROR(ROUND(VLOOKUP($A150,'2.5 Päättäneet palaute'!$A:$AC,COLUMN('2.5 Päättäneet palaute'!AB:AB),FALSE),1),0)</f>
        <v>5805</v>
      </c>
      <c r="W150" s="23">
        <f>IFERROR(Ohj.lask.[[#This Row],[Painotetut pisteet 5]]/Ohj.lask.[[#Totals],[Painotetut pisteet 5]],0)</f>
        <v>8.766108271358482E-4</v>
      </c>
      <c r="X150" s="20">
        <f>ROUND(IFERROR('1.1 Jakotaulu'!M$16*Ohj.lask.[[#This Row],[%-osuus 5]],0),0)</f>
        <v>30430</v>
      </c>
      <c r="Y150" s="22">
        <f>IFERROR(Ohj.lask.[[#This Row],[Jaettava € 6]]/Ohj.lask.[[#Totals],[Jaettava € 6]],"")</f>
        <v>1.2927580607476725E-3</v>
      </c>
      <c r="Z150" s="26">
        <f>IFERROR(Ohj.lask.[[#This Row],[Jaettava € 1]]+Ohj.lask.[[#This Row],[Jaettava € 2]]+Ohj.lask.[[#This Row],[Jaettava € 3]]+Ohj.lask.[[#This Row],[Jaettava € 4]]+Ohj.lask.[[#This Row],[Jaettava € 5]],"")</f>
        <v>2256005</v>
      </c>
      <c r="AA150" s="20">
        <v>0</v>
      </c>
      <c r="AB150" s="20">
        <v>0</v>
      </c>
      <c r="AC150" s="21">
        <v>0</v>
      </c>
      <c r="AD150" s="20">
        <v>0</v>
      </c>
      <c r="AE150" s="21">
        <v>0</v>
      </c>
      <c r="AF150" s="20">
        <v>0</v>
      </c>
      <c r="AG150" s="21">
        <v>0</v>
      </c>
      <c r="AH150" s="20">
        <v>0</v>
      </c>
      <c r="AI150" s="21">
        <v>0</v>
      </c>
      <c r="AJ150" s="26">
        <v>0</v>
      </c>
      <c r="AK150" s="20">
        <v>30000</v>
      </c>
      <c r="AL150" s="20">
        <v>5000</v>
      </c>
      <c r="AM150" s="21">
        <v>30000</v>
      </c>
      <c r="AN150" s="136">
        <v>5000</v>
      </c>
      <c r="AO150" s="20">
        <f>Ohj.lask.[[#This Row],[Jaettava € 1]]+Ohj.lask.[[#This Row],[Päätös 7, €]]</f>
        <v>1514102</v>
      </c>
      <c r="AP150" s="119">
        <f>Ohj.lask.[[#This Row],[Jaettava € 2]]</f>
        <v>634866</v>
      </c>
      <c r="AQ150" s="20">
        <f>Ohj.lask.[[#This Row],[Jaettava € 3]]+Ohj.lask.[[#This Row],[Jaettava € 4]]+Ohj.lask.[[#This Row],[Jaettava € 5]]</f>
        <v>112037</v>
      </c>
      <c r="AR150" s="45">
        <f>Ohj.lask.[[#This Row],[Jaettava € 6]]+Ohj.lask.[[#This Row],[Päätös 7, €]]</f>
        <v>2261005</v>
      </c>
      <c r="AS150" s="45">
        <f>ROUND(IFERROR(VLOOKUP(Ohj.lask.[[#This Row],[Y-tunnus]],'3.1 Alv vahvistettu'!A:Y,COLUMN(C:C),FALSE),0),0)</f>
        <v>105869</v>
      </c>
      <c r="AT150" s="26">
        <f>Ohj.lask.[[#This Row],[Perus-, suoritus- ja vaikuttavuusrahoitus yhteensä, €]]+Ohj.lask.[[#This Row],[Alv-korvaus, €]]</f>
        <v>2366874</v>
      </c>
    </row>
    <row r="151" spans="1:46" ht="12.75" x14ac:dyDescent="0.2">
      <c r="A151" s="147" t="s">
        <v>251</v>
      </c>
      <c r="B151" s="17" t="s">
        <v>147</v>
      </c>
      <c r="C151" s="17" t="s">
        <v>238</v>
      </c>
      <c r="D151" s="17" t="s">
        <v>424</v>
      </c>
      <c r="E151" s="17" t="s">
        <v>665</v>
      </c>
      <c r="F151" s="128">
        <v>3063</v>
      </c>
      <c r="G151" s="135">
        <v>477</v>
      </c>
      <c r="H151" s="44">
        <f t="shared" si="8"/>
        <v>3540</v>
      </c>
      <c r="I151" s="18">
        <f>IFERROR(VLOOKUP($A151,'2.1 Toteut. op.vuodet'!$A:$Q,COLUMN('2.1 Toteut. op.vuodet'!Q:Q),FALSE),0)</f>
        <v>1.0505995195423898</v>
      </c>
      <c r="J151" s="85">
        <f t="shared" si="9"/>
        <v>3719.1</v>
      </c>
      <c r="K151" s="19">
        <f>IFERROR(Ohj.lask.[[#This Row],[Painotetut opiskelija-vuodet]]/Ohj.lask.[[#Totals],[Painotetut opiskelija-vuodet]],0)</f>
        <v>1.8449737846146518E-2</v>
      </c>
      <c r="L151" s="20">
        <f>ROUND(IFERROR('1.1 Jakotaulu'!L$10*Ohj.lask.[[#This Row],[%-osuus 1]],0),0)</f>
        <v>21949552</v>
      </c>
      <c r="M151" s="349">
        <f>IFERROR(ROUND(VLOOKUP($A151,'2.2 Tutk. ja osien pain. pist.'!$A:$Q,COLUMN('2.2 Tutk. ja osien pain. pist.'!P:P),FALSE),1),0)</f>
        <v>290120.3</v>
      </c>
      <c r="N151" s="19">
        <f>IFERROR(Ohj.lask.[[#This Row],[Painotetut pisteet 2]]/Ohj.lask.[[#Totals],[Painotetut pisteet 2]],0)</f>
        <v>1.8539922421253602E-2</v>
      </c>
      <c r="O151" s="26">
        <f>ROUND(IFERROR('1.1 Jakotaulu'!K$11*Ohj.lask.[[#This Row],[%-osuus 2]],0),0)</f>
        <v>6864907</v>
      </c>
      <c r="P151" s="350">
        <f>IFERROR(ROUND(VLOOKUP($A151,'2.3 Työll. ja jatko-opisk.'!$A:$K,COLUMN('2.3 Työll. ja jatko-opisk.'!I:I),FALSE),1),0)</f>
        <v>2882.5</v>
      </c>
      <c r="Q151" s="19">
        <f>IFERROR(Ohj.lask.[[#This Row],[Painotetut pisteet 3]]/Ohj.lask.[[#Totals],[Painotetut pisteet 3]],0)</f>
        <v>1.5216799135084001E-2</v>
      </c>
      <c r="R151" s="20">
        <f>ROUND(IFERROR('1.1 Jakotaulu'!L$13*Ohj.lask.[[#This Row],[%-osuus 3]],0),0)</f>
        <v>2112912</v>
      </c>
      <c r="S151" s="349">
        <f>IFERROR(ROUND(VLOOKUP($A151,'2.4 Aloittaneet palaute'!$A:$K,COLUMN('2.4 Aloittaneet palaute'!J:J),FALSE),1),0)</f>
        <v>26548.7</v>
      </c>
      <c r="T151" s="23">
        <f>IFERROR(Ohj.lask.[[#This Row],[Painotetut pisteet 4]]/Ohj.lask.[[#Totals],[Painotetut pisteet 4]],0)</f>
        <v>2.1323626739386335E-2</v>
      </c>
      <c r="U151" s="26">
        <f>ROUND(IFERROR('1.1 Jakotaulu'!M$15*Ohj.lask.[[#This Row],[%-osuus 4]],0),0)</f>
        <v>246739</v>
      </c>
      <c r="V151" s="85">
        <f>IFERROR(ROUND(VLOOKUP($A151,'2.5 Päättäneet palaute'!$A:$AC,COLUMN('2.5 Päättäneet palaute'!AB:AB),FALSE),1),0)</f>
        <v>115071.1</v>
      </c>
      <c r="W151" s="23">
        <f>IFERROR(Ohj.lask.[[#This Row],[Painotetut pisteet 5]]/Ohj.lask.[[#Totals],[Painotetut pisteet 5]],0)</f>
        <v>1.7376842747705755E-2</v>
      </c>
      <c r="X151" s="20">
        <f>ROUND(IFERROR('1.1 Jakotaulu'!M$16*Ohj.lask.[[#This Row],[%-osuus 5]],0),0)</f>
        <v>603210</v>
      </c>
      <c r="Y151" s="22">
        <f>IFERROR(Ohj.lask.[[#This Row],[Jaettava € 6]]/Ohj.lask.[[#Totals],[Jaettava € 6]],"")</f>
        <v>1.8209350856473381E-2</v>
      </c>
      <c r="Z151" s="26">
        <f>IFERROR(Ohj.lask.[[#This Row],[Jaettava € 1]]+Ohj.lask.[[#This Row],[Jaettava € 2]]+Ohj.lask.[[#This Row],[Jaettava € 3]]+Ohj.lask.[[#This Row],[Jaettava € 4]]+Ohj.lask.[[#This Row],[Jaettava € 5]],"")</f>
        <v>31777320</v>
      </c>
      <c r="AA151" s="20">
        <v>0</v>
      </c>
      <c r="AB151" s="20">
        <v>0</v>
      </c>
      <c r="AC151" s="21">
        <v>0</v>
      </c>
      <c r="AD151" s="20">
        <v>0</v>
      </c>
      <c r="AE151" s="21">
        <v>0</v>
      </c>
      <c r="AF151" s="20">
        <v>0</v>
      </c>
      <c r="AG151" s="21">
        <v>300000</v>
      </c>
      <c r="AH151" s="20">
        <v>120000</v>
      </c>
      <c r="AI151" s="21">
        <v>60000</v>
      </c>
      <c r="AJ151" s="26">
        <v>0</v>
      </c>
      <c r="AK151" s="20">
        <v>0</v>
      </c>
      <c r="AL151" s="20">
        <v>0</v>
      </c>
      <c r="AM151" s="21">
        <v>360000</v>
      </c>
      <c r="AN151" s="136">
        <v>120000</v>
      </c>
      <c r="AO151" s="20">
        <f>Ohj.lask.[[#This Row],[Jaettava € 1]]+Ohj.lask.[[#This Row],[Päätös 7, €]]</f>
        <v>22069552</v>
      </c>
      <c r="AP151" s="119">
        <f>Ohj.lask.[[#This Row],[Jaettava € 2]]</f>
        <v>6864907</v>
      </c>
      <c r="AQ151" s="20">
        <f>Ohj.lask.[[#This Row],[Jaettava € 3]]+Ohj.lask.[[#This Row],[Jaettava € 4]]+Ohj.lask.[[#This Row],[Jaettava € 5]]</f>
        <v>2962861</v>
      </c>
      <c r="AR151" s="45">
        <f>Ohj.lask.[[#This Row],[Jaettava € 6]]+Ohj.lask.[[#This Row],[Päätös 7, €]]</f>
        <v>31897320</v>
      </c>
      <c r="AS151" s="45">
        <f>ROUND(IFERROR(VLOOKUP(Ohj.lask.[[#This Row],[Y-tunnus]],'3.1 Alv vahvistettu'!A:Y,COLUMN(C:C),FALSE),0),0)</f>
        <v>0</v>
      </c>
      <c r="AT151" s="26">
        <f>Ohj.lask.[[#This Row],[Perus-, suoritus- ja vaikuttavuusrahoitus yhteensä, €]]+Ohj.lask.[[#This Row],[Alv-korvaus, €]]</f>
        <v>31897320</v>
      </c>
    </row>
    <row r="152" spans="1:46" ht="12.75" x14ac:dyDescent="0.2">
      <c r="A152" s="147" t="s">
        <v>250</v>
      </c>
      <c r="B152" s="17" t="s">
        <v>148</v>
      </c>
      <c r="C152" s="17" t="s">
        <v>249</v>
      </c>
      <c r="D152" s="17" t="s">
        <v>423</v>
      </c>
      <c r="E152" s="17" t="s">
        <v>663</v>
      </c>
      <c r="F152" s="128">
        <v>128</v>
      </c>
      <c r="G152" s="135">
        <v>30</v>
      </c>
      <c r="H152" s="44">
        <f t="shared" si="8"/>
        <v>158</v>
      </c>
      <c r="I152" s="18">
        <f>IFERROR(VLOOKUP($A152,'2.1 Toteut. op.vuodet'!$A:$Q,COLUMN('2.1 Toteut. op.vuodet'!Q:Q),FALSE),0)</f>
        <v>1.3883744135258893</v>
      </c>
      <c r="J152" s="85">
        <f t="shared" si="9"/>
        <v>219.4</v>
      </c>
      <c r="K152" s="19">
        <f>IFERROR(Ohj.lask.[[#This Row],[Painotetut opiskelija-vuodet]]/Ohj.lask.[[#Totals],[Painotetut opiskelija-vuodet]],0)</f>
        <v>1.0884010872104935E-3</v>
      </c>
      <c r="L152" s="20">
        <f>ROUND(IFERROR('1.1 Jakotaulu'!L$10*Ohj.lask.[[#This Row],[%-osuus 1]],0),0)</f>
        <v>1294865</v>
      </c>
      <c r="M152" s="349">
        <f>IFERROR(ROUND(VLOOKUP($A152,'2.2 Tutk. ja osien pain. pist.'!$A:$Q,COLUMN('2.2 Tutk. ja osien pain. pist.'!P:P),FALSE),1),0)</f>
        <v>15235.5</v>
      </c>
      <c r="N152" s="19">
        <f>IFERROR(Ohj.lask.[[#This Row],[Painotetut pisteet 2]]/Ohj.lask.[[#Totals],[Painotetut pisteet 2]],0)</f>
        <v>9.736133185061826E-4</v>
      </c>
      <c r="O152" s="26">
        <f>ROUND(IFERROR('1.1 Jakotaulu'!K$11*Ohj.lask.[[#This Row],[%-osuus 2]],0),0)</f>
        <v>360507</v>
      </c>
      <c r="P152" s="350">
        <f>IFERROR(ROUND(VLOOKUP($A152,'2.3 Työll. ja jatko-opisk.'!$A:$K,COLUMN('2.3 Työll. ja jatko-opisk.'!I:I),FALSE),1),0)</f>
        <v>107.4</v>
      </c>
      <c r="Q152" s="19">
        <f>IFERROR(Ohj.lask.[[#This Row],[Painotetut pisteet 3]]/Ohj.lask.[[#Totals],[Painotetut pisteet 3]],0)</f>
        <v>5.6696764166800414E-4</v>
      </c>
      <c r="R152" s="20">
        <f>ROUND(IFERROR('1.1 Jakotaulu'!L$13*Ohj.lask.[[#This Row],[%-osuus 3]],0),0)</f>
        <v>78726</v>
      </c>
      <c r="S152" s="349">
        <f>IFERROR(ROUND(VLOOKUP($A152,'2.4 Aloittaneet palaute'!$A:$K,COLUMN('2.4 Aloittaneet palaute'!J:J),FALSE),1),0)</f>
        <v>2720.5</v>
      </c>
      <c r="T152" s="23">
        <f>IFERROR(Ohj.lask.[[#This Row],[Painotetut pisteet 4]]/Ohj.lask.[[#Totals],[Painotetut pisteet 4]],0)</f>
        <v>2.1850759752643453E-3</v>
      </c>
      <c r="U152" s="26">
        <f>ROUND(IFERROR('1.1 Jakotaulu'!M$15*Ohj.lask.[[#This Row],[%-osuus 4]],0),0)</f>
        <v>25284</v>
      </c>
      <c r="V152" s="85">
        <f>IFERROR(ROUND(VLOOKUP($A152,'2.5 Päättäneet palaute'!$A:$AC,COLUMN('2.5 Päättäneet palaute'!AB:AB),FALSE),1),0)</f>
        <v>16995.3</v>
      </c>
      <c r="W152" s="23">
        <f>IFERROR(Ohj.lask.[[#This Row],[Painotetut pisteet 5]]/Ohj.lask.[[#Totals],[Painotetut pisteet 5]],0)</f>
        <v>2.5664537451200484E-3</v>
      </c>
      <c r="X152" s="20">
        <f>ROUND(IFERROR('1.1 Jakotaulu'!M$16*Ohj.lask.[[#This Row],[%-osuus 5]],0),0)</f>
        <v>89091</v>
      </c>
      <c r="Y152" s="22">
        <f>IFERROR(Ohj.lask.[[#This Row],[Jaettava € 6]]/Ohj.lask.[[#Totals],[Jaettava € 6]],"")</f>
        <v>1.0592300862916672E-3</v>
      </c>
      <c r="Z152" s="26">
        <f>IFERROR(Ohj.lask.[[#This Row],[Jaettava € 1]]+Ohj.lask.[[#This Row],[Jaettava € 2]]+Ohj.lask.[[#This Row],[Jaettava € 3]]+Ohj.lask.[[#This Row],[Jaettava € 4]]+Ohj.lask.[[#This Row],[Jaettava € 5]],"")</f>
        <v>1848473</v>
      </c>
      <c r="AA152" s="20">
        <v>0</v>
      </c>
      <c r="AB152" s="20">
        <v>0</v>
      </c>
      <c r="AC152" s="21">
        <v>145000</v>
      </c>
      <c r="AD152" s="20">
        <v>0</v>
      </c>
      <c r="AE152" s="21">
        <v>125000</v>
      </c>
      <c r="AF152" s="20">
        <v>0</v>
      </c>
      <c r="AG152" s="21">
        <v>0</v>
      </c>
      <c r="AH152" s="20">
        <v>0</v>
      </c>
      <c r="AI152" s="21">
        <v>0</v>
      </c>
      <c r="AJ152" s="26">
        <v>0</v>
      </c>
      <c r="AK152" s="20">
        <v>0</v>
      </c>
      <c r="AL152" s="20">
        <v>0</v>
      </c>
      <c r="AM152" s="21">
        <v>270000</v>
      </c>
      <c r="AN152" s="136">
        <v>0</v>
      </c>
      <c r="AO152" s="20">
        <f>Ohj.lask.[[#This Row],[Jaettava € 1]]+Ohj.lask.[[#This Row],[Päätös 7, €]]</f>
        <v>1294865</v>
      </c>
      <c r="AP152" s="119">
        <f>Ohj.lask.[[#This Row],[Jaettava € 2]]</f>
        <v>360507</v>
      </c>
      <c r="AQ152" s="20">
        <f>Ohj.lask.[[#This Row],[Jaettava € 3]]+Ohj.lask.[[#This Row],[Jaettava € 4]]+Ohj.lask.[[#This Row],[Jaettava € 5]]</f>
        <v>193101</v>
      </c>
      <c r="AR152" s="45">
        <f>Ohj.lask.[[#This Row],[Jaettava € 6]]+Ohj.lask.[[#This Row],[Päätös 7, €]]</f>
        <v>1848473</v>
      </c>
      <c r="AS152" s="45">
        <f>ROUND(IFERROR(VLOOKUP(Ohj.lask.[[#This Row],[Y-tunnus]],'3.1 Alv vahvistettu'!A:Y,COLUMN(C:C),FALSE),0),0)</f>
        <v>159971</v>
      </c>
      <c r="AT152" s="26">
        <f>Ohj.lask.[[#This Row],[Perus-, suoritus- ja vaikuttavuusrahoitus yhteensä, €]]+Ohj.lask.[[#This Row],[Alv-korvaus, €]]</f>
        <v>2008444</v>
      </c>
    </row>
    <row r="153" spans="1:46" ht="12.75" x14ac:dyDescent="0.2">
      <c r="A153" s="147" t="s">
        <v>245</v>
      </c>
      <c r="B153" s="17" t="s">
        <v>188</v>
      </c>
      <c r="C153" s="17" t="s">
        <v>244</v>
      </c>
      <c r="D153" s="17" t="s">
        <v>423</v>
      </c>
      <c r="E153" s="17" t="s">
        <v>663</v>
      </c>
      <c r="F153" s="128">
        <v>0</v>
      </c>
      <c r="G153" s="135">
        <v>0</v>
      </c>
      <c r="H153" s="44">
        <f t="shared" si="8"/>
        <v>0</v>
      </c>
      <c r="I153" s="18">
        <f>IFERROR(VLOOKUP($A153,'2.1 Toteut. op.vuodet'!$A:$Q,COLUMN('2.1 Toteut. op.vuodet'!Q:Q),FALSE),0)</f>
        <v>0.43</v>
      </c>
      <c r="J153" s="85">
        <f t="shared" si="9"/>
        <v>0</v>
      </c>
      <c r="K153" s="19">
        <f>IFERROR(Ohj.lask.[[#This Row],[Painotetut opiskelija-vuodet]]/Ohj.lask.[[#Totals],[Painotetut opiskelija-vuodet]],0)</f>
        <v>0</v>
      </c>
      <c r="L153" s="20">
        <f>ROUND(IFERROR('1.1 Jakotaulu'!L$10*Ohj.lask.[[#This Row],[%-osuus 1]],0),0)</f>
        <v>0</v>
      </c>
      <c r="M153" s="349">
        <f>IFERROR(ROUND(VLOOKUP($A153,'2.2 Tutk. ja osien pain. pist.'!$A:$Q,COLUMN('2.2 Tutk. ja osien pain. pist.'!P:P),FALSE),1),0)</f>
        <v>0</v>
      </c>
      <c r="N153" s="19">
        <f>IFERROR(Ohj.lask.[[#This Row],[Painotetut pisteet 2]]/Ohj.lask.[[#Totals],[Painotetut pisteet 2]],0)</f>
        <v>0</v>
      </c>
      <c r="O153" s="26">
        <f>ROUND(IFERROR('1.1 Jakotaulu'!K$11*Ohj.lask.[[#This Row],[%-osuus 2]],0),0)</f>
        <v>0</v>
      </c>
      <c r="P153" s="350">
        <f>IFERROR(ROUND(VLOOKUP($A153,'2.3 Työll. ja jatko-opisk.'!$A:$K,COLUMN('2.3 Työll. ja jatko-opisk.'!I:I),FALSE),1),0)</f>
        <v>0</v>
      </c>
      <c r="Q153" s="19">
        <f>IFERROR(Ohj.lask.[[#This Row],[Painotetut pisteet 3]]/Ohj.lask.[[#Totals],[Painotetut pisteet 3]],0)</f>
        <v>0</v>
      </c>
      <c r="R153" s="20">
        <f>ROUND(IFERROR('1.1 Jakotaulu'!L$13*Ohj.lask.[[#This Row],[%-osuus 3]],0),0)</f>
        <v>0</v>
      </c>
      <c r="S153" s="349">
        <f>IFERROR(ROUND(VLOOKUP($A153,'2.4 Aloittaneet palaute'!$A:$K,COLUMN('2.4 Aloittaneet palaute'!J:J),FALSE),1),0)</f>
        <v>0</v>
      </c>
      <c r="T153" s="23">
        <f>IFERROR(Ohj.lask.[[#This Row],[Painotetut pisteet 4]]/Ohj.lask.[[#Totals],[Painotetut pisteet 4]],0)</f>
        <v>0</v>
      </c>
      <c r="U153" s="26">
        <f>ROUND(IFERROR('1.1 Jakotaulu'!M$15*Ohj.lask.[[#This Row],[%-osuus 4]],0),0)</f>
        <v>0</v>
      </c>
      <c r="V153" s="85">
        <f>IFERROR(ROUND(VLOOKUP($A153,'2.5 Päättäneet palaute'!$A:$AC,COLUMN('2.5 Päättäneet palaute'!AB:AB),FALSE),1),0)</f>
        <v>0</v>
      </c>
      <c r="W153" s="23">
        <f>IFERROR(Ohj.lask.[[#This Row],[Painotetut pisteet 5]]/Ohj.lask.[[#Totals],[Painotetut pisteet 5]],0)</f>
        <v>0</v>
      </c>
      <c r="X153" s="20">
        <f>ROUND(IFERROR('1.1 Jakotaulu'!M$16*Ohj.lask.[[#This Row],[%-osuus 5]],0),0)</f>
        <v>0</v>
      </c>
      <c r="Y153" s="22">
        <f>IFERROR(Ohj.lask.[[#This Row],[Jaettava € 6]]/Ohj.lask.[[#Totals],[Jaettava € 6]],"")</f>
        <v>0</v>
      </c>
      <c r="Z153" s="26">
        <f>IFERROR(Ohj.lask.[[#This Row],[Jaettava € 1]]+Ohj.lask.[[#This Row],[Jaettava € 2]]+Ohj.lask.[[#This Row],[Jaettava € 3]]+Ohj.lask.[[#This Row],[Jaettava € 4]]+Ohj.lask.[[#This Row],[Jaettava € 5]],"")</f>
        <v>0</v>
      </c>
      <c r="AA153" s="20">
        <v>0</v>
      </c>
      <c r="AB153" s="20">
        <v>0</v>
      </c>
      <c r="AC153" s="21">
        <v>0</v>
      </c>
      <c r="AD153" s="20">
        <v>0</v>
      </c>
      <c r="AE153" s="21">
        <v>0</v>
      </c>
      <c r="AF153" s="20">
        <v>0</v>
      </c>
      <c r="AG153" s="21">
        <v>0</v>
      </c>
      <c r="AH153" s="20">
        <v>0</v>
      </c>
      <c r="AI153" s="21">
        <v>0</v>
      </c>
      <c r="AJ153" s="26">
        <v>0</v>
      </c>
      <c r="AK153" s="20">
        <v>0</v>
      </c>
      <c r="AL153" s="20">
        <v>0</v>
      </c>
      <c r="AM153" s="21">
        <v>0</v>
      </c>
      <c r="AN153" s="136">
        <v>0</v>
      </c>
      <c r="AO153" s="20">
        <f>Ohj.lask.[[#This Row],[Jaettava € 1]]+Ohj.lask.[[#This Row],[Päätös 7, €]]</f>
        <v>0</v>
      </c>
      <c r="AP153" s="119">
        <f>Ohj.lask.[[#This Row],[Jaettava € 2]]</f>
        <v>0</v>
      </c>
      <c r="AQ153" s="20">
        <f>Ohj.lask.[[#This Row],[Jaettava € 3]]+Ohj.lask.[[#This Row],[Jaettava € 4]]+Ohj.lask.[[#This Row],[Jaettava € 5]]</f>
        <v>0</v>
      </c>
      <c r="AR153" s="45">
        <f>Ohj.lask.[[#This Row],[Jaettava € 6]]+Ohj.lask.[[#This Row],[Päätös 7, €]]</f>
        <v>0</v>
      </c>
      <c r="AS153" s="45">
        <f>ROUND(IFERROR(VLOOKUP(Ohj.lask.[[#This Row],[Y-tunnus]],'3.1 Alv vahvistettu'!A:Y,COLUMN(C:C),FALSE),0),0)</f>
        <v>0</v>
      </c>
      <c r="AT153" s="26">
        <f>Ohj.lask.[[#This Row],[Perus-, suoritus- ja vaikuttavuusrahoitus yhteensä, €]]+Ohj.lask.[[#This Row],[Alv-korvaus, €]]</f>
        <v>0</v>
      </c>
    </row>
    <row r="154" spans="1:46" ht="12.75" x14ac:dyDescent="0.2">
      <c r="A154" s="147" t="s">
        <v>243</v>
      </c>
      <c r="B154" s="17" t="s">
        <v>149</v>
      </c>
      <c r="C154" s="17" t="s">
        <v>242</v>
      </c>
      <c r="D154" s="17" t="s">
        <v>422</v>
      </c>
      <c r="E154" s="17" t="s">
        <v>663</v>
      </c>
      <c r="F154" s="128">
        <v>1320</v>
      </c>
      <c r="G154" s="135">
        <v>230</v>
      </c>
      <c r="H154" s="44">
        <f t="shared" si="8"/>
        <v>1550</v>
      </c>
      <c r="I154" s="18">
        <f>IFERROR(VLOOKUP($A154,'2.1 Toteut. op.vuodet'!$A:$Q,COLUMN('2.1 Toteut. op.vuodet'!Q:Q),FALSE),0)</f>
        <v>1.2126331794506511</v>
      </c>
      <c r="J154" s="85">
        <f t="shared" si="9"/>
        <v>1879.6</v>
      </c>
      <c r="K154" s="19">
        <f>IFERROR(Ohj.lask.[[#This Row],[Painotetut opiskelija-vuodet]]/Ohj.lask.[[#Totals],[Painotetut opiskelija-vuodet]],0)</f>
        <v>9.3243331062937262E-3</v>
      </c>
      <c r="L154" s="20">
        <f>ROUND(IFERROR('1.1 Jakotaulu'!L$10*Ohj.lask.[[#This Row],[%-osuus 1]],0),0)</f>
        <v>11093108</v>
      </c>
      <c r="M154" s="349">
        <f>IFERROR(ROUND(VLOOKUP($A154,'2.2 Tutk. ja osien pain. pist.'!$A:$Q,COLUMN('2.2 Tutk. ja osien pain. pist.'!P:P),FALSE),1),0)</f>
        <v>166273.20000000001</v>
      </c>
      <c r="N154" s="19">
        <f>IFERROR(Ohj.lask.[[#This Row],[Painotetut pisteet 2]]/Ohj.lask.[[#Totals],[Painotetut pisteet 2]],0)</f>
        <v>1.062556542487232E-2</v>
      </c>
      <c r="O154" s="26">
        <f>ROUND(IFERROR('1.1 Jakotaulu'!K$11*Ohj.lask.[[#This Row],[%-osuus 2]],0),0)</f>
        <v>3934402</v>
      </c>
      <c r="P154" s="350">
        <f>IFERROR(ROUND(VLOOKUP($A154,'2.3 Työll. ja jatko-opisk.'!$A:$K,COLUMN('2.3 Työll. ja jatko-opisk.'!I:I),FALSE),1),0)</f>
        <v>1718.6</v>
      </c>
      <c r="Q154" s="19">
        <f>IFERROR(Ohj.lask.[[#This Row],[Painotetut pisteet 3]]/Ohj.lask.[[#Totals],[Painotetut pisteet 3]],0)</f>
        <v>9.0725380723522507E-3</v>
      </c>
      <c r="R154" s="20">
        <f>ROUND(IFERROR('1.1 Jakotaulu'!L$13*Ohj.lask.[[#This Row],[%-osuus 3]],0),0)</f>
        <v>1259757</v>
      </c>
      <c r="S154" s="349">
        <f>IFERROR(ROUND(VLOOKUP($A154,'2.4 Aloittaneet palaute'!$A:$K,COLUMN('2.4 Aloittaneet palaute'!J:J),FALSE),1),0)</f>
        <v>4462.5</v>
      </c>
      <c r="T154" s="23">
        <f>IFERROR(Ohj.lask.[[#This Row],[Painotetut pisteet 4]]/Ohj.lask.[[#Totals],[Painotetut pisteet 4]],0)</f>
        <v>3.5842314058508141E-3</v>
      </c>
      <c r="U154" s="26">
        <f>ROUND(IFERROR('1.1 Jakotaulu'!M$15*Ohj.lask.[[#This Row],[%-osuus 4]],0),0)</f>
        <v>41474</v>
      </c>
      <c r="V154" s="85">
        <f>IFERROR(ROUND(VLOOKUP($A154,'2.5 Päättäneet palaute'!$A:$AC,COLUMN('2.5 Päättäneet palaute'!AB:AB),FALSE),1),0)</f>
        <v>25617.1</v>
      </c>
      <c r="W154" s="23">
        <f>IFERROR(Ohj.lask.[[#This Row],[Painotetut pisteet 5]]/Ohj.lask.[[#Totals],[Painotetut pisteet 5]],0)</f>
        <v>3.8684284616402648E-3</v>
      </c>
      <c r="X154" s="20">
        <f>ROUND(IFERROR('1.1 Jakotaulu'!M$16*Ohj.lask.[[#This Row],[%-osuus 5]],0),0)</f>
        <v>134287</v>
      </c>
      <c r="Y154" s="22">
        <f>IFERROR(Ohj.lask.[[#This Row],[Jaettava € 6]]/Ohj.lask.[[#Totals],[Jaettava € 6]],"")</f>
        <v>9.4338053999501927E-3</v>
      </c>
      <c r="Z154" s="26">
        <f>IFERROR(Ohj.lask.[[#This Row],[Jaettava € 1]]+Ohj.lask.[[#This Row],[Jaettava € 2]]+Ohj.lask.[[#This Row],[Jaettava € 3]]+Ohj.lask.[[#This Row],[Jaettava € 4]]+Ohj.lask.[[#This Row],[Jaettava € 5]],"")</f>
        <v>16463028</v>
      </c>
      <c r="AA154" s="20">
        <v>0</v>
      </c>
      <c r="AB154" s="20">
        <v>0</v>
      </c>
      <c r="AC154" s="21">
        <v>0</v>
      </c>
      <c r="AD154" s="20">
        <v>0</v>
      </c>
      <c r="AE154" s="21">
        <v>250000</v>
      </c>
      <c r="AF154" s="20">
        <v>0</v>
      </c>
      <c r="AG154" s="21">
        <v>0</v>
      </c>
      <c r="AH154" s="20">
        <v>0</v>
      </c>
      <c r="AI154" s="21">
        <v>100000</v>
      </c>
      <c r="AJ154" s="26">
        <v>80000</v>
      </c>
      <c r="AK154" s="20">
        <v>0</v>
      </c>
      <c r="AL154" s="20">
        <v>0</v>
      </c>
      <c r="AM154" s="21">
        <v>350000</v>
      </c>
      <c r="AN154" s="136">
        <v>80000</v>
      </c>
      <c r="AO154" s="20">
        <f>Ohj.lask.[[#This Row],[Jaettava € 1]]+Ohj.lask.[[#This Row],[Päätös 7, €]]</f>
        <v>11173108</v>
      </c>
      <c r="AP154" s="119">
        <f>Ohj.lask.[[#This Row],[Jaettava € 2]]</f>
        <v>3934402</v>
      </c>
      <c r="AQ154" s="20">
        <f>Ohj.lask.[[#This Row],[Jaettava € 3]]+Ohj.lask.[[#This Row],[Jaettava € 4]]+Ohj.lask.[[#This Row],[Jaettava € 5]]</f>
        <v>1435518</v>
      </c>
      <c r="AR154" s="45">
        <f>Ohj.lask.[[#This Row],[Jaettava € 6]]+Ohj.lask.[[#This Row],[Päätös 7, €]]</f>
        <v>16543028</v>
      </c>
      <c r="AS154" s="45">
        <f>ROUND(IFERROR(VLOOKUP(Ohj.lask.[[#This Row],[Y-tunnus]],'3.1 Alv vahvistettu'!A:Y,COLUMN(C:C),FALSE),0),0)</f>
        <v>0</v>
      </c>
      <c r="AT154" s="26">
        <f>Ohj.lask.[[#This Row],[Perus-, suoritus- ja vaikuttavuusrahoitus yhteensä, €]]+Ohj.lask.[[#This Row],[Alv-korvaus, €]]</f>
        <v>16543028</v>
      </c>
    </row>
    <row r="155" spans="1:46" ht="12.75" x14ac:dyDescent="0.2">
      <c r="A155" s="147" t="s">
        <v>241</v>
      </c>
      <c r="B155" s="17" t="s">
        <v>150</v>
      </c>
      <c r="C155" s="17" t="s">
        <v>240</v>
      </c>
      <c r="D155" s="17" t="s">
        <v>422</v>
      </c>
      <c r="E155" s="17" t="s">
        <v>663</v>
      </c>
      <c r="F155" s="128">
        <v>1472</v>
      </c>
      <c r="G155" s="135">
        <v>150</v>
      </c>
      <c r="H155" s="44">
        <f t="shared" si="8"/>
        <v>1622</v>
      </c>
      <c r="I155" s="18">
        <f>IFERROR(VLOOKUP($A155,'2.1 Toteut. op.vuodet'!$A:$Q,COLUMN('2.1 Toteut. op.vuodet'!Q:Q),FALSE),0)</f>
        <v>1.0978055227326482</v>
      </c>
      <c r="J155" s="85">
        <f t="shared" si="9"/>
        <v>1780.6</v>
      </c>
      <c r="K155" s="19">
        <f>IFERROR(Ohj.lask.[[#This Row],[Painotetut opiskelija-vuodet]]/Ohj.lask.[[#Totals],[Painotetut opiskelija-vuodet]],0)</f>
        <v>8.8332131991203482E-3</v>
      </c>
      <c r="L155" s="20">
        <f>ROUND(IFERROR('1.1 Jakotaulu'!L$10*Ohj.lask.[[#This Row],[%-osuus 1]],0),0)</f>
        <v>10508825</v>
      </c>
      <c r="M155" s="349">
        <f>IFERROR(ROUND(VLOOKUP($A155,'2.2 Tutk. ja osien pain. pist.'!$A:$Q,COLUMN('2.2 Tutk. ja osien pain. pist.'!P:P),FALSE),1),0)</f>
        <v>151023.9</v>
      </c>
      <c r="N155" s="19">
        <f>IFERROR(Ohj.lask.[[#This Row],[Painotetut pisteet 2]]/Ohj.lask.[[#Totals],[Painotetut pisteet 2]],0)</f>
        <v>9.6510702276095869E-3</v>
      </c>
      <c r="O155" s="26">
        <f>ROUND(IFERROR('1.1 Jakotaulu'!K$11*Ohj.lask.[[#This Row],[%-osuus 2]],0),0)</f>
        <v>3573569</v>
      </c>
      <c r="P155" s="350">
        <f>IFERROR(ROUND(VLOOKUP($A155,'2.3 Työll. ja jatko-opisk.'!$A:$K,COLUMN('2.3 Työll. ja jatko-opisk.'!I:I),FALSE),1),0)</f>
        <v>1700.8</v>
      </c>
      <c r="Q155" s="19">
        <f>IFERROR(Ohj.lask.[[#This Row],[Painotetut pisteet 3]]/Ohj.lask.[[#Totals],[Painotetut pisteet 3]],0)</f>
        <v>8.978571368239676E-3</v>
      </c>
      <c r="R155" s="20">
        <f>ROUND(IFERROR('1.1 Jakotaulu'!L$13*Ohj.lask.[[#This Row],[%-osuus 3]],0),0)</f>
        <v>1246709</v>
      </c>
      <c r="S155" s="349">
        <f>IFERROR(ROUND(VLOOKUP($A155,'2.4 Aloittaneet palaute'!$A:$K,COLUMN('2.4 Aloittaneet palaute'!J:J),FALSE),1),0)</f>
        <v>16478.3</v>
      </c>
      <c r="T155" s="23">
        <f>IFERROR(Ohj.lask.[[#This Row],[Painotetut pisteet 4]]/Ohj.lask.[[#Totals],[Painotetut pisteet 4]],0)</f>
        <v>1.3235191120455231E-2</v>
      </c>
      <c r="U155" s="26">
        <f>ROUND(IFERROR('1.1 Jakotaulu'!M$15*Ohj.lask.[[#This Row],[%-osuus 4]],0),0)</f>
        <v>153146</v>
      </c>
      <c r="V155" s="85">
        <f>IFERROR(ROUND(VLOOKUP($A155,'2.5 Päättäneet palaute'!$A:$AC,COLUMN('2.5 Päättäneet palaute'!AB:AB),FALSE),1),0)</f>
        <v>98580.2</v>
      </c>
      <c r="W155" s="23">
        <f>IFERROR(Ohj.lask.[[#This Row],[Painotetut pisteet 5]]/Ohj.lask.[[#Totals],[Painotetut pisteet 5]],0)</f>
        <v>1.488655825343968E-2</v>
      </c>
      <c r="X155" s="20">
        <f>ROUND(IFERROR('1.1 Jakotaulu'!M$16*Ohj.lask.[[#This Row],[%-osuus 5]],0),0)</f>
        <v>516764</v>
      </c>
      <c r="Y155" s="22">
        <f>IFERROR(Ohj.lask.[[#This Row],[Jaettava € 6]]/Ohj.lask.[[#Totals],[Jaettava € 6]],"")</f>
        <v>9.1679109841320411E-3</v>
      </c>
      <c r="Z155" s="26">
        <f>IFERROR(Ohj.lask.[[#This Row],[Jaettava € 1]]+Ohj.lask.[[#This Row],[Jaettava € 2]]+Ohj.lask.[[#This Row],[Jaettava € 3]]+Ohj.lask.[[#This Row],[Jaettava € 4]]+Ohj.lask.[[#This Row],[Jaettava € 5]],"")</f>
        <v>15999013</v>
      </c>
      <c r="AA155" s="20">
        <v>0</v>
      </c>
      <c r="AB155" s="20">
        <v>0</v>
      </c>
      <c r="AC155" s="21">
        <v>0</v>
      </c>
      <c r="AD155" s="20">
        <v>0</v>
      </c>
      <c r="AE155" s="21">
        <v>0</v>
      </c>
      <c r="AF155" s="20">
        <v>0</v>
      </c>
      <c r="AG155" s="21">
        <v>0</v>
      </c>
      <c r="AH155" s="20">
        <v>0</v>
      </c>
      <c r="AI155" s="21">
        <v>220000</v>
      </c>
      <c r="AJ155" s="26">
        <v>80000</v>
      </c>
      <c r="AK155" s="20">
        <v>0</v>
      </c>
      <c r="AL155" s="20">
        <v>0</v>
      </c>
      <c r="AM155" s="21">
        <v>220000</v>
      </c>
      <c r="AN155" s="136">
        <v>80000</v>
      </c>
      <c r="AO155" s="20">
        <f>Ohj.lask.[[#This Row],[Jaettava € 1]]+Ohj.lask.[[#This Row],[Päätös 7, €]]</f>
        <v>10588825</v>
      </c>
      <c r="AP155" s="119">
        <f>Ohj.lask.[[#This Row],[Jaettava € 2]]</f>
        <v>3573569</v>
      </c>
      <c r="AQ155" s="20">
        <f>Ohj.lask.[[#This Row],[Jaettava € 3]]+Ohj.lask.[[#This Row],[Jaettava € 4]]+Ohj.lask.[[#This Row],[Jaettava € 5]]</f>
        <v>1916619</v>
      </c>
      <c r="AR155" s="45">
        <f>Ohj.lask.[[#This Row],[Jaettava € 6]]+Ohj.lask.[[#This Row],[Päätös 7, €]]</f>
        <v>16079013</v>
      </c>
      <c r="AS155" s="45">
        <f>ROUND(IFERROR(VLOOKUP(Ohj.lask.[[#This Row],[Y-tunnus]],'3.1 Alv vahvistettu'!A:Y,COLUMN(C:C),FALSE),0),0)</f>
        <v>0</v>
      </c>
      <c r="AT155" s="26">
        <f>Ohj.lask.[[#This Row],[Perus-, suoritus- ja vaikuttavuusrahoitus yhteensä, €]]+Ohj.lask.[[#This Row],[Alv-korvaus, €]]</f>
        <v>16079013</v>
      </c>
    </row>
    <row r="156" spans="1:46" ht="12.75" x14ac:dyDescent="0.2">
      <c r="A156" s="351" t="s">
        <v>21</v>
      </c>
      <c r="B156" s="358">
        <f>COUNTIF(Ohj.lask.[Nimi],"?*")</f>
        <v>150</v>
      </c>
      <c r="C156" s="358"/>
      <c r="D156" s="358"/>
      <c r="E156" s="358"/>
      <c r="F156" s="359">
        <f>SUM(Ohj.lask.[Järjestämisluvan opisk.vuosien vähimmäismäärä])</f>
        <v>159291</v>
      </c>
      <c r="G156" s="360">
        <f>SUM(Ohj.lask.[Suoritepäätöksellä jaettavat opv:t (luvan ylittävä osuus)])</f>
        <v>18101</v>
      </c>
      <c r="H156" s="360">
        <f>SUM(Ohj.lask.[Tavoitteelliset opiske-lijavuodet])</f>
        <v>177392</v>
      </c>
      <c r="I156" s="351"/>
      <c r="J156" s="361">
        <f>SUM(Ohj.lask.[Painotetut opiskelija-vuodet])</f>
        <v>201580.1</v>
      </c>
      <c r="K156" s="354">
        <f>SUM(Ohj.lask.[%-osuus 1])</f>
        <v>1.0000000000000004</v>
      </c>
      <c r="L156" s="353">
        <f>SUM(Ohj.lask.[Jaettava € 1])</f>
        <v>1189694495</v>
      </c>
      <c r="M156" s="362">
        <f>SUM(Ohj.lask.[Painotetut pisteet 2])</f>
        <v>15648409.599999994</v>
      </c>
      <c r="N156" s="354">
        <f>SUM(Ohj.lask.[%-osuus 2])</f>
        <v>1.0000000000000004</v>
      </c>
      <c r="O156" s="355">
        <f>SUM(Ohj.lask.[Jaettava € 2])</f>
        <v>370276995</v>
      </c>
      <c r="P156" s="361">
        <f>SUM(Ohj.lask.[Painotetut pisteet 3])</f>
        <v>189428.8</v>
      </c>
      <c r="Q156" s="354">
        <f>SUM(Ohj.lask.[%-osuus 3])</f>
        <v>0.99999999999999978</v>
      </c>
      <c r="R156" s="353">
        <f>SUM(Ohj.lask.[Jaettava € 3])</f>
        <v>138853877</v>
      </c>
      <c r="S156" s="362">
        <f>SUM(Ohj.lask.[Painotetut pisteet 4])</f>
        <v>1245036.8000000003</v>
      </c>
      <c r="T156" s="354">
        <f>SUM(Ohj.lask.[%-osuus 4])</f>
        <v>0.99999999999999967</v>
      </c>
      <c r="U156" s="355">
        <f>SUM(Ohj.lask.[Jaettava € 4])</f>
        <v>11571153</v>
      </c>
      <c r="V156" s="361">
        <f>SUM(Ohj.lask.[Painotetut pisteet 5])</f>
        <v>6622094.8000000007</v>
      </c>
      <c r="W156" s="354">
        <f>SUM(Ohj.lask.[%-osuus 5])</f>
        <v>1.0000000000000009</v>
      </c>
      <c r="X156" s="353">
        <f>SUM(Ohj.lask.[Jaettava € 5])</f>
        <v>34713465</v>
      </c>
      <c r="Y156" s="357">
        <f>SUM(Ohj.lask.[%-osuus 6])</f>
        <v>1</v>
      </c>
      <c r="Z156" s="355">
        <f>SUM(Ohj.lask.[Jaettava € 6])</f>
        <v>1745109985</v>
      </c>
      <c r="AA156" s="353">
        <f>SUM(Ohj.lask.[Hakemus 1, €])</f>
        <v>20657181</v>
      </c>
      <c r="AB156" s="353">
        <f>SUM(Ohj.lask.[Päätös 1, €])</f>
        <v>8150000</v>
      </c>
      <c r="AC156" s="352">
        <f>SUM(Ohj.lask.[Hakemus 2, €])</f>
        <v>11313274</v>
      </c>
      <c r="AD156" s="355">
        <f>SUM(Ohj.lask.[Päätös 2, €])</f>
        <v>0</v>
      </c>
      <c r="AE156" s="352">
        <f>SUM(Ohj.lask.[Hakemus 3, €])</f>
        <v>14667048</v>
      </c>
      <c r="AF156" s="353">
        <f>SUM(Ohj.lask.[Päätös 3, €])</f>
        <v>660000</v>
      </c>
      <c r="AG156" s="352">
        <f>SUM(Ohj.lask.[Hakemus 4, €])</f>
        <v>7071089</v>
      </c>
      <c r="AH156" s="353">
        <f>SUM(Ohj.lask.[Päätös 4, €])</f>
        <v>1465000</v>
      </c>
      <c r="AI156" s="352">
        <f>SUM(Ohj.lask.[Hakemus 5, €])</f>
        <v>6985054</v>
      </c>
      <c r="AJ156" s="355">
        <f>SUM(Ohj.lask.[Päätös 5, €])</f>
        <v>2500000</v>
      </c>
      <c r="AK156" s="353">
        <f>SUM(Ohj.lask.[Hakemus 6, €])</f>
        <v>1185000</v>
      </c>
      <c r="AL156" s="353">
        <f>SUM(Ohj.lask.[Päätös 6, €])</f>
        <v>500000</v>
      </c>
      <c r="AM156" s="352">
        <f>SUM(Ohj.lask.[Hakemus 7, €])</f>
        <v>61878646</v>
      </c>
      <c r="AN156" s="363">
        <f>SUM(Ohj.lask.[Päätös 7, €])</f>
        <v>13275000</v>
      </c>
      <c r="AO156" s="356">
        <f>SUM(Ohj.lask.[Opiskelijavuosiin perustuva (suoriteperusteinen) sekä harkinnanvarainen korotus, €])</f>
        <v>1202969495</v>
      </c>
      <c r="AP156" s="356">
        <f>SUM(Ohj.lask.[Suoritusrahoitus, €])</f>
        <v>370276995</v>
      </c>
      <c r="AQ156" s="356">
        <f>SUM(Ohj.lask.[Työllistymiseen ja jatko-opintoihin siirtymiseen perustuva sekä opiskelija-palautteisiin perustuva, €])</f>
        <v>185138495</v>
      </c>
      <c r="AR156" s="356">
        <f>SUM(Ohj.lask.[Perus-, suoritus- ja vaikuttavuusrahoitus yhteensä, €])</f>
        <v>1758384985</v>
      </c>
      <c r="AS156" s="356">
        <f>SUM(Ohj.lask.[Alv-korvaus, €])</f>
        <v>30516455</v>
      </c>
      <c r="AT156" s="356">
        <f>SUM(Ohj.lask.[Koko rahoitus + 
alv-korvaus, €])</f>
        <v>1788901440</v>
      </c>
    </row>
    <row r="157" spans="1:46" x14ac:dyDescent="0.25">
      <c r="AP157" s="44"/>
      <c r="AQ157" s="20"/>
      <c r="AR157" s="20"/>
    </row>
    <row r="158" spans="1:46" x14ac:dyDescent="0.25">
      <c r="N158"/>
      <c r="O158"/>
      <c r="P158"/>
      <c r="Q158"/>
      <c r="R158"/>
      <c r="AN158" s="44"/>
      <c r="AP158" s="44"/>
      <c r="AQ158" s="20"/>
      <c r="AR158" s="20"/>
    </row>
    <row r="159" spans="1:46" x14ac:dyDescent="0.25">
      <c r="N159"/>
      <c r="O159"/>
      <c r="P159"/>
      <c r="Q159"/>
      <c r="R159"/>
      <c r="AO159" s="14"/>
      <c r="AP159" s="117"/>
    </row>
    <row r="160" spans="1:46" x14ac:dyDescent="0.25">
      <c r="N160"/>
      <c r="O160"/>
      <c r="P160"/>
      <c r="Q160"/>
      <c r="R160"/>
      <c r="AO160" s="14"/>
      <c r="AP160" s="117"/>
    </row>
    <row r="161" spans="14:42" x14ac:dyDescent="0.25">
      <c r="N161"/>
      <c r="O161"/>
      <c r="P161"/>
      <c r="Q161"/>
      <c r="R161"/>
      <c r="AO161" s="14"/>
      <c r="AP161" s="117"/>
    </row>
    <row r="162" spans="14:42" x14ac:dyDescent="0.25">
      <c r="AO162" s="14"/>
      <c r="AP162" s="117"/>
    </row>
    <row r="163" spans="14:42" x14ac:dyDescent="0.25">
      <c r="AO163" s="14"/>
      <c r="AP163" s="117"/>
    </row>
    <row r="319" spans="1:1" x14ac:dyDescent="0.25">
      <c r="A319" s="12" t="s">
        <v>12</v>
      </c>
    </row>
    <row r="320" spans="1:1" x14ac:dyDescent="0.25">
      <c r="A320" s="12" t="s">
        <v>12</v>
      </c>
    </row>
    <row r="321" spans="1:1" x14ac:dyDescent="0.25">
      <c r="A321" s="12" t="s">
        <v>12</v>
      </c>
    </row>
    <row r="322" spans="1:1" x14ac:dyDescent="0.25">
      <c r="A322" s="12" t="s">
        <v>12</v>
      </c>
    </row>
    <row r="323" spans="1:1" x14ac:dyDescent="0.25">
      <c r="A323" s="12" t="s">
        <v>12</v>
      </c>
    </row>
    <row r="324" spans="1:1" x14ac:dyDescent="0.25">
      <c r="A324" s="12" t="s">
        <v>12</v>
      </c>
    </row>
    <row r="325" spans="1:1" x14ac:dyDescent="0.25">
      <c r="A325" s="12" t="s">
        <v>12</v>
      </c>
    </row>
    <row r="326" spans="1:1" x14ac:dyDescent="0.25">
      <c r="A326" s="12" t="s">
        <v>12</v>
      </c>
    </row>
    <row r="327" spans="1:1" x14ac:dyDescent="0.25">
      <c r="A327" s="12" t="s">
        <v>12</v>
      </c>
    </row>
    <row r="328" spans="1:1" x14ac:dyDescent="0.25">
      <c r="A328" s="12" t="s">
        <v>12</v>
      </c>
    </row>
    <row r="329" spans="1:1" x14ac:dyDescent="0.25">
      <c r="A329" s="12" t="s">
        <v>12</v>
      </c>
    </row>
  </sheetData>
  <mergeCells count="26">
    <mergeCell ref="AT3:AT4"/>
    <mergeCell ref="AO2:AR2"/>
    <mergeCell ref="AI3:AJ4"/>
    <mergeCell ref="AK3:AL4"/>
    <mergeCell ref="AA2:AN2"/>
    <mergeCell ref="AS3:AS4"/>
    <mergeCell ref="AP3:AP4"/>
    <mergeCell ref="AQ3:AQ4"/>
    <mergeCell ref="AM3:AN4"/>
    <mergeCell ref="AO3:AO4"/>
    <mergeCell ref="AR3:AR4"/>
    <mergeCell ref="F4:L4"/>
    <mergeCell ref="F3:L3"/>
    <mergeCell ref="F2:J2"/>
    <mergeCell ref="M3:O3"/>
    <mergeCell ref="AG3:AH4"/>
    <mergeCell ref="P3:X3"/>
    <mergeCell ref="M4:O4"/>
    <mergeCell ref="Y4:Z4"/>
    <mergeCell ref="V4:X4"/>
    <mergeCell ref="P4:R4"/>
    <mergeCell ref="S4:U4"/>
    <mergeCell ref="Y3:Z3"/>
    <mergeCell ref="AA3:AB4"/>
    <mergeCell ref="AC3:AD4"/>
    <mergeCell ref="AE3:AF4"/>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W228"/>
  <sheetViews>
    <sheetView zoomScale="90" zoomScaleNormal="9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11.28515625" style="12" customWidth="1"/>
    <col min="2" max="2" width="42.140625" style="12" customWidth="1"/>
    <col min="3" max="3" width="18.5703125" style="12" customWidth="1"/>
    <col min="4" max="4" width="16.42578125" style="12" customWidth="1"/>
    <col min="5" max="8" width="13.140625" style="12" customWidth="1"/>
    <col min="9" max="11" width="13.140625" style="25" customWidth="1"/>
    <col min="12" max="13" width="25.5703125" style="25" customWidth="1"/>
    <col min="14" max="15" width="13.140625" customWidth="1"/>
    <col min="16" max="17" width="25.5703125" customWidth="1"/>
    <col min="18" max="19" width="13.140625" customWidth="1"/>
    <col min="20" max="21" width="25.5703125" customWidth="1"/>
    <col min="22" max="23" width="13.140625" customWidth="1"/>
  </cols>
  <sheetData>
    <row r="1" spans="1:23" x14ac:dyDescent="0.25">
      <c r="A1" s="106" t="s">
        <v>841</v>
      </c>
      <c r="C1" s="13"/>
      <c r="D1" s="13"/>
      <c r="E1" s="25"/>
      <c r="F1" s="25"/>
      <c r="G1" s="25"/>
      <c r="L1" s="44"/>
      <c r="M1" s="13"/>
      <c r="N1" s="13"/>
      <c r="O1" s="13"/>
      <c r="P1" s="13"/>
      <c r="Q1" s="13"/>
      <c r="R1" s="44"/>
      <c r="S1" s="13"/>
      <c r="T1" s="13"/>
      <c r="U1" s="13"/>
      <c r="V1" s="13"/>
      <c r="W1" s="13"/>
    </row>
    <row r="2" spans="1:23" ht="25.5" customHeight="1" x14ac:dyDescent="0.25">
      <c r="A2" s="423" t="s">
        <v>905</v>
      </c>
      <c r="B2" s="423"/>
      <c r="C2" s="24"/>
      <c r="D2" s="49"/>
      <c r="E2" s="425" t="s">
        <v>898</v>
      </c>
      <c r="F2" s="426"/>
      <c r="G2" s="426"/>
      <c r="H2" s="426"/>
      <c r="I2" s="426"/>
      <c r="J2" s="426"/>
      <c r="K2" s="427"/>
      <c r="L2" s="419" t="s">
        <v>897</v>
      </c>
      <c r="M2" s="420"/>
      <c r="N2" s="420"/>
      <c r="O2" s="420"/>
      <c r="P2" s="296"/>
      <c r="Q2" s="296"/>
      <c r="R2" s="296"/>
      <c r="S2" s="296"/>
      <c r="T2" s="375"/>
      <c r="U2" s="375"/>
      <c r="V2" s="375"/>
      <c r="W2" s="376"/>
    </row>
    <row r="3" spans="1:23" ht="15" customHeight="1" x14ac:dyDescent="0.25">
      <c r="A3" s="423"/>
      <c r="B3" s="423"/>
      <c r="C3" s="33"/>
      <c r="D3" s="33"/>
      <c r="E3" s="36"/>
      <c r="F3" s="40"/>
      <c r="G3" s="40"/>
      <c r="H3" s="36"/>
      <c r="I3" s="37"/>
      <c r="J3" s="37"/>
      <c r="K3" s="40"/>
      <c r="L3" s="416" t="s">
        <v>896</v>
      </c>
      <c r="M3" s="417"/>
      <c r="N3" s="417"/>
      <c r="O3" s="418"/>
      <c r="P3" s="416" t="s">
        <v>846</v>
      </c>
      <c r="Q3" s="417"/>
      <c r="R3" s="417"/>
      <c r="S3" s="417"/>
      <c r="T3" s="416" t="s">
        <v>851</v>
      </c>
      <c r="U3" s="417"/>
      <c r="V3" s="417"/>
      <c r="W3" s="418"/>
    </row>
    <row r="4" spans="1:23" ht="12.75" customHeight="1" x14ac:dyDescent="0.25">
      <c r="A4" s="423"/>
      <c r="B4" s="423"/>
      <c r="C4" s="34"/>
      <c r="D4" s="34"/>
      <c r="E4" s="421" t="s">
        <v>843</v>
      </c>
      <c r="F4" s="422"/>
      <c r="G4" s="40"/>
      <c r="H4" s="421" t="s">
        <v>425</v>
      </c>
      <c r="I4" s="424"/>
      <c r="J4" s="424"/>
      <c r="K4" s="422"/>
      <c r="L4" s="416"/>
      <c r="M4" s="417"/>
      <c r="N4" s="417"/>
      <c r="O4" s="418"/>
      <c r="P4" s="416"/>
      <c r="Q4" s="417"/>
      <c r="R4" s="417"/>
      <c r="S4" s="417"/>
      <c r="T4" s="416"/>
      <c r="U4" s="417"/>
      <c r="V4" s="417"/>
      <c r="W4" s="418"/>
    </row>
    <row r="5" spans="1:23" ht="48.75" customHeight="1" x14ac:dyDescent="0.25">
      <c r="A5" s="33" t="s">
        <v>412</v>
      </c>
      <c r="B5" s="35" t="s">
        <v>411</v>
      </c>
      <c r="C5" s="35" t="s">
        <v>430</v>
      </c>
      <c r="D5" s="35" t="s">
        <v>429</v>
      </c>
      <c r="E5" s="38" t="s">
        <v>844</v>
      </c>
      <c r="F5" s="298" t="s">
        <v>845</v>
      </c>
      <c r="G5" s="298" t="s">
        <v>433</v>
      </c>
      <c r="H5" s="38" t="s">
        <v>434</v>
      </c>
      <c r="I5" s="50" t="s">
        <v>435</v>
      </c>
      <c r="J5" s="50" t="s">
        <v>436</v>
      </c>
      <c r="K5" s="51" t="s">
        <v>437</v>
      </c>
      <c r="L5" s="107" t="s">
        <v>666</v>
      </c>
      <c r="M5" s="107" t="s">
        <v>667</v>
      </c>
      <c r="N5" s="41" t="s">
        <v>903</v>
      </c>
      <c r="O5" s="42" t="s">
        <v>904</v>
      </c>
      <c r="P5" s="242" t="s">
        <v>847</v>
      </c>
      <c r="Q5" s="114" t="s">
        <v>848</v>
      </c>
      <c r="R5" s="41" t="s">
        <v>901</v>
      </c>
      <c r="S5" s="242" t="s">
        <v>902</v>
      </c>
      <c r="T5" s="114" t="s">
        <v>849</v>
      </c>
      <c r="U5" s="242" t="s">
        <v>850</v>
      </c>
      <c r="V5" s="41" t="s">
        <v>899</v>
      </c>
      <c r="W5" s="42" t="s">
        <v>900</v>
      </c>
    </row>
    <row r="6" spans="1:23" ht="12.75" customHeight="1" x14ac:dyDescent="0.25">
      <c r="A6" s="12" t="s">
        <v>410</v>
      </c>
      <c r="B6" s="297" t="s">
        <v>179</v>
      </c>
      <c r="C6" s="297" t="s">
        <v>238</v>
      </c>
      <c r="D6" s="297" t="s">
        <v>423</v>
      </c>
      <c r="E6" s="22">
        <f>IFERROR(VLOOKUP(Vertailu[[#This Row],[Y-tunnus]],'1.2 Ohjaus-laskentataulu'!A:AT,COLUMN('1.2 Ohjaus-laskentataulu'!L:L),FALSE)/VLOOKUP(Vertailu[[#This Row],[Y-tunnus]],'1.2 Ohjaus-laskentataulu'!A:AT,COLUMN('1.2 Ohjaus-laskentataulu'!AR:AR),FALSE),0)</f>
        <v>1</v>
      </c>
      <c r="F6" s="46">
        <f>IFERROR(VLOOKUP(Vertailu[[#This Row],[Y-tunnus]],'1.2 Ohjaus-laskentataulu'!A:AT,COLUMN('1.2 Ohjaus-laskentataulu'!AO:AO),FALSE)/VLOOKUP(Vertailu[[#This Row],[Y-tunnus]],'1.2 Ohjaus-laskentataulu'!A:AT,COLUMN('1.2 Ohjaus-laskentataulu'!AR:AR),FALSE),0)</f>
        <v>1</v>
      </c>
      <c r="G6" s="299">
        <f>IFERROR(VLOOKUP(Vertailu[[#This Row],[Y-tunnus]],'1.2 Ohjaus-laskentataulu'!A:AT,COLUMN('1.2 Ohjaus-laskentataulu'!AP:AP),FALSE)/VLOOKUP(Vertailu[[#This Row],[Y-tunnus]],'1.2 Ohjaus-laskentataulu'!A:AT,COLUMN('1.2 Ohjaus-laskentataulu'!AR:AR),FALSE),0)</f>
        <v>0</v>
      </c>
      <c r="H6" s="22">
        <f>IFERROR(VLOOKUP(Vertailu[[#This Row],[Y-tunnus]],'1.2 Ohjaus-laskentataulu'!A:AT,COLUMN('1.2 Ohjaus-laskentataulu'!AQ:AQ),FALSE)/VLOOKUP(Vertailu[[#This Row],[Y-tunnus]],'1.2 Ohjaus-laskentataulu'!A:AT,COLUMN('1.2 Ohjaus-laskentataulu'!AR:AR),FALSE),0)</f>
        <v>0</v>
      </c>
      <c r="I6" s="19">
        <f>IFERROR(VLOOKUP(Vertailu[[#This Row],[Y-tunnus]],'1.2 Ohjaus-laskentataulu'!A:AT,COLUMN('1.2 Ohjaus-laskentataulu'!R:R),FALSE)/VLOOKUP(Vertailu[[#This Row],[Y-tunnus]],'1.2 Ohjaus-laskentataulu'!A:AT,COLUMN('1.2 Ohjaus-laskentataulu'!AR:AR),FALSE),0)</f>
        <v>0</v>
      </c>
      <c r="J6" s="19">
        <f>IFERROR(VLOOKUP(Vertailu[[#This Row],[Y-tunnus]],'1.2 Ohjaus-laskentataulu'!A:AT,COLUMN('1.2 Ohjaus-laskentataulu'!U:U),FALSE)/VLOOKUP(Vertailu[[#This Row],[Y-tunnus]],'1.2 Ohjaus-laskentataulu'!A:AT,COLUMN('1.2 Ohjaus-laskentataulu'!AR:AR),FALSE),0)</f>
        <v>0</v>
      </c>
      <c r="K6" s="46">
        <f>IFERROR(VLOOKUP(Vertailu[[#This Row],[Y-tunnus]],'1.2 Ohjaus-laskentataulu'!A:AT,COLUMN('1.2 Ohjaus-laskentataulu'!X:X),FALSE)/VLOOKUP(Vertailu[[#This Row],[Y-tunnus]],'1.2 Ohjaus-laskentataulu'!A:AT,COLUMN('1.2 Ohjaus-laskentataulu'!AR:AR),FALSE),0)</f>
        <v>0</v>
      </c>
      <c r="L6" s="21">
        <f>IFERROR(VLOOKUP(Vertailu[[#This Row],[Y-tunnus]],'3.2 Suoritepäätös 2019'!$A:$S,COLUMN('3.2 Suoritepäätös 2019'!Q:Q),FALSE)-VLOOKUP(Vertailu[[#This Row],[Y-tunnus]],'3.2 Suoritepäätös 2019'!$A:$S,COLUMN('3.2 Suoritepäätös 2019'!L:L),FALSE),0)</f>
        <v>129172</v>
      </c>
      <c r="M6" s="21">
        <f>IFERROR(VLOOKUP(Vertailu[[#This Row],[Y-tunnus]],'1.2 Ohjaus-laskentataulu'!A:AT,COLUMN('1.2 Ohjaus-laskentataulu'!Z:Z),FALSE),0)</f>
        <v>20066</v>
      </c>
      <c r="N6" s="21">
        <f>IFERROR(Vertailu[[#This Row],[Rahoitus pl. hark. kor. 2020 ilman alv, €]]-Vertailu[[#This Row],[Rahoitus pl. hark. kor. 2019 ilman alv, €]],0)</f>
        <v>-109106</v>
      </c>
      <c r="O6" s="46">
        <f>IFERROR(Vertailu[[#This Row],[Muutos, € 1]]/Vertailu[[#This Row],[Rahoitus pl. hark. kor. 2019 ilman alv, €]],0)</f>
        <v>-0.84465673675409536</v>
      </c>
      <c r="P6" s="217">
        <f>IFERROR(VLOOKUP(Vertailu[[#This Row],[Y-tunnus]],'3.2 Suoritepäätös 2019'!$A:$S,COLUMN('3.2 Suoritepäätös 2019'!Q:Q),FALSE),0)</f>
        <v>481672</v>
      </c>
      <c r="Q6" s="243">
        <f>IFERROR(VLOOKUP(Vertailu[[#This Row],[Y-tunnus]],'1.2 Ohjaus-laskentataulu'!A:AT,COLUMN('1.2 Ohjaus-laskentataulu'!AR:AR),FALSE),0)</f>
        <v>20066</v>
      </c>
      <c r="R6" s="21">
        <f>IFERROR(Vertailu[[#This Row],[Rahoitus ml. hark. kor. 
2020 ilman alv, €]]-Vertailu[[#This Row],[Rahoitus ml. hark. kor. 
2019 ilman alv, €]],0)</f>
        <v>-461606</v>
      </c>
      <c r="S6" s="19">
        <f>IFERROR(Vertailu[[#This Row],[Muutos, € 2]]/Vertailu[[#This Row],[Rahoitus ml. hark. kor. 
2019 ilman alv, €]],0)</f>
        <v>-0.95834094570579154</v>
      </c>
      <c r="T6" s="243">
        <f>IFERROR(VLOOKUP(Vertailu[[#This Row],[Y-tunnus]],'3.2 Suoritepäätös 2019'!$A:$S,COLUMN('3.2 Suoritepäätös 2019'!Q:Q),FALSE)+VLOOKUP(Vertailu[[#This Row],[Y-tunnus]],'3.2 Suoritepäätös 2019'!$A:$S,COLUMN('3.2 Suoritepäätös 2019'!R:R),FALSE),0)</f>
        <v>508623</v>
      </c>
      <c r="U6" s="217">
        <f>IFERROR(VLOOKUP(Vertailu[[#This Row],[Y-tunnus]],'1.2 Ohjaus-laskentataulu'!A:AT,COLUMN('1.2 Ohjaus-laskentataulu'!AT:AT),FALSE),0)</f>
        <v>20066</v>
      </c>
      <c r="V6" s="249">
        <f>IFERROR(Vertailu[[#This Row],[Rahoitus ml. hark. kor. + alv 2020, €]]-Vertailu[[#This Row],[Rahoitus ml. hark. kor. + alv 2019, €]],0)</f>
        <v>-488557</v>
      </c>
      <c r="W6" s="46">
        <f>IFERROR(Vertailu[[#This Row],[Muutos, € 3]]/Vertailu[[#This Row],[Rahoitus ml. hark. kor. + alv 2019, €]],0)</f>
        <v>-0.9605483825937875</v>
      </c>
    </row>
    <row r="7" spans="1:23" ht="12.75" customHeight="1" x14ac:dyDescent="0.25">
      <c r="A7" s="12" t="s">
        <v>774</v>
      </c>
      <c r="B7" s="297" t="s">
        <v>775</v>
      </c>
      <c r="C7" s="297" t="s">
        <v>238</v>
      </c>
      <c r="D7" s="297" t="s">
        <v>423</v>
      </c>
      <c r="E7" s="22">
        <f>IFERROR(VLOOKUP(Vertailu[[#This Row],[Y-tunnus]],'1.2 Ohjaus-laskentataulu'!A:AT,COLUMN('1.2 Ohjaus-laskentataulu'!L:L),FALSE)/VLOOKUP(Vertailu[[#This Row],[Y-tunnus]],'1.2 Ohjaus-laskentataulu'!A:AT,COLUMN('1.2 Ohjaus-laskentataulu'!AR:AR),FALSE),0)</f>
        <v>0.62655805253598629</v>
      </c>
      <c r="F7" s="46">
        <f>IFERROR(VLOOKUP(Vertailu[[#This Row],[Y-tunnus]],'1.2 Ohjaus-laskentataulu'!A:AT,COLUMN('1.2 Ohjaus-laskentataulu'!AO:AO),FALSE)/VLOOKUP(Vertailu[[#This Row],[Y-tunnus]],'1.2 Ohjaus-laskentataulu'!A:AT,COLUMN('1.2 Ohjaus-laskentataulu'!AR:AR),FALSE),0)</f>
        <v>0.62655805253598629</v>
      </c>
      <c r="G7" s="299">
        <f>IFERROR(VLOOKUP(Vertailu[[#This Row],[Y-tunnus]],'1.2 Ohjaus-laskentataulu'!A:AT,COLUMN('1.2 Ohjaus-laskentataulu'!AP:AP),FALSE)/VLOOKUP(Vertailu[[#This Row],[Y-tunnus]],'1.2 Ohjaus-laskentataulu'!A:AT,COLUMN('1.2 Ohjaus-laskentataulu'!AR:AR),FALSE),0)</f>
        <v>0.23600961668790155</v>
      </c>
      <c r="H7" s="22">
        <f>IFERROR(VLOOKUP(Vertailu[[#This Row],[Y-tunnus]],'1.2 Ohjaus-laskentataulu'!A:AT,COLUMN('1.2 Ohjaus-laskentataulu'!AQ:AQ),FALSE)/VLOOKUP(Vertailu[[#This Row],[Y-tunnus]],'1.2 Ohjaus-laskentataulu'!A:AT,COLUMN('1.2 Ohjaus-laskentataulu'!AR:AR),FALSE),0)</f>
        <v>0.13743233077611211</v>
      </c>
      <c r="I7" s="19">
        <f>IFERROR(VLOOKUP(Vertailu[[#This Row],[Y-tunnus]],'1.2 Ohjaus-laskentataulu'!A:AT,COLUMN('1.2 Ohjaus-laskentataulu'!R:R),FALSE)/VLOOKUP(Vertailu[[#This Row],[Y-tunnus]],'1.2 Ohjaus-laskentataulu'!A:AT,COLUMN('1.2 Ohjaus-laskentataulu'!AR:AR),FALSE),0)</f>
        <v>0.11600815961397706</v>
      </c>
      <c r="J7" s="19">
        <f>IFERROR(VLOOKUP(Vertailu[[#This Row],[Y-tunnus]],'1.2 Ohjaus-laskentataulu'!A:AT,COLUMN('1.2 Ohjaus-laskentataulu'!U:U),FALSE)/VLOOKUP(Vertailu[[#This Row],[Y-tunnus]],'1.2 Ohjaus-laskentataulu'!A:AT,COLUMN('1.2 Ohjaus-laskentataulu'!AR:AR),FALSE),0)</f>
        <v>6.8118544823660169E-3</v>
      </c>
      <c r="K7" s="46">
        <f>IFERROR(VLOOKUP(Vertailu[[#This Row],[Y-tunnus]],'1.2 Ohjaus-laskentataulu'!A:AT,COLUMN('1.2 Ohjaus-laskentataulu'!X:X),FALSE)/VLOOKUP(Vertailu[[#This Row],[Y-tunnus]],'1.2 Ohjaus-laskentataulu'!A:AT,COLUMN('1.2 Ohjaus-laskentataulu'!AR:AR),FALSE),0)</f>
        <v>1.4612316679769036E-2</v>
      </c>
      <c r="L7" s="21">
        <f>IFERROR(VLOOKUP(Vertailu[[#This Row],[Y-tunnus]],'3.2 Suoritepäätös 2019'!$A:$S,COLUMN('3.2 Suoritepäätös 2019'!Q:Q),FALSE)-VLOOKUP(Vertailu[[#This Row],[Y-tunnus]],'3.2 Suoritepäätös 2019'!$A:$S,COLUMN('3.2 Suoritepäätös 2019'!L:L),FALSE),0)</f>
        <v>25426899</v>
      </c>
      <c r="M7" s="21">
        <f>IFERROR(VLOOKUP(Vertailu[[#This Row],[Y-tunnus]],'1.2 Ohjaus-laskentataulu'!A:AT,COLUMN('1.2 Ohjaus-laskentataulu'!Z:Z),FALSE),0)</f>
        <v>29511200</v>
      </c>
      <c r="N7" s="21">
        <f>IFERROR(Vertailu[[#This Row],[Rahoitus pl. hark. kor. 2020 ilman alv, €]]-Vertailu[[#This Row],[Rahoitus pl. hark. kor. 2019 ilman alv, €]],0)</f>
        <v>4084301</v>
      </c>
      <c r="O7" s="46">
        <f>IFERROR(Vertailu[[#This Row],[Muutos, € 1]]/Vertailu[[#This Row],[Rahoitus pl. hark. kor. 2019 ilman alv, €]],0)</f>
        <v>0.16062914317628743</v>
      </c>
      <c r="P7" s="217">
        <f>IFERROR(VLOOKUP(Vertailu[[#This Row],[Y-tunnus]],'3.2 Suoritepäätös 2019'!$A:$S,COLUMN('3.2 Suoritepäätös 2019'!Q:Q),FALSE),0)</f>
        <v>25426899</v>
      </c>
      <c r="Q7" s="243">
        <f>IFERROR(VLOOKUP(Vertailu[[#This Row],[Y-tunnus]],'1.2 Ohjaus-laskentataulu'!A:AT,COLUMN('1.2 Ohjaus-laskentataulu'!AR:AR),FALSE),0)</f>
        <v>29511200</v>
      </c>
      <c r="R7" s="21">
        <f>IFERROR(Vertailu[[#This Row],[Rahoitus ml. hark. kor. 
2020 ilman alv, €]]-Vertailu[[#This Row],[Rahoitus ml. hark. kor. 
2019 ilman alv, €]],0)</f>
        <v>4084301</v>
      </c>
      <c r="S7" s="19">
        <f>IFERROR(Vertailu[[#This Row],[Muutos, € 2]]/Vertailu[[#This Row],[Rahoitus ml. hark. kor. 
2019 ilman alv, €]],0)</f>
        <v>0.16062914317628743</v>
      </c>
      <c r="T7" s="243">
        <f>IFERROR(VLOOKUP(Vertailu[[#This Row],[Y-tunnus]],'3.2 Suoritepäätös 2019'!$A:$S,COLUMN('3.2 Suoritepäätös 2019'!Q:Q),FALSE)+VLOOKUP(Vertailu[[#This Row],[Y-tunnus]],'3.2 Suoritepäätös 2019'!$A:$S,COLUMN('3.2 Suoritepäätös 2019'!R:R),FALSE),0)</f>
        <v>26764214</v>
      </c>
      <c r="U7" s="217">
        <f>IFERROR(VLOOKUP(Vertailu[[#This Row],[Y-tunnus]],'1.2 Ohjaus-laskentataulu'!A:AT,COLUMN('1.2 Ohjaus-laskentataulu'!AT:AT),FALSE),0)</f>
        <v>30769464</v>
      </c>
      <c r="V7" s="249">
        <f>IFERROR(Vertailu[[#This Row],[Rahoitus ml. hark. kor. + alv 2020, €]]-Vertailu[[#This Row],[Rahoitus ml. hark. kor. + alv 2019, €]],0)</f>
        <v>4005250</v>
      </c>
      <c r="W7" s="46">
        <f>IFERROR(Vertailu[[#This Row],[Muutos, € 3]]/Vertailu[[#This Row],[Rahoitus ml. hark. kor. + alv 2019, €]],0)</f>
        <v>0.14964945355764978</v>
      </c>
    </row>
    <row r="8" spans="1:23" ht="12.75" customHeight="1" x14ac:dyDescent="0.25">
      <c r="A8" s="12" t="s">
        <v>409</v>
      </c>
      <c r="B8" s="297" t="s">
        <v>23</v>
      </c>
      <c r="C8" s="297" t="s">
        <v>249</v>
      </c>
      <c r="D8" s="297" t="s">
        <v>423</v>
      </c>
      <c r="E8" s="22">
        <f>IFERROR(VLOOKUP(Vertailu[[#This Row],[Y-tunnus]],'1.2 Ohjaus-laskentataulu'!A:AT,COLUMN('1.2 Ohjaus-laskentataulu'!L:L),FALSE)/VLOOKUP(Vertailu[[#This Row],[Y-tunnus]],'1.2 Ohjaus-laskentataulu'!A:AT,COLUMN('1.2 Ohjaus-laskentataulu'!AR:AR),FALSE),0)</f>
        <v>0.65415815215878548</v>
      </c>
      <c r="F8" s="46">
        <f>IFERROR(VLOOKUP(Vertailu[[#This Row],[Y-tunnus]],'1.2 Ohjaus-laskentataulu'!A:AT,COLUMN('1.2 Ohjaus-laskentataulu'!AO:AO),FALSE)/VLOOKUP(Vertailu[[#This Row],[Y-tunnus]],'1.2 Ohjaus-laskentataulu'!A:AT,COLUMN('1.2 Ohjaus-laskentataulu'!AR:AR),FALSE),0)</f>
        <v>0.65415815215878548</v>
      </c>
      <c r="G8" s="299">
        <f>IFERROR(VLOOKUP(Vertailu[[#This Row],[Y-tunnus]],'1.2 Ohjaus-laskentataulu'!A:AT,COLUMN('1.2 Ohjaus-laskentataulu'!AP:AP),FALSE)/VLOOKUP(Vertailu[[#This Row],[Y-tunnus]],'1.2 Ohjaus-laskentataulu'!A:AT,COLUMN('1.2 Ohjaus-laskentataulu'!AR:AR),FALSE),0)</f>
        <v>0.25783269077355586</v>
      </c>
      <c r="H8" s="22">
        <f>IFERROR(VLOOKUP(Vertailu[[#This Row],[Y-tunnus]],'1.2 Ohjaus-laskentataulu'!A:AT,COLUMN('1.2 Ohjaus-laskentataulu'!AQ:AQ),FALSE)/VLOOKUP(Vertailu[[#This Row],[Y-tunnus]],'1.2 Ohjaus-laskentataulu'!A:AT,COLUMN('1.2 Ohjaus-laskentataulu'!AR:AR),FALSE),0)</f>
        <v>8.8009157067658633E-2</v>
      </c>
      <c r="I8" s="19">
        <f>IFERROR(VLOOKUP(Vertailu[[#This Row],[Y-tunnus]],'1.2 Ohjaus-laskentataulu'!A:AT,COLUMN('1.2 Ohjaus-laskentataulu'!R:R),FALSE)/VLOOKUP(Vertailu[[#This Row],[Y-tunnus]],'1.2 Ohjaus-laskentataulu'!A:AT,COLUMN('1.2 Ohjaus-laskentataulu'!AR:AR),FALSE),0)</f>
        <v>6.4654853230103629E-2</v>
      </c>
      <c r="J8" s="19">
        <f>IFERROR(VLOOKUP(Vertailu[[#This Row],[Y-tunnus]],'1.2 Ohjaus-laskentataulu'!A:AT,COLUMN('1.2 Ohjaus-laskentataulu'!U:U),FALSE)/VLOOKUP(Vertailu[[#This Row],[Y-tunnus]],'1.2 Ohjaus-laskentataulu'!A:AT,COLUMN('1.2 Ohjaus-laskentataulu'!AR:AR),FALSE),0)</f>
        <v>5.7213291507864856E-3</v>
      </c>
      <c r="K8" s="46">
        <f>IFERROR(VLOOKUP(Vertailu[[#This Row],[Y-tunnus]],'1.2 Ohjaus-laskentataulu'!A:AT,COLUMN('1.2 Ohjaus-laskentataulu'!X:X),FALSE)/VLOOKUP(Vertailu[[#This Row],[Y-tunnus]],'1.2 Ohjaus-laskentataulu'!A:AT,COLUMN('1.2 Ohjaus-laskentataulu'!AR:AR),FALSE),0)</f>
        <v>1.763297468676852E-2</v>
      </c>
      <c r="L8" s="21">
        <f>IFERROR(VLOOKUP(Vertailu[[#This Row],[Y-tunnus]],'3.2 Suoritepäätös 2019'!$A:$S,COLUMN('3.2 Suoritepäätös 2019'!Q:Q),FALSE)-VLOOKUP(Vertailu[[#This Row],[Y-tunnus]],'3.2 Suoritepäätös 2019'!$A:$S,COLUMN('3.2 Suoritepäätös 2019'!L:L),FALSE),0)</f>
        <v>3277928</v>
      </c>
      <c r="M8" s="21">
        <f>IFERROR(VLOOKUP(Vertailu[[#This Row],[Y-tunnus]],'1.2 Ohjaus-laskentataulu'!A:AT,COLUMN('1.2 Ohjaus-laskentataulu'!Z:Z),FALSE),0)</f>
        <v>3808206</v>
      </c>
      <c r="N8" s="21">
        <f>IFERROR(Vertailu[[#This Row],[Rahoitus pl. hark. kor. 2020 ilman alv, €]]-Vertailu[[#This Row],[Rahoitus pl. hark. kor. 2019 ilman alv, €]],0)</f>
        <v>530278</v>
      </c>
      <c r="O8" s="46">
        <f>IFERROR(Vertailu[[#This Row],[Muutos, € 1]]/Vertailu[[#This Row],[Rahoitus pl. hark. kor. 2019 ilman alv, €]],0)</f>
        <v>0.16177231470611922</v>
      </c>
      <c r="P8" s="217">
        <f>IFERROR(VLOOKUP(Vertailu[[#This Row],[Y-tunnus]],'3.2 Suoritepäätös 2019'!$A:$S,COLUMN('3.2 Suoritepäätös 2019'!Q:Q),FALSE),0)</f>
        <v>3277928</v>
      </c>
      <c r="Q8" s="243">
        <f>IFERROR(VLOOKUP(Vertailu[[#This Row],[Y-tunnus]],'1.2 Ohjaus-laskentataulu'!A:AT,COLUMN('1.2 Ohjaus-laskentataulu'!AR:AR),FALSE),0)</f>
        <v>3808206</v>
      </c>
      <c r="R8" s="21">
        <f>IFERROR(Vertailu[[#This Row],[Rahoitus ml. hark. kor. 
2020 ilman alv, €]]-Vertailu[[#This Row],[Rahoitus ml. hark. kor. 
2019 ilman alv, €]],0)</f>
        <v>530278</v>
      </c>
      <c r="S8" s="19">
        <f>IFERROR(Vertailu[[#This Row],[Muutos, € 2]]/Vertailu[[#This Row],[Rahoitus ml. hark. kor. 
2019 ilman alv, €]],0)</f>
        <v>0.16177231470611922</v>
      </c>
      <c r="T8" s="243">
        <f>IFERROR(VLOOKUP(Vertailu[[#This Row],[Y-tunnus]],'3.2 Suoritepäätös 2019'!$A:$S,COLUMN('3.2 Suoritepäätös 2019'!Q:Q),FALSE)+VLOOKUP(Vertailu[[#This Row],[Y-tunnus]],'3.2 Suoritepäätös 2019'!$A:$S,COLUMN('3.2 Suoritepäätös 2019'!R:R),FALSE),0)</f>
        <v>3446859</v>
      </c>
      <c r="U8" s="217">
        <f>IFERROR(VLOOKUP(Vertailu[[#This Row],[Y-tunnus]],'1.2 Ohjaus-laskentataulu'!A:AT,COLUMN('1.2 Ohjaus-laskentataulu'!AT:AT),FALSE),0)</f>
        <v>4191677</v>
      </c>
      <c r="V8" s="249">
        <f>IFERROR(Vertailu[[#This Row],[Rahoitus ml. hark. kor. + alv 2020, €]]-Vertailu[[#This Row],[Rahoitus ml. hark. kor. + alv 2019, €]],0)</f>
        <v>744818</v>
      </c>
      <c r="W8" s="46">
        <f>IFERROR(Vertailu[[#This Row],[Muutos, € 3]]/Vertailu[[#This Row],[Rahoitus ml. hark. kor. + alv 2019, €]],0)</f>
        <v>0.2160860075796544</v>
      </c>
    </row>
    <row r="9" spans="1:23" ht="12.75" customHeight="1" x14ac:dyDescent="0.25">
      <c r="A9" s="12" t="s">
        <v>406</v>
      </c>
      <c r="B9" s="297" t="s">
        <v>189</v>
      </c>
      <c r="C9" s="297" t="s">
        <v>238</v>
      </c>
      <c r="D9" s="297" t="s">
        <v>423</v>
      </c>
      <c r="E9" s="22">
        <f>IFERROR(VLOOKUP(Vertailu[[#This Row],[Y-tunnus]],'1.2 Ohjaus-laskentataulu'!A:AT,COLUMN('1.2 Ohjaus-laskentataulu'!L:L),FALSE)/VLOOKUP(Vertailu[[#This Row],[Y-tunnus]],'1.2 Ohjaus-laskentataulu'!A:AT,COLUMN('1.2 Ohjaus-laskentataulu'!AR:AR),FALSE),0)</f>
        <v>7.2365343562091219E-2</v>
      </c>
      <c r="F9" s="46">
        <f>IFERROR(VLOOKUP(Vertailu[[#This Row],[Y-tunnus]],'1.2 Ohjaus-laskentataulu'!A:AT,COLUMN('1.2 Ohjaus-laskentataulu'!AO:AO),FALSE)/VLOOKUP(Vertailu[[#This Row],[Y-tunnus]],'1.2 Ohjaus-laskentataulu'!A:AT,COLUMN('1.2 Ohjaus-laskentataulu'!AR:AR),FALSE),0)</f>
        <v>0.95830959002752802</v>
      </c>
      <c r="G9" s="299">
        <f>IFERROR(VLOOKUP(Vertailu[[#This Row],[Y-tunnus]],'1.2 Ohjaus-laskentataulu'!A:AT,COLUMN('1.2 Ohjaus-laskentataulu'!AP:AP),FALSE)/VLOOKUP(Vertailu[[#This Row],[Y-tunnus]],'1.2 Ohjaus-laskentataulu'!A:AT,COLUMN('1.2 Ohjaus-laskentataulu'!AR:AR),FALSE),0)</f>
        <v>2.4805730145635058E-2</v>
      </c>
      <c r="H9" s="22">
        <f>IFERROR(VLOOKUP(Vertailu[[#This Row],[Y-tunnus]],'1.2 Ohjaus-laskentataulu'!A:AT,COLUMN('1.2 Ohjaus-laskentataulu'!AQ:AQ),FALSE)/VLOOKUP(Vertailu[[#This Row],[Y-tunnus]],'1.2 Ohjaus-laskentataulu'!A:AT,COLUMN('1.2 Ohjaus-laskentataulu'!AR:AR),FALSE),0)</f>
        <v>1.688467982683688E-2</v>
      </c>
      <c r="I9" s="19">
        <f>IFERROR(VLOOKUP(Vertailu[[#This Row],[Y-tunnus]],'1.2 Ohjaus-laskentataulu'!A:AT,COLUMN('1.2 Ohjaus-laskentataulu'!R:R),FALSE)/VLOOKUP(Vertailu[[#This Row],[Y-tunnus]],'1.2 Ohjaus-laskentataulu'!A:AT,COLUMN('1.2 Ohjaus-laskentataulu'!AR:AR),FALSE),0)</f>
        <v>1.688467982683688E-2</v>
      </c>
      <c r="J9" s="19">
        <f>IFERROR(VLOOKUP(Vertailu[[#This Row],[Y-tunnus]],'1.2 Ohjaus-laskentataulu'!A:AT,COLUMN('1.2 Ohjaus-laskentataulu'!U:U),FALSE)/VLOOKUP(Vertailu[[#This Row],[Y-tunnus]],'1.2 Ohjaus-laskentataulu'!A:AT,COLUMN('1.2 Ohjaus-laskentataulu'!AR:AR),FALSE),0)</f>
        <v>0</v>
      </c>
      <c r="K9" s="46">
        <f>IFERROR(VLOOKUP(Vertailu[[#This Row],[Y-tunnus]],'1.2 Ohjaus-laskentataulu'!A:AT,COLUMN('1.2 Ohjaus-laskentataulu'!X:X),FALSE)/VLOOKUP(Vertailu[[#This Row],[Y-tunnus]],'1.2 Ohjaus-laskentataulu'!A:AT,COLUMN('1.2 Ohjaus-laskentataulu'!AR:AR),FALSE),0)</f>
        <v>0</v>
      </c>
      <c r="L9" s="21">
        <f>IFERROR(VLOOKUP(Vertailu[[#This Row],[Y-tunnus]],'3.2 Suoritepäätös 2019'!$A:$S,COLUMN('3.2 Suoritepäätös 2019'!Q:Q),FALSE)-VLOOKUP(Vertailu[[#This Row],[Y-tunnus]],'3.2 Suoritepäätös 2019'!$A:$S,COLUMN('3.2 Suoritepäätös 2019'!L:L),FALSE),0)</f>
        <v>105464</v>
      </c>
      <c r="M9" s="21">
        <f>IFERROR(VLOOKUP(Vertailu[[#This Row],[Y-tunnus]],'1.2 Ohjaus-laskentataulu'!A:AT,COLUMN('1.2 Ohjaus-laskentataulu'!Z:Z),FALSE),0)</f>
        <v>160924</v>
      </c>
      <c r="N9" s="21">
        <f>IFERROR(Vertailu[[#This Row],[Rahoitus pl. hark. kor. 2020 ilman alv, €]]-Vertailu[[#This Row],[Rahoitus pl. hark. kor. 2019 ilman alv, €]],0)</f>
        <v>55460</v>
      </c>
      <c r="O9" s="46">
        <f>IFERROR(Vertailu[[#This Row],[Muutos, € 1]]/Vertailu[[#This Row],[Rahoitus pl. hark. kor. 2019 ilman alv, €]],0)</f>
        <v>0.52586664643859515</v>
      </c>
      <c r="P9" s="217">
        <f>IFERROR(VLOOKUP(Vertailu[[#This Row],[Y-tunnus]],'3.2 Suoritepäätös 2019'!$A:$S,COLUMN('3.2 Suoritepäätös 2019'!Q:Q),FALSE),0)</f>
        <v>1505464</v>
      </c>
      <c r="Q9" s="243">
        <f>IFERROR(VLOOKUP(Vertailu[[#This Row],[Y-tunnus]],'1.2 Ohjaus-laskentataulu'!A:AT,COLUMN('1.2 Ohjaus-laskentataulu'!AR:AR),FALSE),0)</f>
        <v>1410924</v>
      </c>
      <c r="R9" s="21">
        <f>IFERROR(Vertailu[[#This Row],[Rahoitus ml. hark. kor. 
2020 ilman alv, €]]-Vertailu[[#This Row],[Rahoitus ml. hark. kor. 
2019 ilman alv, €]],0)</f>
        <v>-94540</v>
      </c>
      <c r="S9" s="19">
        <f>IFERROR(Vertailu[[#This Row],[Muutos, € 2]]/Vertailu[[#This Row],[Rahoitus ml. hark. kor. 
2019 ilman alv, €]],0)</f>
        <v>-6.2797914795704179E-2</v>
      </c>
      <c r="T9" s="243">
        <f>IFERROR(VLOOKUP(Vertailu[[#This Row],[Y-tunnus]],'3.2 Suoritepäätös 2019'!$A:$S,COLUMN('3.2 Suoritepäätös 2019'!Q:Q),FALSE)+VLOOKUP(Vertailu[[#This Row],[Y-tunnus]],'3.2 Suoritepäätös 2019'!$A:$S,COLUMN('3.2 Suoritepäätös 2019'!R:R),FALSE),0)</f>
        <v>1589698</v>
      </c>
      <c r="U9" s="217">
        <f>IFERROR(VLOOKUP(Vertailu[[#This Row],[Y-tunnus]],'1.2 Ohjaus-laskentataulu'!A:AT,COLUMN('1.2 Ohjaus-laskentataulu'!AT:AT),FALSE),0)</f>
        <v>1455956</v>
      </c>
      <c r="V9" s="249">
        <f>IFERROR(Vertailu[[#This Row],[Rahoitus ml. hark. kor. + alv 2020, €]]-Vertailu[[#This Row],[Rahoitus ml. hark. kor. + alv 2019, €]],0)</f>
        <v>-133742</v>
      </c>
      <c r="W9" s="46">
        <f>IFERROR(Vertailu[[#This Row],[Muutos, € 3]]/Vertailu[[#This Row],[Rahoitus ml. hark. kor. + alv 2019, €]],0)</f>
        <v>-8.413044490211348E-2</v>
      </c>
    </row>
    <row r="10" spans="1:23" ht="12.75" customHeight="1" x14ac:dyDescent="0.25">
      <c r="A10" s="12" t="s">
        <v>408</v>
      </c>
      <c r="B10" s="297" t="s">
        <v>24</v>
      </c>
      <c r="C10" s="297" t="s">
        <v>249</v>
      </c>
      <c r="D10" s="297" t="s">
        <v>423</v>
      </c>
      <c r="E10" s="22">
        <f>IFERROR(VLOOKUP(Vertailu[[#This Row],[Y-tunnus]],'1.2 Ohjaus-laskentataulu'!A:AT,COLUMN('1.2 Ohjaus-laskentataulu'!L:L),FALSE)/VLOOKUP(Vertailu[[#This Row],[Y-tunnus]],'1.2 Ohjaus-laskentataulu'!A:AT,COLUMN('1.2 Ohjaus-laskentataulu'!AR:AR),FALSE),0)</f>
        <v>0.85128916436501367</v>
      </c>
      <c r="F10" s="46">
        <f>IFERROR(VLOOKUP(Vertailu[[#This Row],[Y-tunnus]],'1.2 Ohjaus-laskentataulu'!A:AT,COLUMN('1.2 Ohjaus-laskentataulu'!AO:AO),FALSE)/VLOOKUP(Vertailu[[#This Row],[Y-tunnus]],'1.2 Ohjaus-laskentataulu'!A:AT,COLUMN('1.2 Ohjaus-laskentataulu'!AR:AR),FALSE),0)</f>
        <v>0.85128916436501367</v>
      </c>
      <c r="G10" s="299">
        <f>IFERROR(VLOOKUP(Vertailu[[#This Row],[Y-tunnus]],'1.2 Ohjaus-laskentataulu'!A:AT,COLUMN('1.2 Ohjaus-laskentataulu'!AP:AP),FALSE)/VLOOKUP(Vertailu[[#This Row],[Y-tunnus]],'1.2 Ohjaus-laskentataulu'!A:AT,COLUMN('1.2 Ohjaus-laskentataulu'!AR:AR),FALSE),0)</f>
        <v>0.14362810282467078</v>
      </c>
      <c r="H10" s="22">
        <f>IFERROR(VLOOKUP(Vertailu[[#This Row],[Y-tunnus]],'1.2 Ohjaus-laskentataulu'!A:AT,COLUMN('1.2 Ohjaus-laskentataulu'!AQ:AQ),FALSE)/VLOOKUP(Vertailu[[#This Row],[Y-tunnus]],'1.2 Ohjaus-laskentataulu'!A:AT,COLUMN('1.2 Ohjaus-laskentataulu'!AR:AR),FALSE),0)</f>
        <v>5.0827328103155182E-3</v>
      </c>
      <c r="I10" s="19">
        <f>IFERROR(VLOOKUP(Vertailu[[#This Row],[Y-tunnus]],'1.2 Ohjaus-laskentataulu'!A:AT,COLUMN('1.2 Ohjaus-laskentataulu'!R:R),FALSE)/VLOOKUP(Vertailu[[#This Row],[Y-tunnus]],'1.2 Ohjaus-laskentataulu'!A:AT,COLUMN('1.2 Ohjaus-laskentataulu'!AR:AR),FALSE),0)</f>
        <v>0</v>
      </c>
      <c r="J10" s="19">
        <f>IFERROR(VLOOKUP(Vertailu[[#This Row],[Y-tunnus]],'1.2 Ohjaus-laskentataulu'!A:AT,COLUMN('1.2 Ohjaus-laskentataulu'!U:U),FALSE)/VLOOKUP(Vertailu[[#This Row],[Y-tunnus]],'1.2 Ohjaus-laskentataulu'!A:AT,COLUMN('1.2 Ohjaus-laskentataulu'!AR:AR),FALSE),0)</f>
        <v>1.0110931042954518E-3</v>
      </c>
      <c r="K10" s="46">
        <f>IFERROR(VLOOKUP(Vertailu[[#This Row],[Y-tunnus]],'1.2 Ohjaus-laskentataulu'!A:AT,COLUMN('1.2 Ohjaus-laskentataulu'!X:X),FALSE)/VLOOKUP(Vertailu[[#This Row],[Y-tunnus]],'1.2 Ohjaus-laskentataulu'!A:AT,COLUMN('1.2 Ohjaus-laskentataulu'!AR:AR),FALSE),0)</f>
        <v>4.0716397060200664E-3</v>
      </c>
      <c r="L10" s="21">
        <f>IFERROR(VLOOKUP(Vertailu[[#This Row],[Y-tunnus]],'3.2 Suoritepäätös 2019'!$A:$S,COLUMN('3.2 Suoritepäätös 2019'!Q:Q),FALSE)-VLOOKUP(Vertailu[[#This Row],[Y-tunnus]],'3.2 Suoritepäätös 2019'!$A:$S,COLUMN('3.2 Suoritepäätös 2019'!L:L),FALSE),0)</f>
        <v>3010230</v>
      </c>
      <c r="M10" s="21">
        <f>IFERROR(VLOOKUP(Vertailu[[#This Row],[Y-tunnus]],'1.2 Ohjaus-laskentataulu'!A:AT,COLUMN('1.2 Ohjaus-laskentataulu'!Z:Z),FALSE),0)</f>
        <v>3630724</v>
      </c>
      <c r="N10" s="21">
        <f>IFERROR(Vertailu[[#This Row],[Rahoitus pl. hark. kor. 2020 ilman alv, €]]-Vertailu[[#This Row],[Rahoitus pl. hark. kor. 2019 ilman alv, €]],0)</f>
        <v>620494</v>
      </c>
      <c r="O10" s="46">
        <f>IFERROR(Vertailu[[#This Row],[Muutos, € 1]]/Vertailu[[#This Row],[Rahoitus pl. hark. kor. 2019 ilman alv, €]],0)</f>
        <v>0.20612843536872597</v>
      </c>
      <c r="P10" s="217">
        <f>IFERROR(VLOOKUP(Vertailu[[#This Row],[Y-tunnus]],'3.2 Suoritepäätös 2019'!$A:$S,COLUMN('3.2 Suoritepäätös 2019'!Q:Q),FALSE),0)</f>
        <v>3010230</v>
      </c>
      <c r="Q10" s="243">
        <f>IFERROR(VLOOKUP(Vertailu[[#This Row],[Y-tunnus]],'1.2 Ohjaus-laskentataulu'!A:AT,COLUMN('1.2 Ohjaus-laskentataulu'!AR:AR),FALSE),0)</f>
        <v>3630724</v>
      </c>
      <c r="R10" s="21">
        <f>IFERROR(Vertailu[[#This Row],[Rahoitus ml. hark. kor. 
2020 ilman alv, €]]-Vertailu[[#This Row],[Rahoitus ml. hark. kor. 
2019 ilman alv, €]],0)</f>
        <v>620494</v>
      </c>
      <c r="S10" s="19">
        <f>IFERROR(Vertailu[[#This Row],[Muutos, € 2]]/Vertailu[[#This Row],[Rahoitus ml. hark. kor. 
2019 ilman alv, €]],0)</f>
        <v>0.20612843536872597</v>
      </c>
      <c r="T10" s="243">
        <f>IFERROR(VLOOKUP(Vertailu[[#This Row],[Y-tunnus]],'3.2 Suoritepäätös 2019'!$A:$S,COLUMN('3.2 Suoritepäätös 2019'!Q:Q),FALSE)+VLOOKUP(Vertailu[[#This Row],[Y-tunnus]],'3.2 Suoritepäätös 2019'!$A:$S,COLUMN('3.2 Suoritepäätös 2019'!R:R),FALSE),0)</f>
        <v>3177057</v>
      </c>
      <c r="U10" s="217">
        <f>IFERROR(VLOOKUP(Vertailu[[#This Row],[Y-tunnus]],'1.2 Ohjaus-laskentataulu'!A:AT,COLUMN('1.2 Ohjaus-laskentataulu'!AT:AT),FALSE),0)</f>
        <v>3742362</v>
      </c>
      <c r="V10" s="249">
        <f>IFERROR(Vertailu[[#This Row],[Rahoitus ml. hark. kor. + alv 2020, €]]-Vertailu[[#This Row],[Rahoitus ml. hark. kor. + alv 2019, €]],0)</f>
        <v>565305</v>
      </c>
      <c r="W10" s="46">
        <f>IFERROR(Vertailu[[#This Row],[Muutos, € 3]]/Vertailu[[#This Row],[Rahoitus ml. hark. kor. + alv 2019, €]],0)</f>
        <v>0.17793354038029535</v>
      </c>
    </row>
    <row r="11" spans="1:23" ht="12.75" customHeight="1" x14ac:dyDescent="0.25">
      <c r="A11" s="12" t="s">
        <v>407</v>
      </c>
      <c r="B11" s="297" t="s">
        <v>27</v>
      </c>
      <c r="C11" s="297" t="s">
        <v>238</v>
      </c>
      <c r="D11" s="297" t="s">
        <v>423</v>
      </c>
      <c r="E11" s="22">
        <f>IFERROR(VLOOKUP(Vertailu[[#This Row],[Y-tunnus]],'1.2 Ohjaus-laskentataulu'!A:AT,COLUMN('1.2 Ohjaus-laskentataulu'!L:L),FALSE)/VLOOKUP(Vertailu[[#This Row],[Y-tunnus]],'1.2 Ohjaus-laskentataulu'!A:AT,COLUMN('1.2 Ohjaus-laskentataulu'!AR:AR),FALSE),0)</f>
        <v>0.85111877467602348</v>
      </c>
      <c r="F11" s="46">
        <f>IFERROR(VLOOKUP(Vertailu[[#This Row],[Y-tunnus]],'1.2 Ohjaus-laskentataulu'!A:AT,COLUMN('1.2 Ohjaus-laskentataulu'!AO:AO),FALSE)/VLOOKUP(Vertailu[[#This Row],[Y-tunnus]],'1.2 Ohjaus-laskentataulu'!A:AT,COLUMN('1.2 Ohjaus-laskentataulu'!AR:AR),FALSE),0)</f>
        <v>0.85371902214677575</v>
      </c>
      <c r="G11" s="299">
        <f>IFERROR(VLOOKUP(Vertailu[[#This Row],[Y-tunnus]],'1.2 Ohjaus-laskentataulu'!A:AT,COLUMN('1.2 Ohjaus-laskentataulu'!AP:AP),FALSE)/VLOOKUP(Vertailu[[#This Row],[Y-tunnus]],'1.2 Ohjaus-laskentataulu'!A:AT,COLUMN('1.2 Ohjaus-laskentataulu'!AR:AR),FALSE),0)</f>
        <v>0.13300268413145416</v>
      </c>
      <c r="H11" s="22">
        <f>IFERROR(VLOOKUP(Vertailu[[#This Row],[Y-tunnus]],'1.2 Ohjaus-laskentataulu'!A:AT,COLUMN('1.2 Ohjaus-laskentataulu'!AQ:AQ),FALSE)/VLOOKUP(Vertailu[[#This Row],[Y-tunnus]],'1.2 Ohjaus-laskentataulu'!A:AT,COLUMN('1.2 Ohjaus-laskentataulu'!AR:AR),FALSE),0)</f>
        <v>1.3278293721770088E-2</v>
      </c>
      <c r="I11" s="19">
        <f>IFERROR(VLOOKUP(Vertailu[[#This Row],[Y-tunnus]],'1.2 Ohjaus-laskentataulu'!A:AT,COLUMN('1.2 Ohjaus-laskentataulu'!R:R),FALSE)/VLOOKUP(Vertailu[[#This Row],[Y-tunnus]],'1.2 Ohjaus-laskentataulu'!A:AT,COLUMN('1.2 Ohjaus-laskentataulu'!AR:AR),FALSE),0)</f>
        <v>7.9137751698104605E-3</v>
      </c>
      <c r="J11" s="19">
        <f>IFERROR(VLOOKUP(Vertailu[[#This Row],[Y-tunnus]],'1.2 Ohjaus-laskentataulu'!A:AT,COLUMN('1.2 Ohjaus-laskentataulu'!U:U),FALSE)/VLOOKUP(Vertailu[[#This Row],[Y-tunnus]],'1.2 Ohjaus-laskentataulu'!A:AT,COLUMN('1.2 Ohjaus-laskentataulu'!AR:AR),FALSE),0)</f>
        <v>1.2756554066763641E-3</v>
      </c>
      <c r="K11" s="46">
        <f>IFERROR(VLOOKUP(Vertailu[[#This Row],[Y-tunnus]],'1.2 Ohjaus-laskentataulu'!A:AT,COLUMN('1.2 Ohjaus-laskentataulu'!X:X),FALSE)/VLOOKUP(Vertailu[[#This Row],[Y-tunnus]],'1.2 Ohjaus-laskentataulu'!A:AT,COLUMN('1.2 Ohjaus-laskentataulu'!AR:AR),FALSE),0)</f>
        <v>4.0888631452832627E-3</v>
      </c>
      <c r="L11" s="21">
        <f>IFERROR(VLOOKUP(Vertailu[[#This Row],[Y-tunnus]],'3.2 Suoritepäätös 2019'!$A:$S,COLUMN('3.2 Suoritepäätös 2019'!Q:Q),FALSE)-VLOOKUP(Vertailu[[#This Row],[Y-tunnus]],'3.2 Suoritepäätös 2019'!$A:$S,COLUMN('3.2 Suoritepäätös 2019'!L:L),FALSE),0)</f>
        <v>36099764</v>
      </c>
      <c r="M11" s="21">
        <f>IFERROR(VLOOKUP(Vertailu[[#This Row],[Y-tunnus]],'1.2 Ohjaus-laskentataulu'!A:AT,COLUMN('1.2 Ohjaus-laskentataulu'!Z:Z),FALSE),0)</f>
        <v>38357878</v>
      </c>
      <c r="N11" s="21">
        <f>IFERROR(Vertailu[[#This Row],[Rahoitus pl. hark. kor. 2020 ilman alv, €]]-Vertailu[[#This Row],[Rahoitus pl. hark. kor. 2019 ilman alv, €]],0)</f>
        <v>2258114</v>
      </c>
      <c r="O11" s="46">
        <f>IFERROR(Vertailu[[#This Row],[Muutos, € 1]]/Vertailu[[#This Row],[Rahoitus pl. hark. kor. 2019 ilman alv, €]],0)</f>
        <v>6.2552043276515604E-2</v>
      </c>
      <c r="P11" s="217">
        <f>IFERROR(VLOOKUP(Vertailu[[#This Row],[Y-tunnus]],'3.2 Suoritepäätös 2019'!$A:$S,COLUMN('3.2 Suoritepäätös 2019'!Q:Q),FALSE),0)</f>
        <v>36099764</v>
      </c>
      <c r="Q11" s="243">
        <f>IFERROR(VLOOKUP(Vertailu[[#This Row],[Y-tunnus]],'1.2 Ohjaus-laskentataulu'!A:AT,COLUMN('1.2 Ohjaus-laskentataulu'!AR:AR),FALSE),0)</f>
        <v>38457878</v>
      </c>
      <c r="R11" s="21">
        <f>IFERROR(Vertailu[[#This Row],[Rahoitus ml. hark. kor. 
2020 ilman alv, €]]-Vertailu[[#This Row],[Rahoitus ml. hark. kor. 
2019 ilman alv, €]],0)</f>
        <v>2358114</v>
      </c>
      <c r="S11" s="19">
        <f>IFERROR(Vertailu[[#This Row],[Muutos, € 2]]/Vertailu[[#This Row],[Rahoitus ml. hark. kor. 
2019 ilman alv, €]],0)</f>
        <v>6.53221444882576E-2</v>
      </c>
      <c r="T11" s="243">
        <f>IFERROR(VLOOKUP(Vertailu[[#This Row],[Y-tunnus]],'3.2 Suoritepäätös 2019'!$A:$S,COLUMN('3.2 Suoritepäätös 2019'!Q:Q),FALSE)+VLOOKUP(Vertailu[[#This Row],[Y-tunnus]],'3.2 Suoritepäätös 2019'!$A:$S,COLUMN('3.2 Suoritepäätös 2019'!R:R),FALSE),0)</f>
        <v>38099584</v>
      </c>
      <c r="U11" s="217">
        <f>IFERROR(VLOOKUP(Vertailu[[#This Row],[Y-tunnus]],'1.2 Ohjaus-laskentataulu'!A:AT,COLUMN('1.2 Ohjaus-laskentataulu'!AT:AT),FALSE),0)</f>
        <v>40526502</v>
      </c>
      <c r="V11" s="249">
        <f>IFERROR(Vertailu[[#This Row],[Rahoitus ml. hark. kor. + alv 2020, €]]-Vertailu[[#This Row],[Rahoitus ml. hark. kor. + alv 2019, €]],0)</f>
        <v>2426918</v>
      </c>
      <c r="W11" s="46">
        <f>IFERROR(Vertailu[[#This Row],[Muutos, € 3]]/Vertailu[[#This Row],[Rahoitus ml. hark. kor. + alv 2019, €]],0)</f>
        <v>6.3699330680355978E-2</v>
      </c>
    </row>
    <row r="12" spans="1:23" ht="12.75" customHeight="1" x14ac:dyDescent="0.25">
      <c r="A12" s="12" t="s">
        <v>405</v>
      </c>
      <c r="B12" s="297" t="s">
        <v>207</v>
      </c>
      <c r="C12" s="297" t="s">
        <v>238</v>
      </c>
      <c r="D12" s="297" t="s">
        <v>423</v>
      </c>
      <c r="E12" s="22">
        <f>IFERROR(VLOOKUP(Vertailu[[#This Row],[Y-tunnus]],'1.2 Ohjaus-laskentataulu'!A:AT,COLUMN('1.2 Ohjaus-laskentataulu'!L:L),FALSE)/VLOOKUP(Vertailu[[#This Row],[Y-tunnus]],'1.2 Ohjaus-laskentataulu'!A:AT,COLUMN('1.2 Ohjaus-laskentataulu'!AR:AR),FALSE),0)</f>
        <v>0.44110615686254434</v>
      </c>
      <c r="F12" s="46">
        <f>IFERROR(VLOOKUP(Vertailu[[#This Row],[Y-tunnus]],'1.2 Ohjaus-laskentataulu'!A:AT,COLUMN('1.2 Ohjaus-laskentataulu'!AO:AO),FALSE)/VLOOKUP(Vertailu[[#This Row],[Y-tunnus]],'1.2 Ohjaus-laskentataulu'!A:AT,COLUMN('1.2 Ohjaus-laskentataulu'!AR:AR),FALSE),0)</f>
        <v>0.44110615686254434</v>
      </c>
      <c r="G12" s="299">
        <f>IFERROR(VLOOKUP(Vertailu[[#This Row],[Y-tunnus]],'1.2 Ohjaus-laskentataulu'!A:AT,COLUMN('1.2 Ohjaus-laskentataulu'!AP:AP),FALSE)/VLOOKUP(Vertailu[[#This Row],[Y-tunnus]],'1.2 Ohjaus-laskentataulu'!A:AT,COLUMN('1.2 Ohjaus-laskentataulu'!AR:AR),FALSE),0)</f>
        <v>0.22163920215552474</v>
      </c>
      <c r="H12" s="22">
        <f>IFERROR(VLOOKUP(Vertailu[[#This Row],[Y-tunnus]],'1.2 Ohjaus-laskentataulu'!A:AT,COLUMN('1.2 Ohjaus-laskentataulu'!AQ:AQ),FALSE)/VLOOKUP(Vertailu[[#This Row],[Y-tunnus]],'1.2 Ohjaus-laskentataulu'!A:AT,COLUMN('1.2 Ohjaus-laskentataulu'!AR:AR),FALSE),0)</f>
        <v>0.33725464098193092</v>
      </c>
      <c r="I12" s="19">
        <f>IFERROR(VLOOKUP(Vertailu[[#This Row],[Y-tunnus]],'1.2 Ohjaus-laskentataulu'!A:AT,COLUMN('1.2 Ohjaus-laskentataulu'!R:R),FALSE)/VLOOKUP(Vertailu[[#This Row],[Y-tunnus]],'1.2 Ohjaus-laskentataulu'!A:AT,COLUMN('1.2 Ohjaus-laskentataulu'!AR:AR),FALSE),0)</f>
        <v>0.15585064902931425</v>
      </c>
      <c r="J12" s="19">
        <f>IFERROR(VLOOKUP(Vertailu[[#This Row],[Y-tunnus]],'1.2 Ohjaus-laskentataulu'!A:AT,COLUMN('1.2 Ohjaus-laskentataulu'!U:U),FALSE)/VLOOKUP(Vertailu[[#This Row],[Y-tunnus]],'1.2 Ohjaus-laskentataulu'!A:AT,COLUMN('1.2 Ohjaus-laskentataulu'!AR:AR),FALSE),0)</f>
        <v>4.8589745558666894E-2</v>
      </c>
      <c r="K12" s="46">
        <f>IFERROR(VLOOKUP(Vertailu[[#This Row],[Y-tunnus]],'1.2 Ohjaus-laskentataulu'!A:AT,COLUMN('1.2 Ohjaus-laskentataulu'!X:X),FALSE)/VLOOKUP(Vertailu[[#This Row],[Y-tunnus]],'1.2 Ohjaus-laskentataulu'!A:AT,COLUMN('1.2 Ohjaus-laskentataulu'!AR:AR),FALSE),0)</f>
        <v>0.13281424639394979</v>
      </c>
      <c r="L12" s="21">
        <f>IFERROR(VLOOKUP(Vertailu[[#This Row],[Y-tunnus]],'3.2 Suoritepäätös 2019'!$A:$S,COLUMN('3.2 Suoritepäätös 2019'!Q:Q),FALSE)-VLOOKUP(Vertailu[[#This Row],[Y-tunnus]],'3.2 Suoritepäätös 2019'!$A:$S,COLUMN('3.2 Suoritepäätös 2019'!L:L),FALSE),0)</f>
        <v>388948</v>
      </c>
      <c r="M12" s="21">
        <f>IFERROR(VLOOKUP(Vertailu[[#This Row],[Y-tunnus]],'1.2 Ohjaus-laskentataulu'!A:AT,COLUMN('1.2 Ohjaus-laskentataulu'!Z:Z),FALSE),0)</f>
        <v>586029</v>
      </c>
      <c r="N12" s="21">
        <f>IFERROR(Vertailu[[#This Row],[Rahoitus pl. hark. kor. 2020 ilman alv, €]]-Vertailu[[#This Row],[Rahoitus pl. hark. kor. 2019 ilman alv, €]],0)</f>
        <v>197081</v>
      </c>
      <c r="O12" s="46">
        <f>IFERROR(Vertailu[[#This Row],[Muutos, € 1]]/Vertailu[[#This Row],[Rahoitus pl. hark. kor. 2019 ilman alv, €]],0)</f>
        <v>0.50670269547600189</v>
      </c>
      <c r="P12" s="217">
        <f>IFERROR(VLOOKUP(Vertailu[[#This Row],[Y-tunnus]],'3.2 Suoritepäätös 2019'!$A:$S,COLUMN('3.2 Suoritepäätös 2019'!Q:Q),FALSE),0)</f>
        <v>388948</v>
      </c>
      <c r="Q12" s="243">
        <f>IFERROR(VLOOKUP(Vertailu[[#This Row],[Y-tunnus]],'1.2 Ohjaus-laskentataulu'!A:AT,COLUMN('1.2 Ohjaus-laskentataulu'!AR:AR),FALSE),0)</f>
        <v>586029</v>
      </c>
      <c r="R12" s="21">
        <f>IFERROR(Vertailu[[#This Row],[Rahoitus ml. hark. kor. 
2020 ilman alv, €]]-Vertailu[[#This Row],[Rahoitus ml. hark. kor. 
2019 ilman alv, €]],0)</f>
        <v>197081</v>
      </c>
      <c r="S12" s="19">
        <f>IFERROR(Vertailu[[#This Row],[Muutos, € 2]]/Vertailu[[#This Row],[Rahoitus ml. hark. kor. 
2019 ilman alv, €]],0)</f>
        <v>0.50670269547600189</v>
      </c>
      <c r="T12" s="243">
        <f>IFERROR(VLOOKUP(Vertailu[[#This Row],[Y-tunnus]],'3.2 Suoritepäätös 2019'!$A:$S,COLUMN('3.2 Suoritepäätös 2019'!Q:Q),FALSE)+VLOOKUP(Vertailu[[#This Row],[Y-tunnus]],'3.2 Suoritepäätös 2019'!$A:$S,COLUMN('3.2 Suoritepäätös 2019'!R:R),FALSE),0)</f>
        <v>408572</v>
      </c>
      <c r="U12" s="217">
        <f>IFERROR(VLOOKUP(Vertailu[[#This Row],[Y-tunnus]],'1.2 Ohjaus-laskentataulu'!A:AT,COLUMN('1.2 Ohjaus-laskentataulu'!AT:AT),FALSE),0)</f>
        <v>623810</v>
      </c>
      <c r="V12" s="249">
        <f>IFERROR(Vertailu[[#This Row],[Rahoitus ml. hark. kor. + alv 2020, €]]-Vertailu[[#This Row],[Rahoitus ml. hark. kor. + alv 2019, €]],0)</f>
        <v>215238</v>
      </c>
      <c r="W12" s="46">
        <f>IFERROR(Vertailu[[#This Row],[Muutos, € 3]]/Vertailu[[#This Row],[Rahoitus ml. hark. kor. + alv 2019, €]],0)</f>
        <v>0.52680555691530506</v>
      </c>
    </row>
    <row r="13" spans="1:23" ht="12.75" customHeight="1" x14ac:dyDescent="0.25">
      <c r="A13" s="12" t="s">
        <v>404</v>
      </c>
      <c r="B13" s="297" t="s">
        <v>29</v>
      </c>
      <c r="C13" s="297" t="s">
        <v>238</v>
      </c>
      <c r="D13" s="297" t="s">
        <v>423</v>
      </c>
      <c r="E13" s="22">
        <f>IFERROR(VLOOKUP(Vertailu[[#This Row],[Y-tunnus]],'1.2 Ohjaus-laskentataulu'!A:AT,COLUMN('1.2 Ohjaus-laskentataulu'!L:L),FALSE)/VLOOKUP(Vertailu[[#This Row],[Y-tunnus]],'1.2 Ohjaus-laskentataulu'!A:AT,COLUMN('1.2 Ohjaus-laskentataulu'!AR:AR),FALSE),0)</f>
        <v>0.68632035409059788</v>
      </c>
      <c r="F13" s="46">
        <f>IFERROR(VLOOKUP(Vertailu[[#This Row],[Y-tunnus]],'1.2 Ohjaus-laskentataulu'!A:AT,COLUMN('1.2 Ohjaus-laskentataulu'!AO:AO),FALSE)/VLOOKUP(Vertailu[[#This Row],[Y-tunnus]],'1.2 Ohjaus-laskentataulu'!A:AT,COLUMN('1.2 Ohjaus-laskentataulu'!AR:AR),FALSE),0)</f>
        <v>0.68632035409059788</v>
      </c>
      <c r="G13" s="299">
        <f>IFERROR(VLOOKUP(Vertailu[[#This Row],[Y-tunnus]],'1.2 Ohjaus-laskentataulu'!A:AT,COLUMN('1.2 Ohjaus-laskentataulu'!AP:AP),FALSE)/VLOOKUP(Vertailu[[#This Row],[Y-tunnus]],'1.2 Ohjaus-laskentataulu'!A:AT,COLUMN('1.2 Ohjaus-laskentataulu'!AR:AR),FALSE),0)</f>
        <v>0.20928771269623464</v>
      </c>
      <c r="H13" s="22">
        <f>IFERROR(VLOOKUP(Vertailu[[#This Row],[Y-tunnus]],'1.2 Ohjaus-laskentataulu'!A:AT,COLUMN('1.2 Ohjaus-laskentataulu'!AQ:AQ),FALSE)/VLOOKUP(Vertailu[[#This Row],[Y-tunnus]],'1.2 Ohjaus-laskentataulu'!A:AT,COLUMN('1.2 Ohjaus-laskentataulu'!AR:AR),FALSE),0)</f>
        <v>0.10439193321316749</v>
      </c>
      <c r="I13" s="19">
        <f>IFERROR(VLOOKUP(Vertailu[[#This Row],[Y-tunnus]],'1.2 Ohjaus-laskentataulu'!A:AT,COLUMN('1.2 Ohjaus-laskentataulu'!R:R),FALSE)/VLOOKUP(Vertailu[[#This Row],[Y-tunnus]],'1.2 Ohjaus-laskentataulu'!A:AT,COLUMN('1.2 Ohjaus-laskentataulu'!AR:AR),FALSE),0)</f>
        <v>8.404799319865687E-2</v>
      </c>
      <c r="J13" s="19">
        <f>IFERROR(VLOOKUP(Vertailu[[#This Row],[Y-tunnus]],'1.2 Ohjaus-laskentataulu'!A:AT,COLUMN('1.2 Ohjaus-laskentataulu'!U:U),FALSE)/VLOOKUP(Vertailu[[#This Row],[Y-tunnus]],'1.2 Ohjaus-laskentataulu'!A:AT,COLUMN('1.2 Ohjaus-laskentataulu'!AR:AR),FALSE),0)</f>
        <v>6.170663030806536E-3</v>
      </c>
      <c r="K13" s="46">
        <f>IFERROR(VLOOKUP(Vertailu[[#This Row],[Y-tunnus]],'1.2 Ohjaus-laskentataulu'!A:AT,COLUMN('1.2 Ohjaus-laskentataulu'!X:X),FALSE)/VLOOKUP(Vertailu[[#This Row],[Y-tunnus]],'1.2 Ohjaus-laskentataulu'!A:AT,COLUMN('1.2 Ohjaus-laskentataulu'!AR:AR),FALSE),0)</f>
        <v>1.4173276983704082E-2</v>
      </c>
      <c r="L13" s="21">
        <f>IFERROR(VLOOKUP(Vertailu[[#This Row],[Y-tunnus]],'3.2 Suoritepäätös 2019'!$A:$S,COLUMN('3.2 Suoritepäätös 2019'!Q:Q),FALSE)-VLOOKUP(Vertailu[[#This Row],[Y-tunnus]],'3.2 Suoritepäätös 2019'!$A:$S,COLUMN('3.2 Suoritepäätös 2019'!L:L),FALSE),0)</f>
        <v>15741672</v>
      </c>
      <c r="M13" s="21">
        <f>IFERROR(VLOOKUP(Vertailu[[#This Row],[Y-tunnus]],'1.2 Ohjaus-laskentataulu'!A:AT,COLUMN('1.2 Ohjaus-laskentataulu'!Z:Z),FALSE),0)</f>
        <v>15476943</v>
      </c>
      <c r="N13" s="21">
        <f>IFERROR(Vertailu[[#This Row],[Rahoitus pl. hark. kor. 2020 ilman alv, €]]-Vertailu[[#This Row],[Rahoitus pl. hark. kor. 2019 ilman alv, €]],0)</f>
        <v>-264729</v>
      </c>
      <c r="O13" s="46">
        <f>IFERROR(Vertailu[[#This Row],[Muutos, € 1]]/Vertailu[[#This Row],[Rahoitus pl. hark. kor. 2019 ilman alv, €]],0)</f>
        <v>-1.681708270887616E-2</v>
      </c>
      <c r="P13" s="217">
        <f>IFERROR(VLOOKUP(Vertailu[[#This Row],[Y-tunnus]],'3.2 Suoritepäätös 2019'!$A:$S,COLUMN('3.2 Suoritepäätös 2019'!Q:Q),FALSE),0)</f>
        <v>15741672</v>
      </c>
      <c r="Q13" s="243">
        <f>IFERROR(VLOOKUP(Vertailu[[#This Row],[Y-tunnus]],'1.2 Ohjaus-laskentataulu'!A:AT,COLUMN('1.2 Ohjaus-laskentataulu'!AR:AR),FALSE),0)</f>
        <v>15476943</v>
      </c>
      <c r="R13" s="21">
        <f>IFERROR(Vertailu[[#This Row],[Rahoitus ml. hark. kor. 
2020 ilman alv, €]]-Vertailu[[#This Row],[Rahoitus ml. hark. kor. 
2019 ilman alv, €]],0)</f>
        <v>-264729</v>
      </c>
      <c r="S13" s="19">
        <f>IFERROR(Vertailu[[#This Row],[Muutos, € 2]]/Vertailu[[#This Row],[Rahoitus ml. hark. kor. 
2019 ilman alv, €]],0)</f>
        <v>-1.681708270887616E-2</v>
      </c>
      <c r="T13" s="243">
        <f>IFERROR(VLOOKUP(Vertailu[[#This Row],[Y-tunnus]],'3.2 Suoritepäätös 2019'!$A:$S,COLUMN('3.2 Suoritepäätös 2019'!Q:Q),FALSE)+VLOOKUP(Vertailu[[#This Row],[Y-tunnus]],'3.2 Suoritepäätös 2019'!$A:$S,COLUMN('3.2 Suoritepäätös 2019'!R:R),FALSE),0)</f>
        <v>16576127</v>
      </c>
      <c r="U13" s="217">
        <f>IFERROR(VLOOKUP(Vertailu[[#This Row],[Y-tunnus]],'1.2 Ohjaus-laskentataulu'!A:AT,COLUMN('1.2 Ohjaus-laskentataulu'!AT:AT),FALSE),0)</f>
        <v>16604681</v>
      </c>
      <c r="V13" s="249">
        <f>IFERROR(Vertailu[[#This Row],[Rahoitus ml. hark. kor. + alv 2020, €]]-Vertailu[[#This Row],[Rahoitus ml. hark. kor. + alv 2019, €]],0)</f>
        <v>28554</v>
      </c>
      <c r="W13" s="46">
        <f>IFERROR(Vertailu[[#This Row],[Muutos, € 3]]/Vertailu[[#This Row],[Rahoitus ml. hark. kor. + alv 2019, €]],0)</f>
        <v>1.7225978058686448E-3</v>
      </c>
    </row>
    <row r="14" spans="1:23" ht="12.75" customHeight="1" x14ac:dyDescent="0.25">
      <c r="A14" s="12" t="s">
        <v>239</v>
      </c>
      <c r="B14" s="297" t="s">
        <v>208</v>
      </c>
      <c r="C14" s="297" t="s">
        <v>238</v>
      </c>
      <c r="D14" s="297" t="s">
        <v>423</v>
      </c>
      <c r="E14" s="22">
        <f>IFERROR(VLOOKUP(Vertailu[[#This Row],[Y-tunnus]],'1.2 Ohjaus-laskentataulu'!A:AT,COLUMN('1.2 Ohjaus-laskentataulu'!L:L),FALSE)/VLOOKUP(Vertailu[[#This Row],[Y-tunnus]],'1.2 Ohjaus-laskentataulu'!A:AT,COLUMN('1.2 Ohjaus-laskentataulu'!AR:AR),FALSE),0)</f>
        <v>0.62785824361260423</v>
      </c>
      <c r="F14" s="46">
        <f>IFERROR(VLOOKUP(Vertailu[[#This Row],[Y-tunnus]],'1.2 Ohjaus-laskentataulu'!A:AT,COLUMN('1.2 Ohjaus-laskentataulu'!AO:AO),FALSE)/VLOOKUP(Vertailu[[#This Row],[Y-tunnus]],'1.2 Ohjaus-laskentataulu'!A:AT,COLUMN('1.2 Ohjaus-laskentataulu'!AR:AR),FALSE),0)</f>
        <v>0.63170310188939793</v>
      </c>
      <c r="G14" s="299">
        <f>IFERROR(VLOOKUP(Vertailu[[#This Row],[Y-tunnus]],'1.2 Ohjaus-laskentataulu'!A:AT,COLUMN('1.2 Ohjaus-laskentataulu'!AP:AP),FALSE)/VLOOKUP(Vertailu[[#This Row],[Y-tunnus]],'1.2 Ohjaus-laskentataulu'!A:AT,COLUMN('1.2 Ohjaus-laskentataulu'!AR:AR),FALSE),0)</f>
        <v>0.23213228034968678</v>
      </c>
      <c r="H14" s="22">
        <f>IFERROR(VLOOKUP(Vertailu[[#This Row],[Y-tunnus]],'1.2 Ohjaus-laskentataulu'!A:AT,COLUMN('1.2 Ohjaus-laskentataulu'!AQ:AQ),FALSE)/VLOOKUP(Vertailu[[#This Row],[Y-tunnus]],'1.2 Ohjaus-laskentataulu'!A:AT,COLUMN('1.2 Ohjaus-laskentataulu'!AR:AR),FALSE),0)</f>
        <v>0.13616461776091526</v>
      </c>
      <c r="I14" s="19">
        <f>IFERROR(VLOOKUP(Vertailu[[#This Row],[Y-tunnus]],'1.2 Ohjaus-laskentataulu'!A:AT,COLUMN('1.2 Ohjaus-laskentataulu'!R:R),FALSE)/VLOOKUP(Vertailu[[#This Row],[Y-tunnus]],'1.2 Ohjaus-laskentataulu'!A:AT,COLUMN('1.2 Ohjaus-laskentataulu'!AR:AR),FALSE),0)</f>
        <v>8.2560257291764111E-2</v>
      </c>
      <c r="J14" s="19">
        <f>IFERROR(VLOOKUP(Vertailu[[#This Row],[Y-tunnus]],'1.2 Ohjaus-laskentataulu'!A:AT,COLUMN('1.2 Ohjaus-laskentataulu'!U:U),FALSE)/VLOOKUP(Vertailu[[#This Row],[Y-tunnus]],'1.2 Ohjaus-laskentataulu'!A:AT,COLUMN('1.2 Ohjaus-laskentataulu'!AR:AR),FALSE),0)</f>
        <v>1.1906526420078219E-2</v>
      </c>
      <c r="K14" s="46">
        <f>IFERROR(VLOOKUP(Vertailu[[#This Row],[Y-tunnus]],'1.2 Ohjaus-laskentataulu'!A:AT,COLUMN('1.2 Ohjaus-laskentataulu'!X:X),FALSE)/VLOOKUP(Vertailu[[#This Row],[Y-tunnus]],'1.2 Ohjaus-laskentataulu'!A:AT,COLUMN('1.2 Ohjaus-laskentataulu'!AR:AR),FALSE),0)</f>
        <v>4.1697834049072922E-2</v>
      </c>
      <c r="L14" s="21">
        <f>IFERROR(VLOOKUP(Vertailu[[#This Row],[Y-tunnus]],'3.2 Suoritepäätös 2019'!$A:$S,COLUMN('3.2 Suoritepäätös 2019'!Q:Q),FALSE)-VLOOKUP(Vertailu[[#This Row],[Y-tunnus]],'3.2 Suoritepäätös 2019'!$A:$S,COLUMN('3.2 Suoritepäätös 2019'!L:L),FALSE),0)</f>
        <v>23062806</v>
      </c>
      <c r="M14" s="21">
        <f>IFERROR(VLOOKUP(Vertailu[[#This Row],[Y-tunnus]],'1.2 Ohjaus-laskentataulu'!A:AT,COLUMN('1.2 Ohjaus-laskentataulu'!Z:Z),FALSE),0)</f>
        <v>25908761</v>
      </c>
      <c r="N14" s="21">
        <f>IFERROR(Vertailu[[#This Row],[Rahoitus pl. hark. kor. 2020 ilman alv, €]]-Vertailu[[#This Row],[Rahoitus pl. hark. kor. 2019 ilman alv, €]],0)</f>
        <v>2845955</v>
      </c>
      <c r="O14" s="46">
        <f>IFERROR(Vertailu[[#This Row],[Muutos, € 1]]/Vertailu[[#This Row],[Rahoitus pl. hark. kor. 2019 ilman alv, €]],0)</f>
        <v>0.12340020550838436</v>
      </c>
      <c r="P14" s="217">
        <f>IFERROR(VLOOKUP(Vertailu[[#This Row],[Y-tunnus]],'3.2 Suoritepäätös 2019'!$A:$S,COLUMN('3.2 Suoritepäätös 2019'!Q:Q),FALSE),0)</f>
        <v>23062806</v>
      </c>
      <c r="Q14" s="243">
        <f>IFERROR(VLOOKUP(Vertailu[[#This Row],[Y-tunnus]],'1.2 Ohjaus-laskentataulu'!A:AT,COLUMN('1.2 Ohjaus-laskentataulu'!AR:AR),FALSE),0)</f>
        <v>26008761</v>
      </c>
      <c r="R14" s="21">
        <f>IFERROR(Vertailu[[#This Row],[Rahoitus ml. hark. kor. 
2020 ilman alv, €]]-Vertailu[[#This Row],[Rahoitus ml. hark. kor. 
2019 ilman alv, €]],0)</f>
        <v>2945955</v>
      </c>
      <c r="S14" s="19">
        <f>IFERROR(Vertailu[[#This Row],[Muutos, € 2]]/Vertailu[[#This Row],[Rahoitus ml. hark. kor. 
2019 ilman alv, €]],0)</f>
        <v>0.12773619133768893</v>
      </c>
      <c r="T14" s="243">
        <f>IFERROR(VLOOKUP(Vertailu[[#This Row],[Y-tunnus]],'3.2 Suoritepäätös 2019'!$A:$S,COLUMN('3.2 Suoritepäätös 2019'!Q:Q),FALSE)+VLOOKUP(Vertailu[[#This Row],[Y-tunnus]],'3.2 Suoritepäätös 2019'!$A:$S,COLUMN('3.2 Suoritepäätös 2019'!R:R),FALSE),0)</f>
        <v>24289925</v>
      </c>
      <c r="U14" s="217">
        <f>IFERROR(VLOOKUP(Vertailu[[#This Row],[Y-tunnus]],'1.2 Ohjaus-laskentataulu'!A:AT,COLUMN('1.2 Ohjaus-laskentataulu'!AT:AT),FALSE),0)</f>
        <v>27423745</v>
      </c>
      <c r="V14" s="249">
        <f>IFERROR(Vertailu[[#This Row],[Rahoitus ml. hark. kor. + alv 2020, €]]-Vertailu[[#This Row],[Rahoitus ml. hark. kor. + alv 2019, €]],0)</f>
        <v>3133820</v>
      </c>
      <c r="W14" s="46">
        <f>IFERROR(Vertailu[[#This Row],[Muutos, € 3]]/Vertailu[[#This Row],[Rahoitus ml. hark. kor. + alv 2019, €]],0)</f>
        <v>0.12901727773963897</v>
      </c>
    </row>
    <row r="15" spans="1:23" ht="12.75" customHeight="1" x14ac:dyDescent="0.25">
      <c r="A15" s="12" t="s">
        <v>402</v>
      </c>
      <c r="B15" s="297" t="s">
        <v>30</v>
      </c>
      <c r="C15" s="297" t="s">
        <v>238</v>
      </c>
      <c r="D15" s="297" t="s">
        <v>423</v>
      </c>
      <c r="E15" s="22">
        <f>IFERROR(VLOOKUP(Vertailu[[#This Row],[Y-tunnus]],'1.2 Ohjaus-laskentataulu'!A:AT,COLUMN('1.2 Ohjaus-laskentataulu'!L:L),FALSE)/VLOOKUP(Vertailu[[#This Row],[Y-tunnus]],'1.2 Ohjaus-laskentataulu'!A:AT,COLUMN('1.2 Ohjaus-laskentataulu'!AR:AR),FALSE),0)</f>
        <v>0.49846208148446952</v>
      </c>
      <c r="F15" s="46">
        <f>IFERROR(VLOOKUP(Vertailu[[#This Row],[Y-tunnus]],'1.2 Ohjaus-laskentataulu'!A:AT,COLUMN('1.2 Ohjaus-laskentataulu'!AO:AO),FALSE)/VLOOKUP(Vertailu[[#This Row],[Y-tunnus]],'1.2 Ohjaus-laskentataulu'!A:AT,COLUMN('1.2 Ohjaus-laskentataulu'!AR:AR),FALSE),0)</f>
        <v>0.49846208148446952</v>
      </c>
      <c r="G15" s="299">
        <f>IFERROR(VLOOKUP(Vertailu[[#This Row],[Y-tunnus]],'1.2 Ohjaus-laskentataulu'!A:AT,COLUMN('1.2 Ohjaus-laskentataulu'!AP:AP),FALSE)/VLOOKUP(Vertailu[[#This Row],[Y-tunnus]],'1.2 Ohjaus-laskentataulu'!A:AT,COLUMN('1.2 Ohjaus-laskentataulu'!AR:AR),FALSE),0)</f>
        <v>0.2070139169019766</v>
      </c>
      <c r="H15" s="22">
        <f>IFERROR(VLOOKUP(Vertailu[[#This Row],[Y-tunnus]],'1.2 Ohjaus-laskentataulu'!A:AT,COLUMN('1.2 Ohjaus-laskentataulu'!AQ:AQ),FALSE)/VLOOKUP(Vertailu[[#This Row],[Y-tunnus]],'1.2 Ohjaus-laskentataulu'!A:AT,COLUMN('1.2 Ohjaus-laskentataulu'!AR:AR),FALSE),0)</f>
        <v>0.29452400161355385</v>
      </c>
      <c r="I15" s="19">
        <f>IFERROR(VLOOKUP(Vertailu[[#This Row],[Y-tunnus]],'1.2 Ohjaus-laskentataulu'!A:AT,COLUMN('1.2 Ohjaus-laskentataulu'!R:R),FALSE)/VLOOKUP(Vertailu[[#This Row],[Y-tunnus]],'1.2 Ohjaus-laskentataulu'!A:AT,COLUMN('1.2 Ohjaus-laskentataulu'!AR:AR),FALSE),0)</f>
        <v>0</v>
      </c>
      <c r="J15" s="19">
        <f>IFERROR(VLOOKUP(Vertailu[[#This Row],[Y-tunnus]],'1.2 Ohjaus-laskentataulu'!A:AT,COLUMN('1.2 Ohjaus-laskentataulu'!U:U),FALSE)/VLOOKUP(Vertailu[[#This Row],[Y-tunnus]],'1.2 Ohjaus-laskentataulu'!A:AT,COLUMN('1.2 Ohjaus-laskentataulu'!AR:AR),FALSE),0)</f>
        <v>7.7047196450181529E-2</v>
      </c>
      <c r="K15" s="46">
        <f>IFERROR(VLOOKUP(Vertailu[[#This Row],[Y-tunnus]],'1.2 Ohjaus-laskentataulu'!A:AT,COLUMN('1.2 Ohjaus-laskentataulu'!X:X),FALSE)/VLOOKUP(Vertailu[[#This Row],[Y-tunnus]],'1.2 Ohjaus-laskentataulu'!A:AT,COLUMN('1.2 Ohjaus-laskentataulu'!AR:AR),FALSE),0)</f>
        <v>0.21747680516337234</v>
      </c>
      <c r="L15" s="21">
        <f>IFERROR(VLOOKUP(Vertailu[[#This Row],[Y-tunnus]],'3.2 Suoritepäätös 2019'!$A:$S,COLUMN('3.2 Suoritepäätös 2019'!Q:Q),FALSE)-VLOOKUP(Vertailu[[#This Row],[Y-tunnus]],'3.2 Suoritepäätös 2019'!$A:$S,COLUMN('3.2 Suoritepäätös 2019'!L:L),FALSE),0)</f>
        <v>81755</v>
      </c>
      <c r="M15" s="21">
        <f>IFERROR(VLOOKUP(Vertailu[[#This Row],[Y-tunnus]],'1.2 Ohjaus-laskentataulu'!A:AT,COLUMN('1.2 Ohjaus-laskentataulu'!Z:Z),FALSE),0)</f>
        <v>79328</v>
      </c>
      <c r="N15" s="21">
        <f>IFERROR(Vertailu[[#This Row],[Rahoitus pl. hark. kor. 2020 ilman alv, €]]-Vertailu[[#This Row],[Rahoitus pl. hark. kor. 2019 ilman alv, €]],0)</f>
        <v>-2427</v>
      </c>
      <c r="O15" s="46">
        <f>IFERROR(Vertailu[[#This Row],[Muutos, € 1]]/Vertailu[[#This Row],[Rahoitus pl. hark. kor. 2019 ilman alv, €]],0)</f>
        <v>-2.968625772124029E-2</v>
      </c>
      <c r="P15" s="217">
        <f>IFERROR(VLOOKUP(Vertailu[[#This Row],[Y-tunnus]],'3.2 Suoritepäätös 2019'!$A:$S,COLUMN('3.2 Suoritepäätös 2019'!Q:Q),FALSE),0)</f>
        <v>81755</v>
      </c>
      <c r="Q15" s="243">
        <f>IFERROR(VLOOKUP(Vertailu[[#This Row],[Y-tunnus]],'1.2 Ohjaus-laskentataulu'!A:AT,COLUMN('1.2 Ohjaus-laskentataulu'!AR:AR),FALSE),0)</f>
        <v>79328</v>
      </c>
      <c r="R15" s="21">
        <f>IFERROR(Vertailu[[#This Row],[Rahoitus ml. hark. kor. 
2020 ilman alv, €]]-Vertailu[[#This Row],[Rahoitus ml. hark. kor. 
2019 ilman alv, €]],0)</f>
        <v>-2427</v>
      </c>
      <c r="S15" s="19">
        <f>IFERROR(Vertailu[[#This Row],[Muutos, € 2]]/Vertailu[[#This Row],[Rahoitus ml. hark. kor. 
2019 ilman alv, €]],0)</f>
        <v>-2.968625772124029E-2</v>
      </c>
      <c r="T15" s="243">
        <f>IFERROR(VLOOKUP(Vertailu[[#This Row],[Y-tunnus]],'3.2 Suoritepäätös 2019'!$A:$S,COLUMN('3.2 Suoritepäätös 2019'!Q:Q),FALSE)+VLOOKUP(Vertailu[[#This Row],[Y-tunnus]],'3.2 Suoritepäätös 2019'!$A:$S,COLUMN('3.2 Suoritepäätös 2019'!R:R),FALSE),0)</f>
        <v>86329</v>
      </c>
      <c r="U15" s="217">
        <f>IFERROR(VLOOKUP(Vertailu[[#This Row],[Y-tunnus]],'1.2 Ohjaus-laskentataulu'!A:AT,COLUMN('1.2 Ohjaus-laskentataulu'!AT:AT),FALSE),0)</f>
        <v>79328</v>
      </c>
      <c r="V15" s="249">
        <f>IFERROR(Vertailu[[#This Row],[Rahoitus ml. hark. kor. + alv 2020, €]]-Vertailu[[#This Row],[Rahoitus ml. hark. kor. + alv 2019, €]],0)</f>
        <v>-7001</v>
      </c>
      <c r="W15" s="46">
        <f>IFERROR(Vertailu[[#This Row],[Muutos, € 3]]/Vertailu[[#This Row],[Rahoitus ml. hark. kor. + alv 2019, €]],0)</f>
        <v>-8.1096734585133612E-2</v>
      </c>
    </row>
    <row r="16" spans="1:23" ht="12.75" customHeight="1" x14ac:dyDescent="0.25">
      <c r="A16" s="12" t="s">
        <v>401</v>
      </c>
      <c r="B16" s="297" t="s">
        <v>31</v>
      </c>
      <c r="C16" s="297" t="s">
        <v>238</v>
      </c>
      <c r="D16" s="297" t="s">
        <v>422</v>
      </c>
      <c r="E16" s="22">
        <f>IFERROR(VLOOKUP(Vertailu[[#This Row],[Y-tunnus]],'1.2 Ohjaus-laskentataulu'!A:AT,COLUMN('1.2 Ohjaus-laskentataulu'!L:L),FALSE)/VLOOKUP(Vertailu[[#This Row],[Y-tunnus]],'1.2 Ohjaus-laskentataulu'!A:AT,COLUMN('1.2 Ohjaus-laskentataulu'!AR:AR),FALSE),0)</f>
        <v>0.6519389511447834</v>
      </c>
      <c r="F16" s="46">
        <f>IFERROR(VLOOKUP(Vertailu[[#This Row],[Y-tunnus]],'1.2 Ohjaus-laskentataulu'!A:AT,COLUMN('1.2 Ohjaus-laskentataulu'!AO:AO),FALSE)/VLOOKUP(Vertailu[[#This Row],[Y-tunnus]],'1.2 Ohjaus-laskentataulu'!A:AT,COLUMN('1.2 Ohjaus-laskentataulu'!AR:AR),FALSE),0)</f>
        <v>0.65552393467306447</v>
      </c>
      <c r="G16" s="299">
        <f>IFERROR(VLOOKUP(Vertailu[[#This Row],[Y-tunnus]],'1.2 Ohjaus-laskentataulu'!A:AT,COLUMN('1.2 Ohjaus-laskentataulu'!AP:AP),FALSE)/VLOOKUP(Vertailu[[#This Row],[Y-tunnus]],'1.2 Ohjaus-laskentataulu'!A:AT,COLUMN('1.2 Ohjaus-laskentataulu'!AR:AR),FALSE),0)</f>
        <v>0.2326674966188057</v>
      </c>
      <c r="H16" s="22">
        <f>IFERROR(VLOOKUP(Vertailu[[#This Row],[Y-tunnus]],'1.2 Ohjaus-laskentataulu'!A:AT,COLUMN('1.2 Ohjaus-laskentataulu'!AQ:AQ),FALSE)/VLOOKUP(Vertailu[[#This Row],[Y-tunnus]],'1.2 Ohjaus-laskentataulu'!A:AT,COLUMN('1.2 Ohjaus-laskentataulu'!AR:AR),FALSE),0)</f>
        <v>0.11180856870812984</v>
      </c>
      <c r="I16" s="19">
        <f>IFERROR(VLOOKUP(Vertailu[[#This Row],[Y-tunnus]],'1.2 Ohjaus-laskentataulu'!A:AT,COLUMN('1.2 Ohjaus-laskentataulu'!R:R),FALSE)/VLOOKUP(Vertailu[[#This Row],[Y-tunnus]],'1.2 Ohjaus-laskentataulu'!A:AT,COLUMN('1.2 Ohjaus-laskentataulu'!AR:AR),FALSE),0)</f>
        <v>9.3179509087719853E-2</v>
      </c>
      <c r="J16" s="19">
        <f>IFERROR(VLOOKUP(Vertailu[[#This Row],[Y-tunnus]],'1.2 Ohjaus-laskentataulu'!A:AT,COLUMN('1.2 Ohjaus-laskentataulu'!U:U),FALSE)/VLOOKUP(Vertailu[[#This Row],[Y-tunnus]],'1.2 Ohjaus-laskentataulu'!A:AT,COLUMN('1.2 Ohjaus-laskentataulu'!AR:AR),FALSE),0)</f>
        <v>7.235930753482449E-3</v>
      </c>
      <c r="K16" s="46">
        <f>IFERROR(VLOOKUP(Vertailu[[#This Row],[Y-tunnus]],'1.2 Ohjaus-laskentataulu'!A:AT,COLUMN('1.2 Ohjaus-laskentataulu'!X:X),FALSE)/VLOOKUP(Vertailu[[#This Row],[Y-tunnus]],'1.2 Ohjaus-laskentataulu'!A:AT,COLUMN('1.2 Ohjaus-laskentataulu'!AR:AR),FALSE),0)</f>
        <v>1.1393128866927546E-2</v>
      </c>
      <c r="L16" s="21">
        <f>IFERROR(VLOOKUP(Vertailu[[#This Row],[Y-tunnus]],'3.2 Suoritepäätös 2019'!$A:$S,COLUMN('3.2 Suoritepäätös 2019'!Q:Q),FALSE)-VLOOKUP(Vertailu[[#This Row],[Y-tunnus]],'3.2 Suoritepäätös 2019'!$A:$S,COLUMN('3.2 Suoritepäätös 2019'!L:L),FALSE),0)</f>
        <v>55217946</v>
      </c>
      <c r="M16" s="21">
        <f>IFERROR(VLOOKUP(Vertailu[[#This Row],[Y-tunnus]],'1.2 Ohjaus-laskentataulu'!A:AT,COLUMN('1.2 Ohjaus-laskentataulu'!Z:Z),FALSE),0)</f>
        <v>58367675</v>
      </c>
      <c r="N16" s="21">
        <f>IFERROR(Vertailu[[#This Row],[Rahoitus pl. hark. kor. 2020 ilman alv, €]]-Vertailu[[#This Row],[Rahoitus pl. hark. kor. 2019 ilman alv, €]],0)</f>
        <v>3149729</v>
      </c>
      <c r="O16" s="46">
        <f>IFERROR(Vertailu[[#This Row],[Muutos, € 1]]/Vertailu[[#This Row],[Rahoitus pl. hark. kor. 2019 ilman alv, €]],0)</f>
        <v>5.7041763197783563E-2</v>
      </c>
      <c r="P16" s="217">
        <f>IFERROR(VLOOKUP(Vertailu[[#This Row],[Y-tunnus]],'3.2 Suoritepäätös 2019'!$A:$S,COLUMN('3.2 Suoritepäätös 2019'!Q:Q),FALSE),0)</f>
        <v>55217946</v>
      </c>
      <c r="Q16" s="243">
        <f>IFERROR(VLOOKUP(Vertailu[[#This Row],[Y-tunnus]],'1.2 Ohjaus-laskentataulu'!A:AT,COLUMN('1.2 Ohjaus-laskentataulu'!AR:AR),FALSE),0)</f>
        <v>58577675</v>
      </c>
      <c r="R16" s="21">
        <f>IFERROR(Vertailu[[#This Row],[Rahoitus ml. hark. kor. 
2020 ilman alv, €]]-Vertailu[[#This Row],[Rahoitus ml. hark. kor. 
2019 ilman alv, €]],0)</f>
        <v>3359729</v>
      </c>
      <c r="S16" s="19">
        <f>IFERROR(Vertailu[[#This Row],[Muutos, € 2]]/Vertailu[[#This Row],[Rahoitus ml. hark. kor. 
2019 ilman alv, €]],0)</f>
        <v>6.0844874599283359E-2</v>
      </c>
      <c r="T16" s="243">
        <f>IFERROR(VLOOKUP(Vertailu[[#This Row],[Y-tunnus]],'3.2 Suoritepäätös 2019'!$A:$S,COLUMN('3.2 Suoritepäätös 2019'!Q:Q),FALSE)+VLOOKUP(Vertailu[[#This Row],[Y-tunnus]],'3.2 Suoritepäätös 2019'!$A:$S,COLUMN('3.2 Suoritepäätös 2019'!R:R),FALSE),0)</f>
        <v>55217946</v>
      </c>
      <c r="U16" s="217">
        <f>IFERROR(VLOOKUP(Vertailu[[#This Row],[Y-tunnus]],'1.2 Ohjaus-laskentataulu'!A:AT,COLUMN('1.2 Ohjaus-laskentataulu'!AT:AT),FALSE),0)</f>
        <v>58577675</v>
      </c>
      <c r="V16" s="249">
        <f>IFERROR(Vertailu[[#This Row],[Rahoitus ml. hark. kor. + alv 2020, €]]-Vertailu[[#This Row],[Rahoitus ml. hark. kor. + alv 2019, €]],0)</f>
        <v>3359729</v>
      </c>
      <c r="W16" s="46">
        <f>IFERROR(Vertailu[[#This Row],[Muutos, € 3]]/Vertailu[[#This Row],[Rahoitus ml. hark. kor. + alv 2019, €]],0)</f>
        <v>6.0844874599283359E-2</v>
      </c>
    </row>
    <row r="17" spans="1:23" ht="12.75" customHeight="1" x14ac:dyDescent="0.25">
      <c r="A17" s="12" t="s">
        <v>400</v>
      </c>
      <c r="B17" s="297" t="s">
        <v>32</v>
      </c>
      <c r="C17" s="297" t="s">
        <v>399</v>
      </c>
      <c r="D17" s="297" t="s">
        <v>422</v>
      </c>
      <c r="E17" s="22">
        <f>IFERROR(VLOOKUP(Vertailu[[#This Row],[Y-tunnus]],'1.2 Ohjaus-laskentataulu'!A:AT,COLUMN('1.2 Ohjaus-laskentataulu'!L:L),FALSE)/VLOOKUP(Vertailu[[#This Row],[Y-tunnus]],'1.2 Ohjaus-laskentataulu'!A:AT,COLUMN('1.2 Ohjaus-laskentataulu'!AR:AR),FALSE),0)</f>
        <v>0.65019811813425676</v>
      </c>
      <c r="F17" s="46">
        <f>IFERROR(VLOOKUP(Vertailu[[#This Row],[Y-tunnus]],'1.2 Ohjaus-laskentataulu'!A:AT,COLUMN('1.2 Ohjaus-laskentataulu'!AO:AO),FALSE)/VLOOKUP(Vertailu[[#This Row],[Y-tunnus]],'1.2 Ohjaus-laskentataulu'!A:AT,COLUMN('1.2 Ohjaus-laskentataulu'!AR:AR),FALSE),0)</f>
        <v>0.65361854792357332</v>
      </c>
      <c r="G17" s="299">
        <f>IFERROR(VLOOKUP(Vertailu[[#This Row],[Y-tunnus]],'1.2 Ohjaus-laskentataulu'!A:AT,COLUMN('1.2 Ohjaus-laskentataulu'!AP:AP),FALSE)/VLOOKUP(Vertailu[[#This Row],[Y-tunnus]],'1.2 Ohjaus-laskentataulu'!A:AT,COLUMN('1.2 Ohjaus-laskentataulu'!AR:AR),FALSE),0)</f>
        <v>0.22121188426962127</v>
      </c>
      <c r="H17" s="22">
        <f>IFERROR(VLOOKUP(Vertailu[[#This Row],[Y-tunnus]],'1.2 Ohjaus-laskentataulu'!A:AT,COLUMN('1.2 Ohjaus-laskentataulu'!AQ:AQ),FALSE)/VLOOKUP(Vertailu[[#This Row],[Y-tunnus]],'1.2 Ohjaus-laskentataulu'!A:AT,COLUMN('1.2 Ohjaus-laskentataulu'!AR:AR),FALSE),0)</f>
        <v>0.12516956780680538</v>
      </c>
      <c r="I17" s="19">
        <f>IFERROR(VLOOKUP(Vertailu[[#This Row],[Y-tunnus]],'1.2 Ohjaus-laskentataulu'!A:AT,COLUMN('1.2 Ohjaus-laskentataulu'!R:R),FALSE)/VLOOKUP(Vertailu[[#This Row],[Y-tunnus]],'1.2 Ohjaus-laskentataulu'!A:AT,COLUMN('1.2 Ohjaus-laskentataulu'!AR:AR),FALSE),0)</f>
        <v>8.6308594185570353E-2</v>
      </c>
      <c r="J17" s="19">
        <f>IFERROR(VLOOKUP(Vertailu[[#This Row],[Y-tunnus]],'1.2 Ohjaus-laskentataulu'!A:AT,COLUMN('1.2 Ohjaus-laskentataulu'!U:U),FALSE)/VLOOKUP(Vertailu[[#This Row],[Y-tunnus]],'1.2 Ohjaus-laskentataulu'!A:AT,COLUMN('1.2 Ohjaus-laskentataulu'!AR:AR),FALSE),0)</f>
        <v>8.7910860316077807E-3</v>
      </c>
      <c r="K17" s="46">
        <f>IFERROR(VLOOKUP(Vertailu[[#This Row],[Y-tunnus]],'1.2 Ohjaus-laskentataulu'!A:AT,COLUMN('1.2 Ohjaus-laskentataulu'!X:X),FALSE)/VLOOKUP(Vertailu[[#This Row],[Y-tunnus]],'1.2 Ohjaus-laskentataulu'!A:AT,COLUMN('1.2 Ohjaus-laskentataulu'!AR:AR),FALSE),0)</f>
        <v>3.0069887589627232E-2</v>
      </c>
      <c r="L17" s="21">
        <f>IFERROR(VLOOKUP(Vertailu[[#This Row],[Y-tunnus]],'3.2 Suoritepäätös 2019'!$A:$S,COLUMN('3.2 Suoritepäätös 2019'!Q:Q),FALSE)-VLOOKUP(Vertailu[[#This Row],[Y-tunnus]],'3.2 Suoritepäätös 2019'!$A:$S,COLUMN('3.2 Suoritepäätös 2019'!L:L),FALSE),0)</f>
        <v>28730507</v>
      </c>
      <c r="M17" s="21">
        <f>IFERROR(VLOOKUP(Vertailu[[#This Row],[Y-tunnus]],'1.2 Ohjaus-laskentataulu'!A:AT,COLUMN('1.2 Ohjaus-laskentataulu'!Z:Z),FALSE),0)</f>
        <v>29136092</v>
      </c>
      <c r="N17" s="21">
        <f>IFERROR(Vertailu[[#This Row],[Rahoitus pl. hark. kor. 2020 ilman alv, €]]-Vertailu[[#This Row],[Rahoitus pl. hark. kor. 2019 ilman alv, €]],0)</f>
        <v>405585</v>
      </c>
      <c r="O17" s="46">
        <f>IFERROR(Vertailu[[#This Row],[Muutos, € 1]]/Vertailu[[#This Row],[Rahoitus pl. hark. kor. 2019 ilman alv, €]],0)</f>
        <v>1.4116875835153204E-2</v>
      </c>
      <c r="P17" s="217">
        <f>IFERROR(VLOOKUP(Vertailu[[#This Row],[Y-tunnus]],'3.2 Suoritepäätös 2019'!$A:$S,COLUMN('3.2 Suoritepäätös 2019'!Q:Q),FALSE),0)</f>
        <v>29180507</v>
      </c>
      <c r="Q17" s="243">
        <f>IFERROR(VLOOKUP(Vertailu[[#This Row],[Y-tunnus]],'1.2 Ohjaus-laskentataulu'!A:AT,COLUMN('1.2 Ohjaus-laskentataulu'!AR:AR),FALSE),0)</f>
        <v>29236092</v>
      </c>
      <c r="R17" s="21">
        <f>IFERROR(Vertailu[[#This Row],[Rahoitus ml. hark. kor. 
2020 ilman alv, €]]-Vertailu[[#This Row],[Rahoitus ml. hark. kor. 
2019 ilman alv, €]],0)</f>
        <v>55585</v>
      </c>
      <c r="S17" s="19">
        <f>IFERROR(Vertailu[[#This Row],[Muutos, € 2]]/Vertailu[[#This Row],[Rahoitus ml. hark. kor. 
2019 ilman alv, €]],0)</f>
        <v>1.9048675199509041E-3</v>
      </c>
      <c r="T17" s="243">
        <f>IFERROR(VLOOKUP(Vertailu[[#This Row],[Y-tunnus]],'3.2 Suoritepäätös 2019'!$A:$S,COLUMN('3.2 Suoritepäätös 2019'!Q:Q),FALSE)+VLOOKUP(Vertailu[[#This Row],[Y-tunnus]],'3.2 Suoritepäätös 2019'!$A:$S,COLUMN('3.2 Suoritepäätös 2019'!R:R),FALSE),0)</f>
        <v>29180507</v>
      </c>
      <c r="U17" s="217">
        <f>IFERROR(VLOOKUP(Vertailu[[#This Row],[Y-tunnus]],'1.2 Ohjaus-laskentataulu'!A:AT,COLUMN('1.2 Ohjaus-laskentataulu'!AT:AT),FALSE),0)</f>
        <v>29236092</v>
      </c>
      <c r="V17" s="249">
        <f>IFERROR(Vertailu[[#This Row],[Rahoitus ml. hark. kor. + alv 2020, €]]-Vertailu[[#This Row],[Rahoitus ml. hark. kor. + alv 2019, €]],0)</f>
        <v>55585</v>
      </c>
      <c r="W17" s="46">
        <f>IFERROR(Vertailu[[#This Row],[Muutos, € 3]]/Vertailu[[#This Row],[Rahoitus ml. hark. kor. + alv 2019, €]],0)</f>
        <v>1.9048675199509041E-3</v>
      </c>
    </row>
    <row r="18" spans="1:23" ht="12.75" customHeight="1" x14ac:dyDescent="0.25">
      <c r="A18" s="12" t="s">
        <v>398</v>
      </c>
      <c r="B18" s="297" t="s">
        <v>33</v>
      </c>
      <c r="C18" s="297" t="s">
        <v>272</v>
      </c>
      <c r="D18" s="297" t="s">
        <v>423</v>
      </c>
      <c r="E18" s="22">
        <f>IFERROR(VLOOKUP(Vertailu[[#This Row],[Y-tunnus]],'1.2 Ohjaus-laskentataulu'!A:AT,COLUMN('1.2 Ohjaus-laskentataulu'!L:L),FALSE)/VLOOKUP(Vertailu[[#This Row],[Y-tunnus]],'1.2 Ohjaus-laskentataulu'!A:AT,COLUMN('1.2 Ohjaus-laskentataulu'!AR:AR),FALSE),0)</f>
        <v>0.67089890582265588</v>
      </c>
      <c r="F18" s="46">
        <f>IFERROR(VLOOKUP(Vertailu[[#This Row],[Y-tunnus]],'1.2 Ohjaus-laskentataulu'!A:AT,COLUMN('1.2 Ohjaus-laskentataulu'!AO:AO),FALSE)/VLOOKUP(Vertailu[[#This Row],[Y-tunnus]],'1.2 Ohjaus-laskentataulu'!A:AT,COLUMN('1.2 Ohjaus-laskentataulu'!AR:AR),FALSE),0)</f>
        <v>0.67427531323588097</v>
      </c>
      <c r="G18" s="299">
        <f>IFERROR(VLOOKUP(Vertailu[[#This Row],[Y-tunnus]],'1.2 Ohjaus-laskentataulu'!A:AT,COLUMN('1.2 Ohjaus-laskentataulu'!AP:AP),FALSE)/VLOOKUP(Vertailu[[#This Row],[Y-tunnus]],'1.2 Ohjaus-laskentataulu'!A:AT,COLUMN('1.2 Ohjaus-laskentataulu'!AR:AR),FALSE),0)</f>
        <v>0.21940544391672864</v>
      </c>
      <c r="H18" s="22">
        <f>IFERROR(VLOOKUP(Vertailu[[#This Row],[Y-tunnus]],'1.2 Ohjaus-laskentataulu'!A:AT,COLUMN('1.2 Ohjaus-laskentataulu'!AQ:AQ),FALSE)/VLOOKUP(Vertailu[[#This Row],[Y-tunnus]],'1.2 Ohjaus-laskentataulu'!A:AT,COLUMN('1.2 Ohjaus-laskentataulu'!AR:AR),FALSE),0)</f>
        <v>0.1063192428473904</v>
      </c>
      <c r="I18" s="19">
        <f>IFERROR(VLOOKUP(Vertailu[[#This Row],[Y-tunnus]],'1.2 Ohjaus-laskentataulu'!A:AT,COLUMN('1.2 Ohjaus-laskentataulu'!R:R),FALSE)/VLOOKUP(Vertailu[[#This Row],[Y-tunnus]],'1.2 Ohjaus-laskentataulu'!A:AT,COLUMN('1.2 Ohjaus-laskentataulu'!AR:AR),FALSE),0)</f>
        <v>8.5405100048391427E-2</v>
      </c>
      <c r="J18" s="19">
        <f>IFERROR(VLOOKUP(Vertailu[[#This Row],[Y-tunnus]],'1.2 Ohjaus-laskentataulu'!A:AT,COLUMN('1.2 Ohjaus-laskentataulu'!U:U),FALSE)/VLOOKUP(Vertailu[[#This Row],[Y-tunnus]],'1.2 Ohjaus-laskentataulu'!A:AT,COLUMN('1.2 Ohjaus-laskentataulu'!AR:AR),FALSE),0)</f>
        <v>7.3972959703590448E-3</v>
      </c>
      <c r="K18" s="46">
        <f>IFERROR(VLOOKUP(Vertailu[[#This Row],[Y-tunnus]],'1.2 Ohjaus-laskentataulu'!A:AT,COLUMN('1.2 Ohjaus-laskentataulu'!X:X),FALSE)/VLOOKUP(Vertailu[[#This Row],[Y-tunnus]],'1.2 Ohjaus-laskentataulu'!A:AT,COLUMN('1.2 Ohjaus-laskentataulu'!AR:AR),FALSE),0)</f>
        <v>1.3516846828639933E-2</v>
      </c>
      <c r="L18" s="21">
        <f>IFERROR(VLOOKUP(Vertailu[[#This Row],[Y-tunnus]],'3.2 Suoritepäätös 2019'!$A:$S,COLUMN('3.2 Suoritepäätös 2019'!Q:Q),FALSE)-VLOOKUP(Vertailu[[#This Row],[Y-tunnus]],'3.2 Suoritepäätös 2019'!$A:$S,COLUMN('3.2 Suoritepäätös 2019'!L:L),FALSE),0)</f>
        <v>26057939</v>
      </c>
      <c r="M18" s="21">
        <f>IFERROR(VLOOKUP(Vertailu[[#This Row],[Y-tunnus]],'1.2 Ohjaus-laskentataulu'!A:AT,COLUMN('1.2 Ohjaus-laskentataulu'!Z:Z),FALSE),0)</f>
        <v>26565551</v>
      </c>
      <c r="N18" s="21">
        <f>IFERROR(Vertailu[[#This Row],[Rahoitus pl. hark. kor. 2020 ilman alv, €]]-Vertailu[[#This Row],[Rahoitus pl. hark. kor. 2019 ilman alv, €]],0)</f>
        <v>507612</v>
      </c>
      <c r="O18" s="46">
        <f>IFERROR(Vertailu[[#This Row],[Muutos, € 1]]/Vertailu[[#This Row],[Rahoitus pl. hark. kor. 2019 ilman alv, €]],0)</f>
        <v>1.948012849366176E-2</v>
      </c>
      <c r="P18" s="217">
        <f>IFERROR(VLOOKUP(Vertailu[[#This Row],[Y-tunnus]],'3.2 Suoritepäätös 2019'!$A:$S,COLUMN('3.2 Suoritepäätös 2019'!Q:Q),FALSE),0)</f>
        <v>26057939</v>
      </c>
      <c r="Q18" s="243">
        <f>IFERROR(VLOOKUP(Vertailu[[#This Row],[Y-tunnus]],'1.2 Ohjaus-laskentataulu'!A:AT,COLUMN('1.2 Ohjaus-laskentataulu'!AR:AR),FALSE),0)</f>
        <v>26655551</v>
      </c>
      <c r="R18" s="21">
        <f>IFERROR(Vertailu[[#This Row],[Rahoitus ml. hark. kor. 
2020 ilman alv, €]]-Vertailu[[#This Row],[Rahoitus ml. hark. kor. 
2019 ilman alv, €]],0)</f>
        <v>597612</v>
      </c>
      <c r="S18" s="19">
        <f>IFERROR(Vertailu[[#This Row],[Muutos, € 2]]/Vertailu[[#This Row],[Rahoitus ml. hark. kor. 
2019 ilman alv, €]],0)</f>
        <v>2.2933970334338413E-2</v>
      </c>
      <c r="T18" s="243">
        <f>IFERROR(VLOOKUP(Vertailu[[#This Row],[Y-tunnus]],'3.2 Suoritepäätös 2019'!$A:$S,COLUMN('3.2 Suoritepäätös 2019'!Q:Q),FALSE)+VLOOKUP(Vertailu[[#This Row],[Y-tunnus]],'3.2 Suoritepäätös 2019'!$A:$S,COLUMN('3.2 Suoritepäätös 2019'!R:R),FALSE),0)</f>
        <v>27431117</v>
      </c>
      <c r="U18" s="217">
        <f>IFERROR(VLOOKUP(Vertailu[[#This Row],[Y-tunnus]],'1.2 Ohjaus-laskentataulu'!A:AT,COLUMN('1.2 Ohjaus-laskentataulu'!AT:AT),FALSE),0)</f>
        <v>28257672</v>
      </c>
      <c r="V18" s="249">
        <f>IFERROR(Vertailu[[#This Row],[Rahoitus ml. hark. kor. + alv 2020, €]]-Vertailu[[#This Row],[Rahoitus ml. hark. kor. + alv 2019, €]],0)</f>
        <v>826555</v>
      </c>
      <c r="W18" s="46">
        <f>IFERROR(Vertailu[[#This Row],[Muutos, € 3]]/Vertailu[[#This Row],[Rahoitus ml. hark. kor. + alv 2019, €]],0)</f>
        <v>3.0132021237049882E-2</v>
      </c>
    </row>
    <row r="19" spans="1:23" ht="12.75" customHeight="1" x14ac:dyDescent="0.25">
      <c r="A19" s="12" t="s">
        <v>397</v>
      </c>
      <c r="B19" s="297" t="s">
        <v>34</v>
      </c>
      <c r="C19" s="297" t="s">
        <v>287</v>
      </c>
      <c r="D19" s="297" t="s">
        <v>423</v>
      </c>
      <c r="E19" s="22">
        <f>IFERROR(VLOOKUP(Vertailu[[#This Row],[Y-tunnus]],'1.2 Ohjaus-laskentataulu'!A:AT,COLUMN('1.2 Ohjaus-laskentataulu'!L:L),FALSE)/VLOOKUP(Vertailu[[#This Row],[Y-tunnus]],'1.2 Ohjaus-laskentataulu'!A:AT,COLUMN('1.2 Ohjaus-laskentataulu'!AR:AR),FALSE),0)</f>
        <v>0.65723451184377857</v>
      </c>
      <c r="F19" s="46">
        <f>IFERROR(VLOOKUP(Vertailu[[#This Row],[Y-tunnus]],'1.2 Ohjaus-laskentataulu'!A:AT,COLUMN('1.2 Ohjaus-laskentataulu'!AO:AO),FALSE)/VLOOKUP(Vertailu[[#This Row],[Y-tunnus]],'1.2 Ohjaus-laskentataulu'!A:AT,COLUMN('1.2 Ohjaus-laskentataulu'!AR:AR),FALSE),0)</f>
        <v>0.65723451184377857</v>
      </c>
      <c r="G19" s="299">
        <f>IFERROR(VLOOKUP(Vertailu[[#This Row],[Y-tunnus]],'1.2 Ohjaus-laskentataulu'!A:AT,COLUMN('1.2 Ohjaus-laskentataulu'!AP:AP),FALSE)/VLOOKUP(Vertailu[[#This Row],[Y-tunnus]],'1.2 Ohjaus-laskentataulu'!A:AT,COLUMN('1.2 Ohjaus-laskentataulu'!AR:AR),FALSE),0)</f>
        <v>9.020238959098191E-2</v>
      </c>
      <c r="H19" s="22">
        <f>IFERROR(VLOOKUP(Vertailu[[#This Row],[Y-tunnus]],'1.2 Ohjaus-laskentataulu'!A:AT,COLUMN('1.2 Ohjaus-laskentataulu'!AQ:AQ),FALSE)/VLOOKUP(Vertailu[[#This Row],[Y-tunnus]],'1.2 Ohjaus-laskentataulu'!A:AT,COLUMN('1.2 Ohjaus-laskentataulu'!AR:AR),FALSE),0)</f>
        <v>0.25256309856523956</v>
      </c>
      <c r="I19" s="19">
        <f>IFERROR(VLOOKUP(Vertailu[[#This Row],[Y-tunnus]],'1.2 Ohjaus-laskentataulu'!A:AT,COLUMN('1.2 Ohjaus-laskentataulu'!R:R),FALSE)/VLOOKUP(Vertailu[[#This Row],[Y-tunnus]],'1.2 Ohjaus-laskentataulu'!A:AT,COLUMN('1.2 Ohjaus-laskentataulu'!AR:AR),FALSE),0)</f>
        <v>0.16457355931229209</v>
      </c>
      <c r="J19" s="19">
        <f>IFERROR(VLOOKUP(Vertailu[[#This Row],[Y-tunnus]],'1.2 Ohjaus-laskentataulu'!A:AT,COLUMN('1.2 Ohjaus-laskentataulu'!U:U),FALSE)/VLOOKUP(Vertailu[[#This Row],[Y-tunnus]],'1.2 Ohjaus-laskentataulu'!A:AT,COLUMN('1.2 Ohjaus-laskentataulu'!AR:AR),FALSE),0)</f>
        <v>1.7296873989668577E-2</v>
      </c>
      <c r="K19" s="46">
        <f>IFERROR(VLOOKUP(Vertailu[[#This Row],[Y-tunnus]],'1.2 Ohjaus-laskentataulu'!A:AT,COLUMN('1.2 Ohjaus-laskentataulu'!X:X),FALSE)/VLOOKUP(Vertailu[[#This Row],[Y-tunnus]],'1.2 Ohjaus-laskentataulu'!A:AT,COLUMN('1.2 Ohjaus-laskentataulu'!AR:AR),FALSE),0)</f>
        <v>7.06926652632789E-2</v>
      </c>
      <c r="L19" s="21">
        <f>IFERROR(VLOOKUP(Vertailu[[#This Row],[Y-tunnus]],'3.2 Suoritepäätös 2019'!$A:$S,COLUMN('3.2 Suoritepäätös 2019'!Q:Q),FALSE)-VLOOKUP(Vertailu[[#This Row],[Y-tunnus]],'3.2 Suoritepäätös 2019'!$A:$S,COLUMN('3.2 Suoritepäätös 2019'!L:L),FALSE),0)</f>
        <v>275780</v>
      </c>
      <c r="M19" s="21">
        <f>IFERROR(VLOOKUP(Vertailu[[#This Row],[Y-tunnus]],'1.2 Ohjaus-laskentataulu'!A:AT,COLUMN('1.2 Ohjaus-laskentataulu'!Z:Z),FALSE),0)</f>
        <v>278374</v>
      </c>
      <c r="N19" s="21">
        <f>IFERROR(Vertailu[[#This Row],[Rahoitus pl. hark. kor. 2020 ilman alv, €]]-Vertailu[[#This Row],[Rahoitus pl. hark. kor. 2019 ilman alv, €]],0)</f>
        <v>2594</v>
      </c>
      <c r="O19" s="46">
        <f>IFERROR(Vertailu[[#This Row],[Muutos, € 1]]/Vertailu[[#This Row],[Rahoitus pl. hark. kor. 2019 ilman alv, €]],0)</f>
        <v>9.4060482993690627E-3</v>
      </c>
      <c r="P19" s="217">
        <f>IFERROR(VLOOKUP(Vertailu[[#This Row],[Y-tunnus]],'3.2 Suoritepäätös 2019'!$A:$S,COLUMN('3.2 Suoritepäätös 2019'!Q:Q),FALSE),0)</f>
        <v>275780</v>
      </c>
      <c r="Q19" s="243">
        <f>IFERROR(VLOOKUP(Vertailu[[#This Row],[Y-tunnus]],'1.2 Ohjaus-laskentataulu'!A:AT,COLUMN('1.2 Ohjaus-laskentataulu'!AR:AR),FALSE),0)</f>
        <v>278374</v>
      </c>
      <c r="R19" s="21">
        <f>IFERROR(Vertailu[[#This Row],[Rahoitus ml. hark. kor. 
2020 ilman alv, €]]-Vertailu[[#This Row],[Rahoitus ml. hark. kor. 
2019 ilman alv, €]],0)</f>
        <v>2594</v>
      </c>
      <c r="S19" s="19">
        <f>IFERROR(Vertailu[[#This Row],[Muutos, € 2]]/Vertailu[[#This Row],[Rahoitus ml. hark. kor. 
2019 ilman alv, €]],0)</f>
        <v>9.4060482993690627E-3</v>
      </c>
      <c r="T19" s="243">
        <f>IFERROR(VLOOKUP(Vertailu[[#This Row],[Y-tunnus]],'3.2 Suoritepäätös 2019'!$A:$S,COLUMN('3.2 Suoritepäätös 2019'!Q:Q),FALSE)+VLOOKUP(Vertailu[[#This Row],[Y-tunnus]],'3.2 Suoritepäätös 2019'!$A:$S,COLUMN('3.2 Suoritepäätös 2019'!R:R),FALSE),0)</f>
        <v>290647</v>
      </c>
      <c r="U19" s="217">
        <f>IFERROR(VLOOKUP(Vertailu[[#This Row],[Y-tunnus]],'1.2 Ohjaus-laskentataulu'!A:AT,COLUMN('1.2 Ohjaus-laskentataulu'!AT:AT),FALSE),0)</f>
        <v>286244</v>
      </c>
      <c r="V19" s="249">
        <f>IFERROR(Vertailu[[#This Row],[Rahoitus ml. hark. kor. + alv 2020, €]]-Vertailu[[#This Row],[Rahoitus ml. hark. kor. + alv 2019, €]],0)</f>
        <v>-4403</v>
      </c>
      <c r="W19" s="46">
        <f>IFERROR(Vertailu[[#This Row],[Muutos, € 3]]/Vertailu[[#This Row],[Rahoitus ml. hark. kor. + alv 2019, €]],0)</f>
        <v>-1.5148960766840875E-2</v>
      </c>
    </row>
    <row r="20" spans="1:23" ht="12.75" customHeight="1" x14ac:dyDescent="0.25">
      <c r="A20" s="12" t="s">
        <v>396</v>
      </c>
      <c r="B20" s="297" t="s">
        <v>181</v>
      </c>
      <c r="C20" s="297" t="s">
        <v>238</v>
      </c>
      <c r="D20" s="297" t="s">
        <v>423</v>
      </c>
      <c r="E20" s="22">
        <f>IFERROR(VLOOKUP(Vertailu[[#This Row],[Y-tunnus]],'1.2 Ohjaus-laskentataulu'!A:AT,COLUMN('1.2 Ohjaus-laskentataulu'!L:L),FALSE)/VLOOKUP(Vertailu[[#This Row],[Y-tunnus]],'1.2 Ohjaus-laskentataulu'!A:AT,COLUMN('1.2 Ohjaus-laskentataulu'!AR:AR),FALSE),0)</f>
        <v>4.0928735103041139E-2</v>
      </c>
      <c r="F20" s="46">
        <f>IFERROR(VLOOKUP(Vertailu[[#This Row],[Y-tunnus]],'1.2 Ohjaus-laskentataulu'!A:AT,COLUMN('1.2 Ohjaus-laskentataulu'!AO:AO),FALSE)/VLOOKUP(Vertailu[[#This Row],[Y-tunnus]],'1.2 Ohjaus-laskentataulu'!A:AT,COLUMN('1.2 Ohjaus-laskentataulu'!AR:AR),FALSE),0)</f>
        <v>1</v>
      </c>
      <c r="G20" s="299">
        <f>IFERROR(VLOOKUP(Vertailu[[#This Row],[Y-tunnus]],'1.2 Ohjaus-laskentataulu'!A:AT,COLUMN('1.2 Ohjaus-laskentataulu'!AP:AP),FALSE)/VLOOKUP(Vertailu[[#This Row],[Y-tunnus]],'1.2 Ohjaus-laskentataulu'!A:AT,COLUMN('1.2 Ohjaus-laskentataulu'!AR:AR),FALSE),0)</f>
        <v>0</v>
      </c>
      <c r="H20" s="22">
        <f>IFERROR(VLOOKUP(Vertailu[[#This Row],[Y-tunnus]],'1.2 Ohjaus-laskentataulu'!A:AT,COLUMN('1.2 Ohjaus-laskentataulu'!AQ:AQ),FALSE)/VLOOKUP(Vertailu[[#This Row],[Y-tunnus]],'1.2 Ohjaus-laskentataulu'!A:AT,COLUMN('1.2 Ohjaus-laskentataulu'!AR:AR),FALSE),0)</f>
        <v>0</v>
      </c>
      <c r="I20" s="19">
        <f>IFERROR(VLOOKUP(Vertailu[[#This Row],[Y-tunnus]],'1.2 Ohjaus-laskentataulu'!A:AT,COLUMN('1.2 Ohjaus-laskentataulu'!R:R),FALSE)/VLOOKUP(Vertailu[[#This Row],[Y-tunnus]],'1.2 Ohjaus-laskentataulu'!A:AT,COLUMN('1.2 Ohjaus-laskentataulu'!AR:AR),FALSE),0)</f>
        <v>0</v>
      </c>
      <c r="J20" s="19">
        <f>IFERROR(VLOOKUP(Vertailu[[#This Row],[Y-tunnus]],'1.2 Ohjaus-laskentataulu'!A:AT,COLUMN('1.2 Ohjaus-laskentataulu'!U:U),FALSE)/VLOOKUP(Vertailu[[#This Row],[Y-tunnus]],'1.2 Ohjaus-laskentataulu'!A:AT,COLUMN('1.2 Ohjaus-laskentataulu'!AR:AR),FALSE),0)</f>
        <v>0</v>
      </c>
      <c r="K20" s="46">
        <f>IFERROR(VLOOKUP(Vertailu[[#This Row],[Y-tunnus]],'1.2 Ohjaus-laskentataulu'!A:AT,COLUMN('1.2 Ohjaus-laskentataulu'!X:X),FALSE)/VLOOKUP(Vertailu[[#This Row],[Y-tunnus]],'1.2 Ohjaus-laskentataulu'!A:AT,COLUMN('1.2 Ohjaus-laskentataulu'!AR:AR),FALSE),0)</f>
        <v>0</v>
      </c>
      <c r="L20" s="21">
        <f>IFERROR(VLOOKUP(Vertailu[[#This Row],[Y-tunnus]],'3.2 Suoritepäätös 2019'!$A:$S,COLUMN('3.2 Suoritepäätös 2019'!Q:Q),FALSE)-VLOOKUP(Vertailu[[#This Row],[Y-tunnus]],'3.2 Suoritepäätös 2019'!$A:$S,COLUMN('3.2 Suoritepäätös 2019'!L:L),FALSE),0)</f>
        <v>188036</v>
      </c>
      <c r="M20" s="21">
        <f>IFERROR(VLOOKUP(Vertailu[[#This Row],[Y-tunnus]],'1.2 Ohjaus-laskentataulu'!A:AT,COLUMN('1.2 Ohjaus-laskentataulu'!Z:Z),FALSE),0)</f>
        <v>27739</v>
      </c>
      <c r="N20" s="21">
        <f>IFERROR(Vertailu[[#This Row],[Rahoitus pl. hark. kor. 2020 ilman alv, €]]-Vertailu[[#This Row],[Rahoitus pl. hark. kor. 2019 ilman alv, €]],0)</f>
        <v>-160297</v>
      </c>
      <c r="O20" s="46">
        <f>IFERROR(Vertailu[[#This Row],[Muutos, € 1]]/Vertailu[[#This Row],[Rahoitus pl. hark. kor. 2019 ilman alv, €]],0)</f>
        <v>-0.85248037609819394</v>
      </c>
      <c r="P20" s="217">
        <f>IFERROR(VLOOKUP(Vertailu[[#This Row],[Y-tunnus]],'3.2 Suoritepäätös 2019'!$A:$S,COLUMN('3.2 Suoritepäätös 2019'!Q:Q),FALSE),0)</f>
        <v>1213036</v>
      </c>
      <c r="Q20" s="243">
        <f>IFERROR(VLOOKUP(Vertailu[[#This Row],[Y-tunnus]],'1.2 Ohjaus-laskentataulu'!A:AT,COLUMN('1.2 Ohjaus-laskentataulu'!AR:AR),FALSE),0)</f>
        <v>677739</v>
      </c>
      <c r="R20" s="21">
        <f>IFERROR(Vertailu[[#This Row],[Rahoitus ml. hark. kor. 
2020 ilman alv, €]]-Vertailu[[#This Row],[Rahoitus ml. hark. kor. 
2019 ilman alv, €]],0)</f>
        <v>-535297</v>
      </c>
      <c r="S20" s="19">
        <f>IFERROR(Vertailu[[#This Row],[Muutos, € 2]]/Vertailu[[#This Row],[Rahoitus ml. hark. kor. 
2019 ilman alv, €]],0)</f>
        <v>-0.44128698571188324</v>
      </c>
      <c r="T20" s="243">
        <f>IFERROR(VLOOKUP(Vertailu[[#This Row],[Y-tunnus]],'3.2 Suoritepäätös 2019'!$A:$S,COLUMN('3.2 Suoritepäätös 2019'!Q:Q),FALSE)+VLOOKUP(Vertailu[[#This Row],[Y-tunnus]],'3.2 Suoritepäätös 2019'!$A:$S,COLUMN('3.2 Suoritepäätös 2019'!R:R),FALSE),0)</f>
        <v>1280908</v>
      </c>
      <c r="U20" s="217">
        <f>IFERROR(VLOOKUP(Vertailu[[#This Row],[Y-tunnus]],'1.2 Ohjaus-laskentataulu'!A:AT,COLUMN('1.2 Ohjaus-laskentataulu'!AT:AT),FALSE),0)</f>
        <v>866600</v>
      </c>
      <c r="V20" s="249">
        <f>IFERROR(Vertailu[[#This Row],[Rahoitus ml. hark. kor. + alv 2020, €]]-Vertailu[[#This Row],[Rahoitus ml. hark. kor. + alv 2019, €]],0)</f>
        <v>-414308</v>
      </c>
      <c r="W20" s="46">
        <f>IFERROR(Vertailu[[#This Row],[Muutos, € 3]]/Vertailu[[#This Row],[Rahoitus ml. hark. kor. + alv 2019, €]],0)</f>
        <v>-0.32344867859362264</v>
      </c>
    </row>
    <row r="21" spans="1:23" ht="12.75" customHeight="1" x14ac:dyDescent="0.25">
      <c r="A21" s="12" t="s">
        <v>395</v>
      </c>
      <c r="B21" s="297" t="s">
        <v>35</v>
      </c>
      <c r="C21" s="297" t="s">
        <v>238</v>
      </c>
      <c r="D21" s="297" t="s">
        <v>423</v>
      </c>
      <c r="E21" s="22">
        <f>IFERROR(VLOOKUP(Vertailu[[#This Row],[Y-tunnus]],'1.2 Ohjaus-laskentataulu'!A:AT,COLUMN('1.2 Ohjaus-laskentataulu'!L:L),FALSE)/VLOOKUP(Vertailu[[#This Row],[Y-tunnus]],'1.2 Ohjaus-laskentataulu'!A:AT,COLUMN('1.2 Ohjaus-laskentataulu'!AR:AR),FALSE),0)</f>
        <v>0.71650694710180851</v>
      </c>
      <c r="F21" s="46">
        <f>IFERROR(VLOOKUP(Vertailu[[#This Row],[Y-tunnus]],'1.2 Ohjaus-laskentataulu'!A:AT,COLUMN('1.2 Ohjaus-laskentataulu'!AO:AO),FALSE)/VLOOKUP(Vertailu[[#This Row],[Y-tunnus]],'1.2 Ohjaus-laskentataulu'!A:AT,COLUMN('1.2 Ohjaus-laskentataulu'!AR:AR),FALSE),0)</f>
        <v>0.71650694710180851</v>
      </c>
      <c r="G21" s="299">
        <f>IFERROR(VLOOKUP(Vertailu[[#This Row],[Y-tunnus]],'1.2 Ohjaus-laskentataulu'!A:AT,COLUMN('1.2 Ohjaus-laskentataulu'!AP:AP),FALSE)/VLOOKUP(Vertailu[[#This Row],[Y-tunnus]],'1.2 Ohjaus-laskentataulu'!A:AT,COLUMN('1.2 Ohjaus-laskentataulu'!AR:AR),FALSE),0)</f>
        <v>0.21028945910383667</v>
      </c>
      <c r="H21" s="22">
        <f>IFERROR(VLOOKUP(Vertailu[[#This Row],[Y-tunnus]],'1.2 Ohjaus-laskentataulu'!A:AT,COLUMN('1.2 Ohjaus-laskentataulu'!AQ:AQ),FALSE)/VLOOKUP(Vertailu[[#This Row],[Y-tunnus]],'1.2 Ohjaus-laskentataulu'!A:AT,COLUMN('1.2 Ohjaus-laskentataulu'!AR:AR),FALSE),0)</f>
        <v>7.3203593794354843E-2</v>
      </c>
      <c r="I21" s="19">
        <f>IFERROR(VLOOKUP(Vertailu[[#This Row],[Y-tunnus]],'1.2 Ohjaus-laskentataulu'!A:AT,COLUMN('1.2 Ohjaus-laskentataulu'!R:R),FALSE)/VLOOKUP(Vertailu[[#This Row],[Y-tunnus]],'1.2 Ohjaus-laskentataulu'!A:AT,COLUMN('1.2 Ohjaus-laskentataulu'!AR:AR),FALSE),0)</f>
        <v>4.5062282001093829E-2</v>
      </c>
      <c r="J21" s="19">
        <f>IFERROR(VLOOKUP(Vertailu[[#This Row],[Y-tunnus]],'1.2 Ohjaus-laskentataulu'!A:AT,COLUMN('1.2 Ohjaus-laskentataulu'!U:U),FALSE)/VLOOKUP(Vertailu[[#This Row],[Y-tunnus]],'1.2 Ohjaus-laskentataulu'!A:AT,COLUMN('1.2 Ohjaus-laskentataulu'!AR:AR),FALSE),0)</f>
        <v>5.1346720695382665E-3</v>
      </c>
      <c r="K21" s="46">
        <f>IFERROR(VLOOKUP(Vertailu[[#This Row],[Y-tunnus]],'1.2 Ohjaus-laskentataulu'!A:AT,COLUMN('1.2 Ohjaus-laskentataulu'!X:X),FALSE)/VLOOKUP(Vertailu[[#This Row],[Y-tunnus]],'1.2 Ohjaus-laskentataulu'!A:AT,COLUMN('1.2 Ohjaus-laskentataulu'!AR:AR),FALSE),0)</f>
        <v>2.3006639723722744E-2</v>
      </c>
      <c r="L21" s="21">
        <f>IFERROR(VLOOKUP(Vertailu[[#This Row],[Y-tunnus]],'3.2 Suoritepäätös 2019'!$A:$S,COLUMN('3.2 Suoritepäätös 2019'!Q:Q),FALSE)-VLOOKUP(Vertailu[[#This Row],[Y-tunnus]],'3.2 Suoritepäätös 2019'!$A:$S,COLUMN('3.2 Suoritepäätös 2019'!L:L),FALSE),0)</f>
        <v>1674591</v>
      </c>
      <c r="M21" s="21">
        <f>IFERROR(VLOOKUP(Vertailu[[#This Row],[Y-tunnus]],'1.2 Ohjaus-laskentataulu'!A:AT,COLUMN('1.2 Ohjaus-laskentataulu'!Z:Z),FALSE),0)</f>
        <v>1680341</v>
      </c>
      <c r="N21" s="21">
        <f>IFERROR(Vertailu[[#This Row],[Rahoitus pl. hark. kor. 2020 ilman alv, €]]-Vertailu[[#This Row],[Rahoitus pl. hark. kor. 2019 ilman alv, €]],0)</f>
        <v>5750</v>
      </c>
      <c r="O21" s="46">
        <f>IFERROR(Vertailu[[#This Row],[Muutos, € 1]]/Vertailu[[#This Row],[Rahoitus pl. hark. kor. 2019 ilman alv, €]],0)</f>
        <v>3.4336742523995412E-3</v>
      </c>
      <c r="P21" s="217">
        <f>IFERROR(VLOOKUP(Vertailu[[#This Row],[Y-tunnus]],'3.2 Suoritepäätös 2019'!$A:$S,COLUMN('3.2 Suoritepäätös 2019'!Q:Q),FALSE),0)</f>
        <v>1674591</v>
      </c>
      <c r="Q21" s="243">
        <f>IFERROR(VLOOKUP(Vertailu[[#This Row],[Y-tunnus]],'1.2 Ohjaus-laskentataulu'!A:AT,COLUMN('1.2 Ohjaus-laskentataulu'!AR:AR),FALSE),0)</f>
        <v>1680341</v>
      </c>
      <c r="R21" s="21">
        <f>IFERROR(Vertailu[[#This Row],[Rahoitus ml. hark. kor. 
2020 ilman alv, €]]-Vertailu[[#This Row],[Rahoitus ml. hark. kor. 
2019 ilman alv, €]],0)</f>
        <v>5750</v>
      </c>
      <c r="S21" s="19">
        <f>IFERROR(Vertailu[[#This Row],[Muutos, € 2]]/Vertailu[[#This Row],[Rahoitus ml. hark. kor. 
2019 ilman alv, €]],0)</f>
        <v>3.4336742523995412E-3</v>
      </c>
      <c r="T21" s="243">
        <f>IFERROR(VLOOKUP(Vertailu[[#This Row],[Y-tunnus]],'3.2 Suoritepäätös 2019'!$A:$S,COLUMN('3.2 Suoritepäätös 2019'!Q:Q),FALSE)+VLOOKUP(Vertailu[[#This Row],[Y-tunnus]],'3.2 Suoritepäätös 2019'!$A:$S,COLUMN('3.2 Suoritepäätös 2019'!R:R),FALSE),0)</f>
        <v>1763288</v>
      </c>
      <c r="U21" s="217">
        <f>IFERROR(VLOOKUP(Vertailu[[#This Row],[Y-tunnus]],'1.2 Ohjaus-laskentataulu'!A:AT,COLUMN('1.2 Ohjaus-laskentataulu'!AT:AT),FALSE),0)</f>
        <v>1783358</v>
      </c>
      <c r="V21" s="249">
        <f>IFERROR(Vertailu[[#This Row],[Rahoitus ml. hark. kor. + alv 2020, €]]-Vertailu[[#This Row],[Rahoitus ml. hark. kor. + alv 2019, €]],0)</f>
        <v>20070</v>
      </c>
      <c r="W21" s="46">
        <f>IFERROR(Vertailu[[#This Row],[Muutos, € 3]]/Vertailu[[#This Row],[Rahoitus ml. hark. kor. + alv 2019, €]],0)</f>
        <v>1.1382145174242665E-2</v>
      </c>
    </row>
    <row r="22" spans="1:23" ht="12.75" customHeight="1" x14ac:dyDescent="0.25">
      <c r="A22" s="12" t="s">
        <v>394</v>
      </c>
      <c r="B22" s="297" t="s">
        <v>792</v>
      </c>
      <c r="C22" s="297" t="s">
        <v>244</v>
      </c>
      <c r="D22" s="297" t="s">
        <v>423</v>
      </c>
      <c r="E22" s="22">
        <f>IFERROR(VLOOKUP(Vertailu[[#This Row],[Y-tunnus]],'1.2 Ohjaus-laskentataulu'!A:AT,COLUMN('1.2 Ohjaus-laskentataulu'!L:L),FALSE)/VLOOKUP(Vertailu[[#This Row],[Y-tunnus]],'1.2 Ohjaus-laskentataulu'!A:AT,COLUMN('1.2 Ohjaus-laskentataulu'!AR:AR),FALSE),0)</f>
        <v>0.71543893700113159</v>
      </c>
      <c r="F22" s="46">
        <f>IFERROR(VLOOKUP(Vertailu[[#This Row],[Y-tunnus]],'1.2 Ohjaus-laskentataulu'!A:AT,COLUMN('1.2 Ohjaus-laskentataulu'!AO:AO),FALSE)/VLOOKUP(Vertailu[[#This Row],[Y-tunnus]],'1.2 Ohjaus-laskentataulu'!A:AT,COLUMN('1.2 Ohjaus-laskentataulu'!AR:AR),FALSE),0)</f>
        <v>0.71543893700113159</v>
      </c>
      <c r="G22" s="299">
        <f>IFERROR(VLOOKUP(Vertailu[[#This Row],[Y-tunnus]],'1.2 Ohjaus-laskentataulu'!A:AT,COLUMN('1.2 Ohjaus-laskentataulu'!AP:AP),FALSE)/VLOOKUP(Vertailu[[#This Row],[Y-tunnus]],'1.2 Ohjaus-laskentataulu'!A:AT,COLUMN('1.2 Ohjaus-laskentataulu'!AR:AR),FALSE),0)</f>
        <v>0.16925174362573414</v>
      </c>
      <c r="H22" s="22">
        <f>IFERROR(VLOOKUP(Vertailu[[#This Row],[Y-tunnus]],'1.2 Ohjaus-laskentataulu'!A:AT,COLUMN('1.2 Ohjaus-laskentataulu'!AQ:AQ),FALSE)/VLOOKUP(Vertailu[[#This Row],[Y-tunnus]],'1.2 Ohjaus-laskentataulu'!A:AT,COLUMN('1.2 Ohjaus-laskentataulu'!AR:AR),FALSE),0)</f>
        <v>0.11530931937313423</v>
      </c>
      <c r="I22" s="19">
        <f>IFERROR(VLOOKUP(Vertailu[[#This Row],[Y-tunnus]],'1.2 Ohjaus-laskentataulu'!A:AT,COLUMN('1.2 Ohjaus-laskentataulu'!R:R),FALSE)/VLOOKUP(Vertailu[[#This Row],[Y-tunnus]],'1.2 Ohjaus-laskentataulu'!A:AT,COLUMN('1.2 Ohjaus-laskentataulu'!AR:AR),FALSE),0)</f>
        <v>9.7226652876604688E-2</v>
      </c>
      <c r="J22" s="19">
        <f>IFERROR(VLOOKUP(Vertailu[[#This Row],[Y-tunnus]],'1.2 Ohjaus-laskentataulu'!A:AT,COLUMN('1.2 Ohjaus-laskentataulu'!U:U),FALSE)/VLOOKUP(Vertailu[[#This Row],[Y-tunnus]],'1.2 Ohjaus-laskentataulu'!A:AT,COLUMN('1.2 Ohjaus-laskentataulu'!AR:AR),FALSE),0)</f>
        <v>1.9073267539514909E-3</v>
      </c>
      <c r="K22" s="46">
        <f>IFERROR(VLOOKUP(Vertailu[[#This Row],[Y-tunnus]],'1.2 Ohjaus-laskentataulu'!A:AT,COLUMN('1.2 Ohjaus-laskentataulu'!X:X),FALSE)/VLOOKUP(Vertailu[[#This Row],[Y-tunnus]],'1.2 Ohjaus-laskentataulu'!A:AT,COLUMN('1.2 Ohjaus-laskentataulu'!AR:AR),FALSE),0)</f>
        <v>1.6175339742578048E-2</v>
      </c>
      <c r="L22" s="21">
        <f>IFERROR(VLOOKUP(Vertailu[[#This Row],[Y-tunnus]],'3.2 Suoritepäätös 2019'!$A:$S,COLUMN('3.2 Suoritepäätös 2019'!Q:Q),FALSE)-VLOOKUP(Vertailu[[#This Row],[Y-tunnus]],'3.2 Suoritepäätös 2019'!$A:$S,COLUMN('3.2 Suoritepäätös 2019'!L:L),FALSE),0)</f>
        <v>291737</v>
      </c>
      <c r="M22" s="21">
        <f>IFERROR(VLOOKUP(Vertailu[[#This Row],[Y-tunnus]],'1.2 Ohjaus-laskentataulu'!A:AT,COLUMN('1.2 Ohjaus-laskentataulu'!Z:Z),FALSE),0)</f>
        <v>297799</v>
      </c>
      <c r="N22" s="21">
        <f>IFERROR(Vertailu[[#This Row],[Rahoitus pl. hark. kor. 2020 ilman alv, €]]-Vertailu[[#This Row],[Rahoitus pl. hark. kor. 2019 ilman alv, €]],0)</f>
        <v>6062</v>
      </c>
      <c r="O22" s="46">
        <f>IFERROR(Vertailu[[#This Row],[Muutos, € 1]]/Vertailu[[#This Row],[Rahoitus pl. hark. kor. 2019 ilman alv, €]],0)</f>
        <v>2.0778989295152827E-2</v>
      </c>
      <c r="P22" s="217">
        <f>IFERROR(VLOOKUP(Vertailu[[#This Row],[Y-tunnus]],'3.2 Suoritepäätös 2019'!$A:$S,COLUMN('3.2 Suoritepäätös 2019'!Q:Q),FALSE),0)</f>
        <v>291737</v>
      </c>
      <c r="Q22" s="243">
        <f>IFERROR(VLOOKUP(Vertailu[[#This Row],[Y-tunnus]],'1.2 Ohjaus-laskentataulu'!A:AT,COLUMN('1.2 Ohjaus-laskentataulu'!AR:AR),FALSE),0)</f>
        <v>297799</v>
      </c>
      <c r="R22" s="21">
        <f>IFERROR(Vertailu[[#This Row],[Rahoitus ml. hark. kor. 
2020 ilman alv, €]]-Vertailu[[#This Row],[Rahoitus ml. hark. kor. 
2019 ilman alv, €]],0)</f>
        <v>6062</v>
      </c>
      <c r="S22" s="19">
        <f>IFERROR(Vertailu[[#This Row],[Muutos, € 2]]/Vertailu[[#This Row],[Rahoitus ml. hark. kor. 
2019 ilman alv, €]],0)</f>
        <v>2.0778989295152827E-2</v>
      </c>
      <c r="T22" s="243">
        <f>IFERROR(VLOOKUP(Vertailu[[#This Row],[Y-tunnus]],'3.2 Suoritepäätös 2019'!$A:$S,COLUMN('3.2 Suoritepäätös 2019'!Q:Q),FALSE)+VLOOKUP(Vertailu[[#This Row],[Y-tunnus]],'3.2 Suoritepäätös 2019'!$A:$S,COLUMN('3.2 Suoritepäätös 2019'!R:R),FALSE),0)</f>
        <v>307198</v>
      </c>
      <c r="U22" s="217">
        <f>IFERROR(VLOOKUP(Vertailu[[#This Row],[Y-tunnus]],'1.2 Ohjaus-laskentataulu'!A:AT,COLUMN('1.2 Ohjaus-laskentataulu'!AT:AT),FALSE),0)</f>
        <v>297799</v>
      </c>
      <c r="V22" s="249">
        <f>IFERROR(Vertailu[[#This Row],[Rahoitus ml. hark. kor. + alv 2020, €]]-Vertailu[[#This Row],[Rahoitus ml. hark. kor. + alv 2019, €]],0)</f>
        <v>-9399</v>
      </c>
      <c r="W22" s="46">
        <f>IFERROR(Vertailu[[#This Row],[Muutos, € 3]]/Vertailu[[#This Row],[Rahoitus ml. hark. kor. + alv 2019, €]],0)</f>
        <v>-3.0595902317072377E-2</v>
      </c>
    </row>
    <row r="23" spans="1:23" ht="12.75" customHeight="1" x14ac:dyDescent="0.25">
      <c r="A23" s="12" t="s">
        <v>393</v>
      </c>
      <c r="B23" s="297" t="s">
        <v>153</v>
      </c>
      <c r="C23" s="297" t="s">
        <v>249</v>
      </c>
      <c r="D23" s="297" t="s">
        <v>423</v>
      </c>
      <c r="E23" s="22">
        <f>IFERROR(VLOOKUP(Vertailu[[#This Row],[Y-tunnus]],'1.2 Ohjaus-laskentataulu'!A:AT,COLUMN('1.2 Ohjaus-laskentataulu'!L:L),FALSE)/VLOOKUP(Vertailu[[#This Row],[Y-tunnus]],'1.2 Ohjaus-laskentataulu'!A:AT,COLUMN('1.2 Ohjaus-laskentataulu'!AR:AR),FALSE),0)</f>
        <v>0.43575189426841815</v>
      </c>
      <c r="F23" s="46">
        <f>IFERROR(VLOOKUP(Vertailu[[#This Row],[Y-tunnus]],'1.2 Ohjaus-laskentataulu'!A:AT,COLUMN('1.2 Ohjaus-laskentataulu'!AO:AO),FALSE)/VLOOKUP(Vertailu[[#This Row],[Y-tunnus]],'1.2 Ohjaus-laskentataulu'!A:AT,COLUMN('1.2 Ohjaus-laskentataulu'!AR:AR),FALSE),0)</f>
        <v>0.43575189426841815</v>
      </c>
      <c r="G23" s="299">
        <f>IFERROR(VLOOKUP(Vertailu[[#This Row],[Y-tunnus]],'1.2 Ohjaus-laskentataulu'!A:AT,COLUMN('1.2 Ohjaus-laskentataulu'!AP:AP),FALSE)/VLOOKUP(Vertailu[[#This Row],[Y-tunnus]],'1.2 Ohjaus-laskentataulu'!A:AT,COLUMN('1.2 Ohjaus-laskentataulu'!AR:AR),FALSE),0)</f>
        <v>0.32836658604054469</v>
      </c>
      <c r="H23" s="22">
        <f>IFERROR(VLOOKUP(Vertailu[[#This Row],[Y-tunnus]],'1.2 Ohjaus-laskentataulu'!A:AT,COLUMN('1.2 Ohjaus-laskentataulu'!AQ:AQ),FALSE)/VLOOKUP(Vertailu[[#This Row],[Y-tunnus]],'1.2 Ohjaus-laskentataulu'!A:AT,COLUMN('1.2 Ohjaus-laskentataulu'!AR:AR),FALSE),0)</f>
        <v>0.23588151969103713</v>
      </c>
      <c r="I23" s="19">
        <f>IFERROR(VLOOKUP(Vertailu[[#This Row],[Y-tunnus]],'1.2 Ohjaus-laskentataulu'!A:AT,COLUMN('1.2 Ohjaus-laskentataulu'!R:R),FALSE)/VLOOKUP(Vertailu[[#This Row],[Y-tunnus]],'1.2 Ohjaus-laskentataulu'!A:AT,COLUMN('1.2 Ohjaus-laskentataulu'!AR:AR),FALSE),0)</f>
        <v>0.10040624874717698</v>
      </c>
      <c r="J23" s="19">
        <f>IFERROR(VLOOKUP(Vertailu[[#This Row],[Y-tunnus]],'1.2 Ohjaus-laskentataulu'!A:AT,COLUMN('1.2 Ohjaus-laskentataulu'!U:U),FALSE)/VLOOKUP(Vertailu[[#This Row],[Y-tunnus]],'1.2 Ohjaus-laskentataulu'!A:AT,COLUMN('1.2 Ohjaus-laskentataulu'!AR:AR),FALSE),0)</f>
        <v>0</v>
      </c>
      <c r="K23" s="46">
        <f>IFERROR(VLOOKUP(Vertailu[[#This Row],[Y-tunnus]],'1.2 Ohjaus-laskentataulu'!A:AT,COLUMN('1.2 Ohjaus-laskentataulu'!X:X),FALSE)/VLOOKUP(Vertailu[[#This Row],[Y-tunnus]],'1.2 Ohjaus-laskentataulu'!A:AT,COLUMN('1.2 Ohjaus-laskentataulu'!AR:AR),FALSE),0)</f>
        <v>0.13547527094386017</v>
      </c>
      <c r="L23" s="21">
        <f>IFERROR(VLOOKUP(Vertailu[[#This Row],[Y-tunnus]],'3.2 Suoritepäätös 2019'!$A:$S,COLUMN('3.2 Suoritepäätös 2019'!Q:Q),FALSE)-VLOOKUP(Vertailu[[#This Row],[Y-tunnus]],'3.2 Suoritepäätös 2019'!$A:$S,COLUMN('3.2 Suoritepäätös 2019'!L:L),FALSE),0)</f>
        <v>306521</v>
      </c>
      <c r="M23" s="21">
        <f>IFERROR(VLOOKUP(Vertailu[[#This Row],[Y-tunnus]],'1.2 Ohjaus-laskentataulu'!A:AT,COLUMN('1.2 Ohjaus-laskentataulu'!Z:Z),FALSE),0)</f>
        <v>299324</v>
      </c>
      <c r="N23" s="21">
        <f>IFERROR(Vertailu[[#This Row],[Rahoitus pl. hark. kor. 2020 ilman alv, €]]-Vertailu[[#This Row],[Rahoitus pl. hark. kor. 2019 ilman alv, €]],0)</f>
        <v>-7197</v>
      </c>
      <c r="O23" s="46">
        <f>IFERROR(Vertailu[[#This Row],[Muutos, € 1]]/Vertailu[[#This Row],[Rahoitus pl. hark. kor. 2019 ilman alv, €]],0)</f>
        <v>-2.3479631085635243E-2</v>
      </c>
      <c r="P23" s="217">
        <f>IFERROR(VLOOKUP(Vertailu[[#This Row],[Y-tunnus]],'3.2 Suoritepäätös 2019'!$A:$S,COLUMN('3.2 Suoritepäätös 2019'!Q:Q),FALSE),0)</f>
        <v>306521</v>
      </c>
      <c r="Q23" s="243">
        <f>IFERROR(VLOOKUP(Vertailu[[#This Row],[Y-tunnus]],'1.2 Ohjaus-laskentataulu'!A:AT,COLUMN('1.2 Ohjaus-laskentataulu'!AR:AR),FALSE),0)</f>
        <v>299324</v>
      </c>
      <c r="R23" s="21">
        <f>IFERROR(Vertailu[[#This Row],[Rahoitus ml. hark. kor. 
2020 ilman alv, €]]-Vertailu[[#This Row],[Rahoitus ml. hark. kor. 
2019 ilman alv, €]],0)</f>
        <v>-7197</v>
      </c>
      <c r="S23" s="19">
        <f>IFERROR(Vertailu[[#This Row],[Muutos, € 2]]/Vertailu[[#This Row],[Rahoitus ml. hark. kor. 
2019 ilman alv, €]],0)</f>
        <v>-2.3479631085635243E-2</v>
      </c>
      <c r="T23" s="243">
        <f>IFERROR(VLOOKUP(Vertailu[[#This Row],[Y-tunnus]],'3.2 Suoritepäätös 2019'!$A:$S,COLUMN('3.2 Suoritepäätös 2019'!Q:Q),FALSE)+VLOOKUP(Vertailu[[#This Row],[Y-tunnus]],'3.2 Suoritepäätös 2019'!$A:$S,COLUMN('3.2 Suoritepäätös 2019'!R:R),FALSE),0)</f>
        <v>320381</v>
      </c>
      <c r="U23" s="217">
        <f>IFERROR(VLOOKUP(Vertailu[[#This Row],[Y-tunnus]],'1.2 Ohjaus-laskentataulu'!A:AT,COLUMN('1.2 Ohjaus-laskentataulu'!AT:AT),FALSE),0)</f>
        <v>299324</v>
      </c>
      <c r="V23" s="249">
        <f>IFERROR(Vertailu[[#This Row],[Rahoitus ml. hark. kor. + alv 2020, €]]-Vertailu[[#This Row],[Rahoitus ml. hark. kor. + alv 2019, €]],0)</f>
        <v>-21057</v>
      </c>
      <c r="W23" s="46">
        <f>IFERROR(Vertailu[[#This Row],[Muutos, € 3]]/Vertailu[[#This Row],[Rahoitus ml. hark. kor. + alv 2019, €]],0)</f>
        <v>-6.5724871325078579E-2</v>
      </c>
    </row>
    <row r="24" spans="1:23" ht="12.75" customHeight="1" x14ac:dyDescent="0.25">
      <c r="A24" s="12" t="s">
        <v>392</v>
      </c>
      <c r="B24" s="297" t="s">
        <v>36</v>
      </c>
      <c r="C24" s="297" t="s">
        <v>246</v>
      </c>
      <c r="D24" s="297" t="s">
        <v>423</v>
      </c>
      <c r="E24" s="22">
        <f>IFERROR(VLOOKUP(Vertailu[[#This Row],[Y-tunnus]],'1.2 Ohjaus-laskentataulu'!A:AT,COLUMN('1.2 Ohjaus-laskentataulu'!L:L),FALSE)/VLOOKUP(Vertailu[[#This Row],[Y-tunnus]],'1.2 Ohjaus-laskentataulu'!A:AT,COLUMN('1.2 Ohjaus-laskentataulu'!AR:AR),FALSE),0)</f>
        <v>0.65559529213180334</v>
      </c>
      <c r="F24" s="46">
        <f>IFERROR(VLOOKUP(Vertailu[[#This Row],[Y-tunnus]],'1.2 Ohjaus-laskentataulu'!A:AT,COLUMN('1.2 Ohjaus-laskentataulu'!AO:AO),FALSE)/VLOOKUP(Vertailu[[#This Row],[Y-tunnus]],'1.2 Ohjaus-laskentataulu'!A:AT,COLUMN('1.2 Ohjaus-laskentataulu'!AR:AR),FALSE),0)</f>
        <v>0.65559529213180334</v>
      </c>
      <c r="G24" s="299">
        <f>IFERROR(VLOOKUP(Vertailu[[#This Row],[Y-tunnus]],'1.2 Ohjaus-laskentataulu'!A:AT,COLUMN('1.2 Ohjaus-laskentataulu'!AP:AP),FALSE)/VLOOKUP(Vertailu[[#This Row],[Y-tunnus]],'1.2 Ohjaus-laskentataulu'!A:AT,COLUMN('1.2 Ohjaus-laskentataulu'!AR:AR),FALSE),0)</f>
        <v>0.19575986893431113</v>
      </c>
      <c r="H24" s="22">
        <f>IFERROR(VLOOKUP(Vertailu[[#This Row],[Y-tunnus]],'1.2 Ohjaus-laskentataulu'!A:AT,COLUMN('1.2 Ohjaus-laskentataulu'!AQ:AQ),FALSE)/VLOOKUP(Vertailu[[#This Row],[Y-tunnus]],'1.2 Ohjaus-laskentataulu'!A:AT,COLUMN('1.2 Ohjaus-laskentataulu'!AR:AR),FALSE),0)</f>
        <v>0.14864483893388558</v>
      </c>
      <c r="I24" s="19">
        <f>IFERROR(VLOOKUP(Vertailu[[#This Row],[Y-tunnus]],'1.2 Ohjaus-laskentataulu'!A:AT,COLUMN('1.2 Ohjaus-laskentataulu'!R:R),FALSE)/VLOOKUP(Vertailu[[#This Row],[Y-tunnus]],'1.2 Ohjaus-laskentataulu'!A:AT,COLUMN('1.2 Ohjaus-laskentataulu'!AR:AR),FALSE),0)</f>
        <v>0.10020620859870352</v>
      </c>
      <c r="J24" s="19">
        <f>IFERROR(VLOOKUP(Vertailu[[#This Row],[Y-tunnus]],'1.2 Ohjaus-laskentataulu'!A:AT,COLUMN('1.2 Ohjaus-laskentataulu'!U:U),FALSE)/VLOOKUP(Vertailu[[#This Row],[Y-tunnus]],'1.2 Ohjaus-laskentataulu'!A:AT,COLUMN('1.2 Ohjaus-laskentataulu'!AR:AR),FALSE),0)</f>
        <v>1.0362735641640307E-2</v>
      </c>
      <c r="K24" s="46">
        <f>IFERROR(VLOOKUP(Vertailu[[#This Row],[Y-tunnus]],'1.2 Ohjaus-laskentataulu'!A:AT,COLUMN('1.2 Ohjaus-laskentataulu'!X:X),FALSE)/VLOOKUP(Vertailu[[#This Row],[Y-tunnus]],'1.2 Ohjaus-laskentataulu'!A:AT,COLUMN('1.2 Ohjaus-laskentataulu'!AR:AR),FALSE),0)</f>
        <v>3.8075894693541751E-2</v>
      </c>
      <c r="L24" s="21">
        <f>IFERROR(VLOOKUP(Vertailu[[#This Row],[Y-tunnus]],'3.2 Suoritepäätös 2019'!$A:$S,COLUMN('3.2 Suoritepäätös 2019'!Q:Q),FALSE)-VLOOKUP(Vertailu[[#This Row],[Y-tunnus]],'3.2 Suoritepäätös 2019'!$A:$S,COLUMN('3.2 Suoritepäätös 2019'!L:L),FALSE),0)</f>
        <v>1154191</v>
      </c>
      <c r="M24" s="21">
        <f>IFERROR(VLOOKUP(Vertailu[[#This Row],[Y-tunnus]],'1.2 Ohjaus-laskentataulu'!A:AT,COLUMN('1.2 Ohjaus-laskentataulu'!Z:Z),FALSE),0)</f>
        <v>1127984</v>
      </c>
      <c r="N24" s="21">
        <f>IFERROR(Vertailu[[#This Row],[Rahoitus pl. hark. kor. 2020 ilman alv, €]]-Vertailu[[#This Row],[Rahoitus pl. hark. kor. 2019 ilman alv, €]],0)</f>
        <v>-26207</v>
      </c>
      <c r="O24" s="46">
        <f>IFERROR(Vertailu[[#This Row],[Muutos, € 1]]/Vertailu[[#This Row],[Rahoitus pl. hark. kor. 2019 ilman alv, €]],0)</f>
        <v>-2.2705947282555487E-2</v>
      </c>
      <c r="P24" s="217">
        <f>IFERROR(VLOOKUP(Vertailu[[#This Row],[Y-tunnus]],'3.2 Suoritepäätös 2019'!$A:$S,COLUMN('3.2 Suoritepäätös 2019'!Q:Q),FALSE),0)</f>
        <v>1154191</v>
      </c>
      <c r="Q24" s="243">
        <f>IFERROR(VLOOKUP(Vertailu[[#This Row],[Y-tunnus]],'1.2 Ohjaus-laskentataulu'!A:AT,COLUMN('1.2 Ohjaus-laskentataulu'!AR:AR),FALSE),0)</f>
        <v>1127984</v>
      </c>
      <c r="R24" s="21">
        <f>IFERROR(Vertailu[[#This Row],[Rahoitus ml. hark. kor. 
2020 ilman alv, €]]-Vertailu[[#This Row],[Rahoitus ml. hark. kor. 
2019 ilman alv, €]],0)</f>
        <v>-26207</v>
      </c>
      <c r="S24" s="19">
        <f>IFERROR(Vertailu[[#This Row],[Muutos, € 2]]/Vertailu[[#This Row],[Rahoitus ml. hark. kor. 
2019 ilman alv, €]],0)</f>
        <v>-2.2705947282555487E-2</v>
      </c>
      <c r="T24" s="243">
        <f>IFERROR(VLOOKUP(Vertailu[[#This Row],[Y-tunnus]],'3.2 Suoritepäätös 2019'!$A:$S,COLUMN('3.2 Suoritepäätös 2019'!Q:Q),FALSE)+VLOOKUP(Vertailu[[#This Row],[Y-tunnus]],'3.2 Suoritepäätös 2019'!$A:$S,COLUMN('3.2 Suoritepäätös 2019'!R:R),FALSE),0)</f>
        <v>1216219</v>
      </c>
      <c r="U24" s="217">
        <f>IFERROR(VLOOKUP(Vertailu[[#This Row],[Y-tunnus]],'1.2 Ohjaus-laskentataulu'!A:AT,COLUMN('1.2 Ohjaus-laskentataulu'!AT:AT),FALSE),0)</f>
        <v>1197666</v>
      </c>
      <c r="V24" s="249">
        <f>IFERROR(Vertailu[[#This Row],[Rahoitus ml. hark. kor. + alv 2020, €]]-Vertailu[[#This Row],[Rahoitus ml. hark. kor. + alv 2019, €]],0)</f>
        <v>-18553</v>
      </c>
      <c r="W24" s="46">
        <f>IFERROR(Vertailu[[#This Row],[Muutos, € 3]]/Vertailu[[#This Row],[Rahoitus ml. hark. kor. + alv 2019, €]],0)</f>
        <v>-1.5254653972680906E-2</v>
      </c>
    </row>
    <row r="25" spans="1:23" ht="12.75" customHeight="1" x14ac:dyDescent="0.25">
      <c r="A25" s="12" t="s">
        <v>391</v>
      </c>
      <c r="B25" s="297" t="s">
        <v>37</v>
      </c>
      <c r="C25" s="297" t="s">
        <v>256</v>
      </c>
      <c r="D25" s="297" t="s">
        <v>423</v>
      </c>
      <c r="E25" s="22">
        <f>IFERROR(VLOOKUP(Vertailu[[#This Row],[Y-tunnus]],'1.2 Ohjaus-laskentataulu'!A:AT,COLUMN('1.2 Ohjaus-laskentataulu'!L:L),FALSE)/VLOOKUP(Vertailu[[#This Row],[Y-tunnus]],'1.2 Ohjaus-laskentataulu'!A:AT,COLUMN('1.2 Ohjaus-laskentataulu'!AR:AR),FALSE),0)</f>
        <v>0.73658772052183741</v>
      </c>
      <c r="F25" s="46">
        <f>IFERROR(VLOOKUP(Vertailu[[#This Row],[Y-tunnus]],'1.2 Ohjaus-laskentataulu'!A:AT,COLUMN('1.2 Ohjaus-laskentataulu'!AO:AO),FALSE)/VLOOKUP(Vertailu[[#This Row],[Y-tunnus]],'1.2 Ohjaus-laskentataulu'!A:AT,COLUMN('1.2 Ohjaus-laskentataulu'!AR:AR),FALSE),0)</f>
        <v>0.76595392442607424</v>
      </c>
      <c r="G25" s="299">
        <f>IFERROR(VLOOKUP(Vertailu[[#This Row],[Y-tunnus]],'1.2 Ohjaus-laskentataulu'!A:AT,COLUMN('1.2 Ohjaus-laskentataulu'!AP:AP),FALSE)/VLOOKUP(Vertailu[[#This Row],[Y-tunnus]],'1.2 Ohjaus-laskentataulu'!A:AT,COLUMN('1.2 Ohjaus-laskentataulu'!AR:AR),FALSE),0)</f>
        <v>0.17080632254370059</v>
      </c>
      <c r="H25" s="22">
        <f>IFERROR(VLOOKUP(Vertailu[[#This Row],[Y-tunnus]],'1.2 Ohjaus-laskentataulu'!A:AT,COLUMN('1.2 Ohjaus-laskentataulu'!AQ:AQ),FALSE)/VLOOKUP(Vertailu[[#This Row],[Y-tunnus]],'1.2 Ohjaus-laskentataulu'!A:AT,COLUMN('1.2 Ohjaus-laskentataulu'!AR:AR),FALSE),0)</f>
        <v>6.3239753030225165E-2</v>
      </c>
      <c r="I25" s="19">
        <f>IFERROR(VLOOKUP(Vertailu[[#This Row],[Y-tunnus]],'1.2 Ohjaus-laskentataulu'!A:AT,COLUMN('1.2 Ohjaus-laskentataulu'!R:R),FALSE)/VLOOKUP(Vertailu[[#This Row],[Y-tunnus]],'1.2 Ohjaus-laskentataulu'!A:AT,COLUMN('1.2 Ohjaus-laskentataulu'!AR:AR),FALSE),0)</f>
        <v>4.2110035166029174E-2</v>
      </c>
      <c r="J25" s="19">
        <f>IFERROR(VLOOKUP(Vertailu[[#This Row],[Y-tunnus]],'1.2 Ohjaus-laskentataulu'!A:AT,COLUMN('1.2 Ohjaus-laskentataulu'!U:U),FALSE)/VLOOKUP(Vertailu[[#This Row],[Y-tunnus]],'1.2 Ohjaus-laskentataulu'!A:AT,COLUMN('1.2 Ohjaus-laskentataulu'!AR:AR),FALSE),0)</f>
        <v>6.0211730330149548E-3</v>
      </c>
      <c r="K25" s="46">
        <f>IFERROR(VLOOKUP(Vertailu[[#This Row],[Y-tunnus]],'1.2 Ohjaus-laskentataulu'!A:AT,COLUMN('1.2 Ohjaus-laskentataulu'!X:X),FALSE)/VLOOKUP(Vertailu[[#This Row],[Y-tunnus]],'1.2 Ohjaus-laskentataulu'!A:AT,COLUMN('1.2 Ohjaus-laskentataulu'!AR:AR),FALSE),0)</f>
        <v>1.5108544831181035E-2</v>
      </c>
      <c r="L25" s="21">
        <f>IFERROR(VLOOKUP(Vertailu[[#This Row],[Y-tunnus]],'3.2 Suoritepäätös 2019'!$A:$S,COLUMN('3.2 Suoritepäätös 2019'!Q:Q),FALSE)-VLOOKUP(Vertailu[[#This Row],[Y-tunnus]],'3.2 Suoritepäätös 2019'!$A:$S,COLUMN('3.2 Suoritepäätös 2019'!L:L),FALSE),0)</f>
        <v>2932574</v>
      </c>
      <c r="M25" s="21">
        <f>IFERROR(VLOOKUP(Vertailu[[#This Row],[Y-tunnus]],'1.2 Ohjaus-laskentataulu'!A:AT,COLUMN('1.2 Ohjaus-laskentataulu'!Z:Z),FALSE),0)</f>
        <v>2644220</v>
      </c>
      <c r="N25" s="21">
        <f>IFERROR(Vertailu[[#This Row],[Rahoitus pl. hark. kor. 2020 ilman alv, €]]-Vertailu[[#This Row],[Rahoitus pl. hark. kor. 2019 ilman alv, €]],0)</f>
        <v>-288354</v>
      </c>
      <c r="O25" s="46">
        <f>IFERROR(Vertailu[[#This Row],[Muutos, € 1]]/Vertailu[[#This Row],[Rahoitus pl. hark. kor. 2019 ilman alv, €]],0)</f>
        <v>-9.8327953531607393E-2</v>
      </c>
      <c r="P25" s="217">
        <f>IFERROR(VLOOKUP(Vertailu[[#This Row],[Y-tunnus]],'3.2 Suoritepäätös 2019'!$A:$S,COLUMN('3.2 Suoritepäätös 2019'!Q:Q),FALSE),0)</f>
        <v>2932574</v>
      </c>
      <c r="Q25" s="243">
        <f>IFERROR(VLOOKUP(Vertailu[[#This Row],[Y-tunnus]],'1.2 Ohjaus-laskentataulu'!A:AT,COLUMN('1.2 Ohjaus-laskentataulu'!AR:AR),FALSE),0)</f>
        <v>2724220</v>
      </c>
      <c r="R25" s="21">
        <f>IFERROR(Vertailu[[#This Row],[Rahoitus ml. hark. kor. 
2020 ilman alv, €]]-Vertailu[[#This Row],[Rahoitus ml. hark. kor. 
2019 ilman alv, €]],0)</f>
        <v>-208354</v>
      </c>
      <c r="S25" s="19">
        <f>IFERROR(Vertailu[[#This Row],[Muutos, € 2]]/Vertailu[[#This Row],[Rahoitus ml. hark. kor. 
2019 ilman alv, €]],0)</f>
        <v>-7.1048164513495646E-2</v>
      </c>
      <c r="T25" s="243">
        <f>IFERROR(VLOOKUP(Vertailu[[#This Row],[Y-tunnus]],'3.2 Suoritepäätös 2019'!$A:$S,COLUMN('3.2 Suoritepäätös 2019'!Q:Q),FALSE)+VLOOKUP(Vertailu[[#This Row],[Y-tunnus]],'3.2 Suoritepäätös 2019'!$A:$S,COLUMN('3.2 Suoritepäätös 2019'!R:R),FALSE),0)</f>
        <v>3090390</v>
      </c>
      <c r="U25" s="217">
        <f>IFERROR(VLOOKUP(Vertailu[[#This Row],[Y-tunnus]],'1.2 Ohjaus-laskentataulu'!A:AT,COLUMN('1.2 Ohjaus-laskentataulu'!AT:AT),FALSE),0)</f>
        <v>2941606</v>
      </c>
      <c r="V25" s="249">
        <f>IFERROR(Vertailu[[#This Row],[Rahoitus ml. hark. kor. + alv 2020, €]]-Vertailu[[#This Row],[Rahoitus ml. hark. kor. + alv 2019, €]],0)</f>
        <v>-148784</v>
      </c>
      <c r="W25" s="46">
        <f>IFERROR(Vertailu[[#This Row],[Muutos, € 3]]/Vertailu[[#This Row],[Rahoitus ml. hark. kor. + alv 2019, €]],0)</f>
        <v>-4.8144085374337869E-2</v>
      </c>
    </row>
    <row r="26" spans="1:23" ht="12.75" customHeight="1" x14ac:dyDescent="0.25">
      <c r="A26" s="12" t="s">
        <v>390</v>
      </c>
      <c r="B26" s="297" t="s">
        <v>209</v>
      </c>
      <c r="C26" s="297" t="s">
        <v>238</v>
      </c>
      <c r="D26" s="297" t="s">
        <v>423</v>
      </c>
      <c r="E26" s="22">
        <f>IFERROR(VLOOKUP(Vertailu[[#This Row],[Y-tunnus]],'1.2 Ohjaus-laskentataulu'!A:AT,COLUMN('1.2 Ohjaus-laskentataulu'!L:L),FALSE)/VLOOKUP(Vertailu[[#This Row],[Y-tunnus]],'1.2 Ohjaus-laskentataulu'!A:AT,COLUMN('1.2 Ohjaus-laskentataulu'!AR:AR),FALSE),0)</f>
        <v>0.80811205550033471</v>
      </c>
      <c r="F26" s="46">
        <f>IFERROR(VLOOKUP(Vertailu[[#This Row],[Y-tunnus]],'1.2 Ohjaus-laskentataulu'!A:AT,COLUMN('1.2 Ohjaus-laskentataulu'!AO:AO),FALSE)/VLOOKUP(Vertailu[[#This Row],[Y-tunnus]],'1.2 Ohjaus-laskentataulu'!A:AT,COLUMN('1.2 Ohjaus-laskentataulu'!AR:AR),FALSE),0)</f>
        <v>0.80811205550033471</v>
      </c>
      <c r="G26" s="299">
        <f>IFERROR(VLOOKUP(Vertailu[[#This Row],[Y-tunnus]],'1.2 Ohjaus-laskentataulu'!A:AT,COLUMN('1.2 Ohjaus-laskentataulu'!AP:AP),FALSE)/VLOOKUP(Vertailu[[#This Row],[Y-tunnus]],'1.2 Ohjaus-laskentataulu'!A:AT,COLUMN('1.2 Ohjaus-laskentataulu'!AR:AR),FALSE),0)</f>
        <v>6.246830435929164E-2</v>
      </c>
      <c r="H26" s="22">
        <f>IFERROR(VLOOKUP(Vertailu[[#This Row],[Y-tunnus]],'1.2 Ohjaus-laskentataulu'!A:AT,COLUMN('1.2 Ohjaus-laskentataulu'!AQ:AQ),FALSE)/VLOOKUP(Vertailu[[#This Row],[Y-tunnus]],'1.2 Ohjaus-laskentataulu'!A:AT,COLUMN('1.2 Ohjaus-laskentataulu'!AR:AR),FALSE),0)</f>
        <v>0.12941964014037366</v>
      </c>
      <c r="I26" s="19">
        <f>IFERROR(VLOOKUP(Vertailu[[#This Row],[Y-tunnus]],'1.2 Ohjaus-laskentataulu'!A:AT,COLUMN('1.2 Ohjaus-laskentataulu'!R:R),FALSE)/VLOOKUP(Vertailu[[#This Row],[Y-tunnus]],'1.2 Ohjaus-laskentataulu'!A:AT,COLUMN('1.2 Ohjaus-laskentataulu'!AR:AR),FALSE),0)</f>
        <v>0.11598068848002921</v>
      </c>
      <c r="J26" s="19">
        <f>IFERROR(VLOOKUP(Vertailu[[#This Row],[Y-tunnus]],'1.2 Ohjaus-laskentataulu'!A:AT,COLUMN('1.2 Ohjaus-laskentataulu'!U:U),FALSE)/VLOOKUP(Vertailu[[#This Row],[Y-tunnus]],'1.2 Ohjaus-laskentataulu'!A:AT,COLUMN('1.2 Ohjaus-laskentataulu'!AR:AR),FALSE),0)</f>
        <v>1.3438951660344443E-2</v>
      </c>
      <c r="K26" s="46">
        <f>IFERROR(VLOOKUP(Vertailu[[#This Row],[Y-tunnus]],'1.2 Ohjaus-laskentataulu'!A:AT,COLUMN('1.2 Ohjaus-laskentataulu'!X:X),FALSE)/VLOOKUP(Vertailu[[#This Row],[Y-tunnus]],'1.2 Ohjaus-laskentataulu'!A:AT,COLUMN('1.2 Ohjaus-laskentataulu'!AR:AR),FALSE),0)</f>
        <v>0</v>
      </c>
      <c r="L26" s="21">
        <f>IFERROR(VLOOKUP(Vertailu[[#This Row],[Y-tunnus]],'3.2 Suoritepäätös 2019'!$A:$S,COLUMN('3.2 Suoritepäätös 2019'!Q:Q),FALSE)-VLOOKUP(Vertailu[[#This Row],[Y-tunnus]],'3.2 Suoritepäätös 2019'!$A:$S,COLUMN('3.2 Suoritepäätös 2019'!L:L),FALSE),0)</f>
        <v>132346</v>
      </c>
      <c r="M26" s="21">
        <f>IFERROR(VLOOKUP(Vertailu[[#This Row],[Y-tunnus]],'1.2 Ohjaus-laskentataulu'!A:AT,COLUMN('1.2 Ohjaus-laskentataulu'!Z:Z),FALSE),0)</f>
        <v>98594</v>
      </c>
      <c r="N26" s="21">
        <f>IFERROR(Vertailu[[#This Row],[Rahoitus pl. hark. kor. 2020 ilman alv, €]]-Vertailu[[#This Row],[Rahoitus pl. hark. kor. 2019 ilman alv, €]],0)</f>
        <v>-33752</v>
      </c>
      <c r="O26" s="46">
        <f>IFERROR(Vertailu[[#This Row],[Muutos, € 1]]/Vertailu[[#This Row],[Rahoitus pl. hark. kor. 2019 ilman alv, €]],0)</f>
        <v>-0.25502848593837368</v>
      </c>
      <c r="P26" s="217">
        <f>IFERROR(VLOOKUP(Vertailu[[#This Row],[Y-tunnus]],'3.2 Suoritepäätös 2019'!$A:$S,COLUMN('3.2 Suoritepäätös 2019'!Q:Q),FALSE),0)</f>
        <v>132346</v>
      </c>
      <c r="Q26" s="243">
        <f>IFERROR(VLOOKUP(Vertailu[[#This Row],[Y-tunnus]],'1.2 Ohjaus-laskentataulu'!A:AT,COLUMN('1.2 Ohjaus-laskentataulu'!AR:AR),FALSE),0)</f>
        <v>98594</v>
      </c>
      <c r="R26" s="21">
        <f>IFERROR(Vertailu[[#This Row],[Rahoitus ml. hark. kor. 
2020 ilman alv, €]]-Vertailu[[#This Row],[Rahoitus ml. hark. kor. 
2019 ilman alv, €]],0)</f>
        <v>-33752</v>
      </c>
      <c r="S26" s="19">
        <f>IFERROR(Vertailu[[#This Row],[Muutos, € 2]]/Vertailu[[#This Row],[Rahoitus ml. hark. kor. 
2019 ilman alv, €]],0)</f>
        <v>-0.25502848593837368</v>
      </c>
      <c r="T26" s="243">
        <f>IFERROR(VLOOKUP(Vertailu[[#This Row],[Y-tunnus]],'3.2 Suoritepäätös 2019'!$A:$S,COLUMN('3.2 Suoritepäätös 2019'!Q:Q),FALSE)+VLOOKUP(Vertailu[[#This Row],[Y-tunnus]],'3.2 Suoritepäätös 2019'!$A:$S,COLUMN('3.2 Suoritepäätös 2019'!R:R),FALSE),0)</f>
        <v>139162</v>
      </c>
      <c r="U26" s="217">
        <f>IFERROR(VLOOKUP(Vertailu[[#This Row],[Y-tunnus]],'1.2 Ohjaus-laskentataulu'!A:AT,COLUMN('1.2 Ohjaus-laskentataulu'!AT:AT),FALSE),0)</f>
        <v>102960</v>
      </c>
      <c r="V26" s="249">
        <f>IFERROR(Vertailu[[#This Row],[Rahoitus ml. hark. kor. + alv 2020, €]]-Vertailu[[#This Row],[Rahoitus ml. hark. kor. + alv 2019, €]],0)</f>
        <v>-36202</v>
      </c>
      <c r="W26" s="46">
        <f>IFERROR(Vertailu[[#This Row],[Muutos, € 3]]/Vertailu[[#This Row],[Rahoitus ml. hark. kor. + alv 2019, €]],0)</f>
        <v>-0.26014285508975149</v>
      </c>
    </row>
    <row r="27" spans="1:23" ht="12.75" customHeight="1" x14ac:dyDescent="0.25">
      <c r="A27" s="12" t="s">
        <v>389</v>
      </c>
      <c r="B27" s="297" t="s">
        <v>38</v>
      </c>
      <c r="C27" s="297" t="s">
        <v>238</v>
      </c>
      <c r="D27" s="297" t="s">
        <v>424</v>
      </c>
      <c r="E27" s="22">
        <f>IFERROR(VLOOKUP(Vertailu[[#This Row],[Y-tunnus]],'1.2 Ohjaus-laskentataulu'!A:AT,COLUMN('1.2 Ohjaus-laskentataulu'!L:L),FALSE)/VLOOKUP(Vertailu[[#This Row],[Y-tunnus]],'1.2 Ohjaus-laskentataulu'!A:AT,COLUMN('1.2 Ohjaus-laskentataulu'!AR:AR),FALSE),0)</f>
        <v>0.70571708834406999</v>
      </c>
      <c r="F27" s="46">
        <f>IFERROR(VLOOKUP(Vertailu[[#This Row],[Y-tunnus]],'1.2 Ohjaus-laskentataulu'!A:AT,COLUMN('1.2 Ohjaus-laskentataulu'!AO:AO),FALSE)/VLOOKUP(Vertailu[[#This Row],[Y-tunnus]],'1.2 Ohjaus-laskentataulu'!A:AT,COLUMN('1.2 Ohjaus-laskentataulu'!AR:AR),FALSE),0)</f>
        <v>0.71062070974231539</v>
      </c>
      <c r="G27" s="299">
        <f>IFERROR(VLOOKUP(Vertailu[[#This Row],[Y-tunnus]],'1.2 Ohjaus-laskentataulu'!A:AT,COLUMN('1.2 Ohjaus-laskentataulu'!AP:AP),FALSE)/VLOOKUP(Vertailu[[#This Row],[Y-tunnus]],'1.2 Ohjaus-laskentataulu'!A:AT,COLUMN('1.2 Ohjaus-laskentataulu'!AR:AR),FALSE),0)</f>
        <v>0.20054992325601753</v>
      </c>
      <c r="H27" s="22">
        <f>IFERROR(VLOOKUP(Vertailu[[#This Row],[Y-tunnus]],'1.2 Ohjaus-laskentataulu'!A:AT,COLUMN('1.2 Ohjaus-laskentataulu'!AQ:AQ),FALSE)/VLOOKUP(Vertailu[[#This Row],[Y-tunnus]],'1.2 Ohjaus-laskentataulu'!A:AT,COLUMN('1.2 Ohjaus-laskentataulu'!AR:AR),FALSE),0)</f>
        <v>8.8829367001667076E-2</v>
      </c>
      <c r="I27" s="19">
        <f>IFERROR(VLOOKUP(Vertailu[[#This Row],[Y-tunnus]],'1.2 Ohjaus-laskentataulu'!A:AT,COLUMN('1.2 Ohjaus-laskentataulu'!R:R),FALSE)/VLOOKUP(Vertailu[[#This Row],[Y-tunnus]],'1.2 Ohjaus-laskentataulu'!A:AT,COLUMN('1.2 Ohjaus-laskentataulu'!AR:AR),FALSE),0)</f>
        <v>7.8111412101161501E-2</v>
      </c>
      <c r="J27" s="19">
        <f>IFERROR(VLOOKUP(Vertailu[[#This Row],[Y-tunnus]],'1.2 Ohjaus-laskentataulu'!A:AT,COLUMN('1.2 Ohjaus-laskentataulu'!U:U),FALSE)/VLOOKUP(Vertailu[[#This Row],[Y-tunnus]],'1.2 Ohjaus-laskentataulu'!A:AT,COLUMN('1.2 Ohjaus-laskentataulu'!AR:AR),FALSE),0)</f>
        <v>3.5234885022596869E-3</v>
      </c>
      <c r="K27" s="46">
        <f>IFERROR(VLOOKUP(Vertailu[[#This Row],[Y-tunnus]],'1.2 Ohjaus-laskentataulu'!A:AT,COLUMN('1.2 Ohjaus-laskentataulu'!X:X),FALSE)/VLOOKUP(Vertailu[[#This Row],[Y-tunnus]],'1.2 Ohjaus-laskentataulu'!A:AT,COLUMN('1.2 Ohjaus-laskentataulu'!AR:AR),FALSE),0)</f>
        <v>7.1944663982458929E-3</v>
      </c>
      <c r="L27" s="21">
        <f>IFERROR(VLOOKUP(Vertailu[[#This Row],[Y-tunnus]],'3.2 Suoritepäätös 2019'!$A:$S,COLUMN('3.2 Suoritepäätös 2019'!Q:Q),FALSE)-VLOOKUP(Vertailu[[#This Row],[Y-tunnus]],'3.2 Suoritepäätös 2019'!$A:$S,COLUMN('3.2 Suoritepäätös 2019'!L:L),FALSE),0)</f>
        <v>84866296</v>
      </c>
      <c r="M27" s="21">
        <f>IFERROR(VLOOKUP(Vertailu[[#This Row],[Y-tunnus]],'1.2 Ohjaus-laskentataulu'!A:AT,COLUMN('1.2 Ohjaus-laskentataulu'!Z:Z),FALSE),0)</f>
        <v>86245639</v>
      </c>
      <c r="N27" s="21">
        <f>IFERROR(Vertailu[[#This Row],[Rahoitus pl. hark. kor. 2020 ilman alv, €]]-Vertailu[[#This Row],[Rahoitus pl. hark. kor. 2019 ilman alv, €]],0)</f>
        <v>1379343</v>
      </c>
      <c r="O27" s="46">
        <f>IFERROR(Vertailu[[#This Row],[Muutos, € 1]]/Vertailu[[#This Row],[Rahoitus pl. hark. kor. 2019 ilman alv, €]],0)</f>
        <v>1.625313068924323E-2</v>
      </c>
      <c r="P27" s="217">
        <f>IFERROR(VLOOKUP(Vertailu[[#This Row],[Y-tunnus]],'3.2 Suoritepäätös 2019'!$A:$S,COLUMN('3.2 Suoritepäätös 2019'!Q:Q),FALSE),0)</f>
        <v>85016296</v>
      </c>
      <c r="Q27" s="243">
        <f>IFERROR(VLOOKUP(Vertailu[[#This Row],[Y-tunnus]],'1.2 Ohjaus-laskentataulu'!A:AT,COLUMN('1.2 Ohjaus-laskentataulu'!AR:AR),FALSE),0)</f>
        <v>86670639</v>
      </c>
      <c r="R27" s="21">
        <f>IFERROR(Vertailu[[#This Row],[Rahoitus ml. hark. kor. 
2020 ilman alv, €]]-Vertailu[[#This Row],[Rahoitus ml. hark. kor. 
2019 ilman alv, €]],0)</f>
        <v>1654343</v>
      </c>
      <c r="S27" s="19">
        <f>IFERROR(Vertailu[[#This Row],[Muutos, € 2]]/Vertailu[[#This Row],[Rahoitus ml. hark. kor. 
2019 ilman alv, €]],0)</f>
        <v>1.945912816526375E-2</v>
      </c>
      <c r="T27" s="243">
        <f>IFERROR(VLOOKUP(Vertailu[[#This Row],[Y-tunnus]],'3.2 Suoritepäätös 2019'!$A:$S,COLUMN('3.2 Suoritepäätös 2019'!Q:Q),FALSE)+VLOOKUP(Vertailu[[#This Row],[Y-tunnus]],'3.2 Suoritepäätös 2019'!$A:$S,COLUMN('3.2 Suoritepäätös 2019'!R:R),FALSE),0)</f>
        <v>85016296</v>
      </c>
      <c r="U27" s="217">
        <f>IFERROR(VLOOKUP(Vertailu[[#This Row],[Y-tunnus]],'1.2 Ohjaus-laskentataulu'!A:AT,COLUMN('1.2 Ohjaus-laskentataulu'!AT:AT),FALSE),0)</f>
        <v>86670639</v>
      </c>
      <c r="V27" s="249">
        <f>IFERROR(Vertailu[[#This Row],[Rahoitus ml. hark. kor. + alv 2020, €]]-Vertailu[[#This Row],[Rahoitus ml. hark. kor. + alv 2019, €]],0)</f>
        <v>1654343</v>
      </c>
      <c r="W27" s="46">
        <f>IFERROR(Vertailu[[#This Row],[Muutos, € 3]]/Vertailu[[#This Row],[Rahoitus ml. hark. kor. + alv 2019, €]],0)</f>
        <v>1.945912816526375E-2</v>
      </c>
    </row>
    <row r="28" spans="1:23" ht="12.75" customHeight="1" x14ac:dyDescent="0.25">
      <c r="A28" s="12" t="s">
        <v>385</v>
      </c>
      <c r="B28" s="297" t="s">
        <v>39</v>
      </c>
      <c r="C28" s="297" t="s">
        <v>238</v>
      </c>
      <c r="D28" s="297" t="s">
        <v>423</v>
      </c>
      <c r="E28" s="22">
        <f>IFERROR(VLOOKUP(Vertailu[[#This Row],[Y-tunnus]],'1.2 Ohjaus-laskentataulu'!A:AT,COLUMN('1.2 Ohjaus-laskentataulu'!L:L),FALSE)/VLOOKUP(Vertailu[[#This Row],[Y-tunnus]],'1.2 Ohjaus-laskentataulu'!A:AT,COLUMN('1.2 Ohjaus-laskentataulu'!AR:AR),FALSE),0)</f>
        <v>0.60836191888548208</v>
      </c>
      <c r="F28" s="46">
        <f>IFERROR(VLOOKUP(Vertailu[[#This Row],[Y-tunnus]],'1.2 Ohjaus-laskentataulu'!A:AT,COLUMN('1.2 Ohjaus-laskentataulu'!AO:AO),FALSE)/VLOOKUP(Vertailu[[#This Row],[Y-tunnus]],'1.2 Ohjaus-laskentataulu'!A:AT,COLUMN('1.2 Ohjaus-laskentataulu'!AR:AR),FALSE),0)</f>
        <v>0.60836191888548208</v>
      </c>
      <c r="G28" s="299">
        <f>IFERROR(VLOOKUP(Vertailu[[#This Row],[Y-tunnus]],'1.2 Ohjaus-laskentataulu'!A:AT,COLUMN('1.2 Ohjaus-laskentataulu'!AP:AP),FALSE)/VLOOKUP(Vertailu[[#This Row],[Y-tunnus]],'1.2 Ohjaus-laskentataulu'!A:AT,COLUMN('1.2 Ohjaus-laskentataulu'!AR:AR),FALSE),0)</f>
        <v>0.30145576413201924</v>
      </c>
      <c r="H28" s="22">
        <f>IFERROR(VLOOKUP(Vertailu[[#This Row],[Y-tunnus]],'1.2 Ohjaus-laskentataulu'!A:AT,COLUMN('1.2 Ohjaus-laskentataulu'!AQ:AQ),FALSE)/VLOOKUP(Vertailu[[#This Row],[Y-tunnus]],'1.2 Ohjaus-laskentataulu'!A:AT,COLUMN('1.2 Ohjaus-laskentataulu'!AR:AR),FALSE),0)</f>
        <v>9.0182316982498664E-2</v>
      </c>
      <c r="I28" s="19">
        <f>IFERROR(VLOOKUP(Vertailu[[#This Row],[Y-tunnus]],'1.2 Ohjaus-laskentataulu'!A:AT,COLUMN('1.2 Ohjaus-laskentataulu'!R:R),FALSE)/VLOOKUP(Vertailu[[#This Row],[Y-tunnus]],'1.2 Ohjaus-laskentataulu'!A:AT,COLUMN('1.2 Ohjaus-laskentataulu'!AR:AR),FALSE),0)</f>
        <v>6.9255770808444264E-2</v>
      </c>
      <c r="J28" s="19">
        <f>IFERROR(VLOOKUP(Vertailu[[#This Row],[Y-tunnus]],'1.2 Ohjaus-laskentataulu'!A:AT,COLUMN('1.2 Ohjaus-laskentataulu'!U:U),FALSE)/VLOOKUP(Vertailu[[#This Row],[Y-tunnus]],'1.2 Ohjaus-laskentataulu'!A:AT,COLUMN('1.2 Ohjaus-laskentataulu'!AR:AR),FALSE),0)</f>
        <v>5.4928769625907769E-3</v>
      </c>
      <c r="K28" s="46">
        <f>IFERROR(VLOOKUP(Vertailu[[#This Row],[Y-tunnus]],'1.2 Ohjaus-laskentataulu'!A:AT,COLUMN('1.2 Ohjaus-laskentataulu'!X:X),FALSE)/VLOOKUP(Vertailu[[#This Row],[Y-tunnus]],'1.2 Ohjaus-laskentataulu'!A:AT,COLUMN('1.2 Ohjaus-laskentataulu'!AR:AR),FALSE),0)</f>
        <v>1.5433669211463625E-2</v>
      </c>
      <c r="L28" s="21">
        <f>IFERROR(VLOOKUP(Vertailu[[#This Row],[Y-tunnus]],'3.2 Suoritepäätös 2019'!$A:$S,COLUMN('3.2 Suoritepäätös 2019'!Q:Q),FALSE)-VLOOKUP(Vertailu[[#This Row],[Y-tunnus]],'3.2 Suoritepäätös 2019'!$A:$S,COLUMN('3.2 Suoritepäätös 2019'!L:L),FALSE),0)</f>
        <v>891895</v>
      </c>
      <c r="M28" s="21">
        <f>IFERROR(VLOOKUP(Vertailu[[#This Row],[Y-tunnus]],'1.2 Ohjaus-laskentataulu'!A:AT,COLUMN('1.2 Ohjaus-laskentataulu'!Z:Z),FALSE),0)</f>
        <v>988553</v>
      </c>
      <c r="N28" s="21">
        <f>IFERROR(Vertailu[[#This Row],[Rahoitus pl. hark. kor. 2020 ilman alv, €]]-Vertailu[[#This Row],[Rahoitus pl. hark. kor. 2019 ilman alv, €]],0)</f>
        <v>96658</v>
      </c>
      <c r="O28" s="46">
        <f>IFERROR(Vertailu[[#This Row],[Muutos, € 1]]/Vertailu[[#This Row],[Rahoitus pl. hark. kor. 2019 ilman alv, €]],0)</f>
        <v>0.10837374354604522</v>
      </c>
      <c r="P28" s="217">
        <f>IFERROR(VLOOKUP(Vertailu[[#This Row],[Y-tunnus]],'3.2 Suoritepäätös 2019'!$A:$S,COLUMN('3.2 Suoritepäätös 2019'!Q:Q),FALSE),0)</f>
        <v>891895</v>
      </c>
      <c r="Q28" s="243">
        <f>IFERROR(VLOOKUP(Vertailu[[#This Row],[Y-tunnus]],'1.2 Ohjaus-laskentataulu'!A:AT,COLUMN('1.2 Ohjaus-laskentataulu'!AR:AR),FALSE),0)</f>
        <v>988553</v>
      </c>
      <c r="R28" s="21">
        <f>IFERROR(Vertailu[[#This Row],[Rahoitus ml. hark. kor. 
2020 ilman alv, €]]-Vertailu[[#This Row],[Rahoitus ml. hark. kor. 
2019 ilman alv, €]],0)</f>
        <v>96658</v>
      </c>
      <c r="S28" s="19">
        <f>IFERROR(Vertailu[[#This Row],[Muutos, € 2]]/Vertailu[[#This Row],[Rahoitus ml. hark. kor. 
2019 ilman alv, €]],0)</f>
        <v>0.10837374354604522</v>
      </c>
      <c r="T28" s="243">
        <f>IFERROR(VLOOKUP(Vertailu[[#This Row],[Y-tunnus]],'3.2 Suoritepäätös 2019'!$A:$S,COLUMN('3.2 Suoritepäätös 2019'!Q:Q),FALSE)+VLOOKUP(Vertailu[[#This Row],[Y-tunnus]],'3.2 Suoritepäätös 2019'!$A:$S,COLUMN('3.2 Suoritepäätös 2019'!R:R),FALSE),0)</f>
        <v>938645</v>
      </c>
      <c r="U28" s="217">
        <f>IFERROR(VLOOKUP(Vertailu[[#This Row],[Y-tunnus]],'1.2 Ohjaus-laskentataulu'!A:AT,COLUMN('1.2 Ohjaus-laskentataulu'!AT:AT),FALSE),0)</f>
        <v>1012331</v>
      </c>
      <c r="V28" s="249">
        <f>IFERROR(Vertailu[[#This Row],[Rahoitus ml. hark. kor. + alv 2020, €]]-Vertailu[[#This Row],[Rahoitus ml. hark. kor. + alv 2019, €]],0)</f>
        <v>73686</v>
      </c>
      <c r="W28" s="46">
        <f>IFERROR(Vertailu[[#This Row],[Muutos, € 3]]/Vertailu[[#This Row],[Rahoitus ml. hark. kor. + alv 2019, €]],0)</f>
        <v>7.8502522252821894E-2</v>
      </c>
    </row>
    <row r="29" spans="1:23" ht="12.75" customHeight="1" x14ac:dyDescent="0.25">
      <c r="A29" s="12" t="s">
        <v>388</v>
      </c>
      <c r="B29" s="297" t="s">
        <v>40</v>
      </c>
      <c r="C29" s="297" t="s">
        <v>238</v>
      </c>
      <c r="D29" s="297" t="s">
        <v>423</v>
      </c>
      <c r="E29" s="22">
        <f>IFERROR(VLOOKUP(Vertailu[[#This Row],[Y-tunnus]],'1.2 Ohjaus-laskentataulu'!A:AT,COLUMN('1.2 Ohjaus-laskentataulu'!L:L),FALSE)/VLOOKUP(Vertailu[[#This Row],[Y-tunnus]],'1.2 Ohjaus-laskentataulu'!A:AT,COLUMN('1.2 Ohjaus-laskentataulu'!AR:AR),FALSE),0)</f>
        <v>0.68717624187666981</v>
      </c>
      <c r="F29" s="46">
        <f>IFERROR(VLOOKUP(Vertailu[[#This Row],[Y-tunnus]],'1.2 Ohjaus-laskentataulu'!A:AT,COLUMN('1.2 Ohjaus-laskentataulu'!AO:AO),FALSE)/VLOOKUP(Vertailu[[#This Row],[Y-tunnus]],'1.2 Ohjaus-laskentataulu'!A:AT,COLUMN('1.2 Ohjaus-laskentataulu'!AR:AR),FALSE),0)</f>
        <v>0.68717624187666981</v>
      </c>
      <c r="G29" s="299">
        <f>IFERROR(VLOOKUP(Vertailu[[#This Row],[Y-tunnus]],'1.2 Ohjaus-laskentataulu'!A:AT,COLUMN('1.2 Ohjaus-laskentataulu'!AP:AP),FALSE)/VLOOKUP(Vertailu[[#This Row],[Y-tunnus]],'1.2 Ohjaus-laskentataulu'!A:AT,COLUMN('1.2 Ohjaus-laskentataulu'!AR:AR),FALSE),0)</f>
        <v>0.20093216448696896</v>
      </c>
      <c r="H29" s="22">
        <f>IFERROR(VLOOKUP(Vertailu[[#This Row],[Y-tunnus]],'1.2 Ohjaus-laskentataulu'!A:AT,COLUMN('1.2 Ohjaus-laskentataulu'!AQ:AQ),FALSE)/VLOOKUP(Vertailu[[#This Row],[Y-tunnus]],'1.2 Ohjaus-laskentataulu'!A:AT,COLUMN('1.2 Ohjaus-laskentataulu'!AR:AR),FALSE),0)</f>
        <v>0.11189159363636124</v>
      </c>
      <c r="I29" s="19">
        <f>IFERROR(VLOOKUP(Vertailu[[#This Row],[Y-tunnus]],'1.2 Ohjaus-laskentataulu'!A:AT,COLUMN('1.2 Ohjaus-laskentataulu'!R:R),FALSE)/VLOOKUP(Vertailu[[#This Row],[Y-tunnus]],'1.2 Ohjaus-laskentataulu'!A:AT,COLUMN('1.2 Ohjaus-laskentataulu'!AR:AR),FALSE),0)</f>
        <v>8.7176092767222602E-2</v>
      </c>
      <c r="J29" s="19">
        <f>IFERROR(VLOOKUP(Vertailu[[#This Row],[Y-tunnus]],'1.2 Ohjaus-laskentataulu'!A:AT,COLUMN('1.2 Ohjaus-laskentataulu'!U:U),FALSE)/VLOOKUP(Vertailu[[#This Row],[Y-tunnus]],'1.2 Ohjaus-laskentataulu'!A:AT,COLUMN('1.2 Ohjaus-laskentataulu'!AR:AR),FALSE),0)</f>
        <v>1.1260609899660864E-2</v>
      </c>
      <c r="K29" s="46">
        <f>IFERROR(VLOOKUP(Vertailu[[#This Row],[Y-tunnus]],'1.2 Ohjaus-laskentataulu'!A:AT,COLUMN('1.2 Ohjaus-laskentataulu'!X:X),FALSE)/VLOOKUP(Vertailu[[#This Row],[Y-tunnus]],'1.2 Ohjaus-laskentataulu'!A:AT,COLUMN('1.2 Ohjaus-laskentataulu'!AR:AR),FALSE),0)</f>
        <v>1.3454890969477771E-2</v>
      </c>
      <c r="L29" s="21">
        <f>IFERROR(VLOOKUP(Vertailu[[#This Row],[Y-tunnus]],'3.2 Suoritepäätös 2019'!$A:$S,COLUMN('3.2 Suoritepäätös 2019'!Q:Q),FALSE)-VLOOKUP(Vertailu[[#This Row],[Y-tunnus]],'3.2 Suoritepäätös 2019'!$A:$S,COLUMN('3.2 Suoritepäätös 2019'!L:L),FALSE),0)</f>
        <v>13929086</v>
      </c>
      <c r="M29" s="21">
        <f>IFERROR(VLOOKUP(Vertailu[[#This Row],[Y-tunnus]],'1.2 Ohjaus-laskentataulu'!A:AT,COLUMN('1.2 Ohjaus-laskentataulu'!Z:Z),FALSE),0)</f>
        <v>14754263</v>
      </c>
      <c r="N29" s="21">
        <f>IFERROR(Vertailu[[#This Row],[Rahoitus pl. hark. kor. 2020 ilman alv, €]]-Vertailu[[#This Row],[Rahoitus pl. hark. kor. 2019 ilman alv, €]],0)</f>
        <v>825177</v>
      </c>
      <c r="O29" s="46">
        <f>IFERROR(Vertailu[[#This Row],[Muutos, € 1]]/Vertailu[[#This Row],[Rahoitus pl. hark. kor. 2019 ilman alv, €]],0)</f>
        <v>5.924128833722471E-2</v>
      </c>
      <c r="P29" s="217">
        <f>IFERROR(VLOOKUP(Vertailu[[#This Row],[Y-tunnus]],'3.2 Suoritepäätös 2019'!$A:$S,COLUMN('3.2 Suoritepäätös 2019'!Q:Q),FALSE),0)</f>
        <v>13929086</v>
      </c>
      <c r="Q29" s="243">
        <f>IFERROR(VLOOKUP(Vertailu[[#This Row],[Y-tunnus]],'1.2 Ohjaus-laskentataulu'!A:AT,COLUMN('1.2 Ohjaus-laskentataulu'!AR:AR),FALSE),0)</f>
        <v>14754263</v>
      </c>
      <c r="R29" s="21">
        <f>IFERROR(Vertailu[[#This Row],[Rahoitus ml. hark. kor. 
2020 ilman alv, €]]-Vertailu[[#This Row],[Rahoitus ml. hark. kor. 
2019 ilman alv, €]],0)</f>
        <v>825177</v>
      </c>
      <c r="S29" s="19">
        <f>IFERROR(Vertailu[[#This Row],[Muutos, € 2]]/Vertailu[[#This Row],[Rahoitus ml. hark. kor. 
2019 ilman alv, €]],0)</f>
        <v>5.924128833722471E-2</v>
      </c>
      <c r="T29" s="243">
        <f>IFERROR(VLOOKUP(Vertailu[[#This Row],[Y-tunnus]],'3.2 Suoritepäätös 2019'!$A:$S,COLUMN('3.2 Suoritepäätös 2019'!Q:Q),FALSE)+VLOOKUP(Vertailu[[#This Row],[Y-tunnus]],'3.2 Suoritepäätös 2019'!$A:$S,COLUMN('3.2 Suoritepäätös 2019'!R:R),FALSE),0)</f>
        <v>14651286</v>
      </c>
      <c r="U29" s="217">
        <f>IFERROR(VLOOKUP(Vertailu[[#This Row],[Y-tunnus]],'1.2 Ohjaus-laskentataulu'!A:AT,COLUMN('1.2 Ohjaus-laskentataulu'!AT:AT),FALSE),0)</f>
        <v>15945053</v>
      </c>
      <c r="V29" s="249">
        <f>IFERROR(Vertailu[[#This Row],[Rahoitus ml. hark. kor. + alv 2020, €]]-Vertailu[[#This Row],[Rahoitus ml. hark. kor. + alv 2019, €]],0)</f>
        <v>1293767</v>
      </c>
      <c r="W29" s="46">
        <f>IFERROR(Vertailu[[#This Row],[Muutos, € 3]]/Vertailu[[#This Row],[Rahoitus ml. hark. kor. + alv 2019, €]],0)</f>
        <v>8.8303989151532494E-2</v>
      </c>
    </row>
    <row r="30" spans="1:23" ht="12.75" customHeight="1" x14ac:dyDescent="0.25">
      <c r="A30" s="12" t="s">
        <v>387</v>
      </c>
      <c r="B30" s="297" t="s">
        <v>41</v>
      </c>
      <c r="C30" s="297" t="s">
        <v>238</v>
      </c>
      <c r="D30" s="297" t="s">
        <v>423</v>
      </c>
      <c r="E30" s="22">
        <f>IFERROR(VLOOKUP(Vertailu[[#This Row],[Y-tunnus]],'1.2 Ohjaus-laskentataulu'!A:AT,COLUMN('1.2 Ohjaus-laskentataulu'!L:L),FALSE)/VLOOKUP(Vertailu[[#This Row],[Y-tunnus]],'1.2 Ohjaus-laskentataulu'!A:AT,COLUMN('1.2 Ohjaus-laskentataulu'!AR:AR),FALSE),0)</f>
        <v>0.82894848802115273</v>
      </c>
      <c r="F30" s="46">
        <f>IFERROR(VLOOKUP(Vertailu[[#This Row],[Y-tunnus]],'1.2 Ohjaus-laskentataulu'!A:AT,COLUMN('1.2 Ohjaus-laskentataulu'!AO:AO),FALSE)/VLOOKUP(Vertailu[[#This Row],[Y-tunnus]],'1.2 Ohjaus-laskentataulu'!A:AT,COLUMN('1.2 Ohjaus-laskentataulu'!AR:AR),FALSE),0)</f>
        <v>0.83046896347534771</v>
      </c>
      <c r="G30" s="299">
        <f>IFERROR(VLOOKUP(Vertailu[[#This Row],[Y-tunnus]],'1.2 Ohjaus-laskentataulu'!A:AT,COLUMN('1.2 Ohjaus-laskentataulu'!AP:AP),FALSE)/VLOOKUP(Vertailu[[#This Row],[Y-tunnus]],'1.2 Ohjaus-laskentataulu'!A:AT,COLUMN('1.2 Ohjaus-laskentataulu'!AR:AR),FALSE),0)</f>
        <v>0.15235188758760054</v>
      </c>
      <c r="H30" s="22">
        <f>IFERROR(VLOOKUP(Vertailu[[#This Row],[Y-tunnus]],'1.2 Ohjaus-laskentataulu'!A:AT,COLUMN('1.2 Ohjaus-laskentataulu'!AQ:AQ),FALSE)/VLOOKUP(Vertailu[[#This Row],[Y-tunnus]],'1.2 Ohjaus-laskentataulu'!A:AT,COLUMN('1.2 Ohjaus-laskentataulu'!AR:AR),FALSE),0)</f>
        <v>1.7179148937051764E-2</v>
      </c>
      <c r="I30" s="19">
        <f>IFERROR(VLOOKUP(Vertailu[[#This Row],[Y-tunnus]],'1.2 Ohjaus-laskentataulu'!A:AT,COLUMN('1.2 Ohjaus-laskentataulu'!R:R),FALSE)/VLOOKUP(Vertailu[[#This Row],[Y-tunnus]],'1.2 Ohjaus-laskentataulu'!A:AT,COLUMN('1.2 Ohjaus-laskentataulu'!AR:AR),FALSE),0)</f>
        <v>9.2784543819636953E-3</v>
      </c>
      <c r="J30" s="19">
        <f>IFERROR(VLOOKUP(Vertailu[[#This Row],[Y-tunnus]],'1.2 Ohjaus-laskentataulu'!A:AT,COLUMN('1.2 Ohjaus-laskentataulu'!U:U),FALSE)/VLOOKUP(Vertailu[[#This Row],[Y-tunnus]],'1.2 Ohjaus-laskentataulu'!A:AT,COLUMN('1.2 Ohjaus-laskentataulu'!AR:AR),FALSE),0)</f>
        <v>1.9169964467058813E-3</v>
      </c>
      <c r="K30" s="46">
        <f>IFERROR(VLOOKUP(Vertailu[[#This Row],[Y-tunnus]],'1.2 Ohjaus-laskentataulu'!A:AT,COLUMN('1.2 Ohjaus-laskentataulu'!X:X),FALSE)/VLOOKUP(Vertailu[[#This Row],[Y-tunnus]],'1.2 Ohjaus-laskentataulu'!A:AT,COLUMN('1.2 Ohjaus-laskentataulu'!AR:AR),FALSE),0)</f>
        <v>5.9836981083821895E-3</v>
      </c>
      <c r="L30" s="21">
        <f>IFERROR(VLOOKUP(Vertailu[[#This Row],[Y-tunnus]],'3.2 Suoritepäätös 2019'!$A:$S,COLUMN('3.2 Suoritepäätös 2019'!Q:Q),FALSE)-VLOOKUP(Vertailu[[#This Row],[Y-tunnus]],'3.2 Suoritepäätös 2019'!$A:$S,COLUMN('3.2 Suoritepäätös 2019'!L:L),FALSE),0)</f>
        <v>47264507</v>
      </c>
      <c r="M30" s="21">
        <f>IFERROR(VLOOKUP(Vertailu[[#This Row],[Y-tunnus]],'1.2 Ohjaus-laskentataulu'!A:AT,COLUMN('1.2 Ohjaus-laskentataulu'!Z:Z),FALSE),0)</f>
        <v>52535121</v>
      </c>
      <c r="N30" s="21">
        <f>IFERROR(Vertailu[[#This Row],[Rahoitus pl. hark. kor. 2020 ilman alv, €]]-Vertailu[[#This Row],[Rahoitus pl. hark. kor. 2019 ilman alv, €]],0)</f>
        <v>5270614</v>
      </c>
      <c r="O30" s="46">
        <f>IFERROR(Vertailu[[#This Row],[Muutos, € 1]]/Vertailu[[#This Row],[Rahoitus pl. hark. kor. 2019 ilman alv, €]],0)</f>
        <v>0.11151314875663465</v>
      </c>
      <c r="P30" s="217">
        <f>IFERROR(VLOOKUP(Vertailu[[#This Row],[Y-tunnus]],'3.2 Suoritepäätös 2019'!$A:$S,COLUMN('3.2 Suoritepäätös 2019'!Q:Q),FALSE),0)</f>
        <v>47264507</v>
      </c>
      <c r="Q30" s="243">
        <f>IFERROR(VLOOKUP(Vertailu[[#This Row],[Y-tunnus]],'1.2 Ohjaus-laskentataulu'!A:AT,COLUMN('1.2 Ohjaus-laskentataulu'!AR:AR),FALSE),0)</f>
        <v>52615121</v>
      </c>
      <c r="R30" s="21">
        <f>IFERROR(Vertailu[[#This Row],[Rahoitus ml. hark. kor. 
2020 ilman alv, €]]-Vertailu[[#This Row],[Rahoitus ml. hark. kor. 
2019 ilman alv, €]],0)</f>
        <v>5350614</v>
      </c>
      <c r="S30" s="19">
        <f>IFERROR(Vertailu[[#This Row],[Muutos, € 2]]/Vertailu[[#This Row],[Rahoitus ml. hark. kor. 
2019 ilman alv, €]],0)</f>
        <v>0.11320575077615852</v>
      </c>
      <c r="T30" s="243">
        <f>IFERROR(VLOOKUP(Vertailu[[#This Row],[Y-tunnus]],'3.2 Suoritepäätös 2019'!$A:$S,COLUMN('3.2 Suoritepäätös 2019'!Q:Q),FALSE)+VLOOKUP(Vertailu[[#This Row],[Y-tunnus]],'3.2 Suoritepäätös 2019'!$A:$S,COLUMN('3.2 Suoritepäätös 2019'!R:R),FALSE),0)</f>
        <v>49880768</v>
      </c>
      <c r="U30" s="217">
        <f>IFERROR(VLOOKUP(Vertailu[[#This Row],[Y-tunnus]],'1.2 Ohjaus-laskentataulu'!A:AT,COLUMN('1.2 Ohjaus-laskentataulu'!AT:AT),FALSE),0)</f>
        <v>54862666</v>
      </c>
      <c r="V30" s="249">
        <f>IFERROR(Vertailu[[#This Row],[Rahoitus ml. hark. kor. + alv 2020, €]]-Vertailu[[#This Row],[Rahoitus ml. hark. kor. + alv 2019, €]],0)</f>
        <v>4981898</v>
      </c>
      <c r="W30" s="46">
        <f>IFERROR(Vertailu[[#This Row],[Muutos, € 3]]/Vertailu[[#This Row],[Rahoitus ml. hark. kor. + alv 2019, €]],0)</f>
        <v>9.987612861133173E-2</v>
      </c>
    </row>
    <row r="31" spans="1:23" ht="12.75" customHeight="1" x14ac:dyDescent="0.25">
      <c r="A31" s="12" t="s">
        <v>386</v>
      </c>
      <c r="B31" s="297" t="s">
        <v>42</v>
      </c>
      <c r="C31" s="297" t="s">
        <v>334</v>
      </c>
      <c r="D31" s="297" t="s">
        <v>423</v>
      </c>
      <c r="E31" s="22">
        <f>IFERROR(VLOOKUP(Vertailu[[#This Row],[Y-tunnus]],'1.2 Ohjaus-laskentataulu'!A:AT,COLUMN('1.2 Ohjaus-laskentataulu'!L:L),FALSE)/VLOOKUP(Vertailu[[#This Row],[Y-tunnus]],'1.2 Ohjaus-laskentataulu'!A:AT,COLUMN('1.2 Ohjaus-laskentataulu'!AR:AR),FALSE),0)</f>
        <v>0.75900726614810876</v>
      </c>
      <c r="F31" s="46">
        <f>IFERROR(VLOOKUP(Vertailu[[#This Row],[Y-tunnus]],'1.2 Ohjaus-laskentataulu'!A:AT,COLUMN('1.2 Ohjaus-laskentataulu'!AO:AO),FALSE)/VLOOKUP(Vertailu[[#This Row],[Y-tunnus]],'1.2 Ohjaus-laskentataulu'!A:AT,COLUMN('1.2 Ohjaus-laskentataulu'!AR:AR),FALSE),0)</f>
        <v>0.79043184441062808</v>
      </c>
      <c r="G31" s="299">
        <f>IFERROR(VLOOKUP(Vertailu[[#This Row],[Y-tunnus]],'1.2 Ohjaus-laskentataulu'!A:AT,COLUMN('1.2 Ohjaus-laskentataulu'!AP:AP),FALSE)/VLOOKUP(Vertailu[[#This Row],[Y-tunnus]],'1.2 Ohjaus-laskentataulu'!A:AT,COLUMN('1.2 Ohjaus-laskentataulu'!AR:AR),FALSE),0)</f>
        <v>0.13724894053343745</v>
      </c>
      <c r="H31" s="22">
        <f>IFERROR(VLOOKUP(Vertailu[[#This Row],[Y-tunnus]],'1.2 Ohjaus-laskentataulu'!A:AT,COLUMN('1.2 Ohjaus-laskentataulu'!AQ:AQ),FALSE)/VLOOKUP(Vertailu[[#This Row],[Y-tunnus]],'1.2 Ohjaus-laskentataulu'!A:AT,COLUMN('1.2 Ohjaus-laskentataulu'!AR:AR),FALSE),0)</f>
        <v>7.2319215055934444E-2</v>
      </c>
      <c r="I31" s="19">
        <f>IFERROR(VLOOKUP(Vertailu[[#This Row],[Y-tunnus]],'1.2 Ohjaus-laskentataulu'!A:AT,COLUMN('1.2 Ohjaus-laskentataulu'!R:R),FALSE)/VLOOKUP(Vertailu[[#This Row],[Y-tunnus]],'1.2 Ohjaus-laskentataulu'!A:AT,COLUMN('1.2 Ohjaus-laskentataulu'!AR:AR),FALSE),0)</f>
        <v>6.4113210185648556E-2</v>
      </c>
      <c r="J31" s="19">
        <f>IFERROR(VLOOKUP(Vertailu[[#This Row],[Y-tunnus]],'1.2 Ohjaus-laskentataulu'!A:AT,COLUMN('1.2 Ohjaus-laskentataulu'!U:U),FALSE)/VLOOKUP(Vertailu[[#This Row],[Y-tunnus]],'1.2 Ohjaus-laskentataulu'!A:AT,COLUMN('1.2 Ohjaus-laskentataulu'!AR:AR),FALSE),0)</f>
        <v>2.6043119235062916E-3</v>
      </c>
      <c r="K31" s="46">
        <f>IFERROR(VLOOKUP(Vertailu[[#This Row],[Y-tunnus]],'1.2 Ohjaus-laskentataulu'!A:AT,COLUMN('1.2 Ohjaus-laskentataulu'!X:X),FALSE)/VLOOKUP(Vertailu[[#This Row],[Y-tunnus]],'1.2 Ohjaus-laskentataulu'!A:AT,COLUMN('1.2 Ohjaus-laskentataulu'!AR:AR),FALSE),0)</f>
        <v>5.6016929467795958E-3</v>
      </c>
      <c r="L31" s="21">
        <f>IFERROR(VLOOKUP(Vertailu[[#This Row],[Y-tunnus]],'3.2 Suoritepäätös 2019'!$A:$S,COLUMN('3.2 Suoritepäätös 2019'!Q:Q),FALSE)-VLOOKUP(Vertailu[[#This Row],[Y-tunnus]],'3.2 Suoritepäätös 2019'!$A:$S,COLUMN('3.2 Suoritepäätös 2019'!L:L),FALSE),0)</f>
        <v>4470214</v>
      </c>
      <c r="M31" s="21">
        <f>IFERROR(VLOOKUP(Vertailu[[#This Row],[Y-tunnus]],'1.2 Ohjaus-laskentataulu'!A:AT,COLUMN('1.2 Ohjaus-laskentataulu'!Z:Z),FALSE),0)</f>
        <v>3698667</v>
      </c>
      <c r="N31" s="21">
        <f>IFERROR(Vertailu[[#This Row],[Rahoitus pl. hark. kor. 2020 ilman alv, €]]-Vertailu[[#This Row],[Rahoitus pl. hark. kor. 2019 ilman alv, €]],0)</f>
        <v>-771547</v>
      </c>
      <c r="O31" s="46">
        <f>IFERROR(Vertailu[[#This Row],[Muutos, € 1]]/Vertailu[[#This Row],[Rahoitus pl. hark. kor. 2019 ilman alv, €]],0)</f>
        <v>-0.17259732979226497</v>
      </c>
      <c r="P31" s="217">
        <f>IFERROR(VLOOKUP(Vertailu[[#This Row],[Y-tunnus]],'3.2 Suoritepäätös 2019'!$A:$S,COLUMN('3.2 Suoritepäätös 2019'!Q:Q),FALSE),0)</f>
        <v>4470214</v>
      </c>
      <c r="Q31" s="243">
        <f>IFERROR(VLOOKUP(Vertailu[[#This Row],[Y-tunnus]],'1.2 Ohjaus-laskentataulu'!A:AT,COLUMN('1.2 Ohjaus-laskentataulu'!AR:AR),FALSE),0)</f>
        <v>3818667</v>
      </c>
      <c r="R31" s="21">
        <f>IFERROR(Vertailu[[#This Row],[Rahoitus ml. hark. kor. 
2020 ilman alv, €]]-Vertailu[[#This Row],[Rahoitus ml. hark. kor. 
2019 ilman alv, €]],0)</f>
        <v>-651547</v>
      </c>
      <c r="S31" s="19">
        <f>IFERROR(Vertailu[[#This Row],[Muutos, € 2]]/Vertailu[[#This Row],[Rahoitus ml. hark. kor. 
2019 ilman alv, €]],0)</f>
        <v>-0.14575297737423756</v>
      </c>
      <c r="T31" s="243">
        <f>IFERROR(VLOOKUP(Vertailu[[#This Row],[Y-tunnus]],'3.2 Suoritepäätös 2019'!$A:$S,COLUMN('3.2 Suoritepäätös 2019'!Q:Q),FALSE)+VLOOKUP(Vertailu[[#This Row],[Y-tunnus]],'3.2 Suoritepäätös 2019'!$A:$S,COLUMN('3.2 Suoritepäätös 2019'!R:R),FALSE),0)</f>
        <v>4705977</v>
      </c>
      <c r="U31" s="217">
        <f>IFERROR(VLOOKUP(Vertailu[[#This Row],[Y-tunnus]],'1.2 Ohjaus-laskentataulu'!A:AT,COLUMN('1.2 Ohjaus-laskentataulu'!AT:AT),FALSE),0)</f>
        <v>4099828</v>
      </c>
      <c r="V31" s="249">
        <f>IFERROR(Vertailu[[#This Row],[Rahoitus ml. hark. kor. + alv 2020, €]]-Vertailu[[#This Row],[Rahoitus ml. hark. kor. + alv 2019, €]],0)</f>
        <v>-606149</v>
      </c>
      <c r="W31" s="46">
        <f>IFERROR(Vertailu[[#This Row],[Muutos, € 3]]/Vertailu[[#This Row],[Rahoitus ml. hark. kor. + alv 2019, €]],0)</f>
        <v>-0.12880407192810334</v>
      </c>
    </row>
    <row r="32" spans="1:23" ht="12.75" customHeight="1" x14ac:dyDescent="0.25">
      <c r="A32" s="12" t="s">
        <v>383</v>
      </c>
      <c r="B32" s="297" t="s">
        <v>43</v>
      </c>
      <c r="C32" s="297" t="s">
        <v>238</v>
      </c>
      <c r="D32" s="297" t="s">
        <v>423</v>
      </c>
      <c r="E32" s="22">
        <f>IFERROR(VLOOKUP(Vertailu[[#This Row],[Y-tunnus]],'1.2 Ohjaus-laskentataulu'!A:AT,COLUMN('1.2 Ohjaus-laskentataulu'!L:L),FALSE)/VLOOKUP(Vertailu[[#This Row],[Y-tunnus]],'1.2 Ohjaus-laskentataulu'!A:AT,COLUMN('1.2 Ohjaus-laskentataulu'!AR:AR),FALSE),0)</f>
        <v>0.66177829678640754</v>
      </c>
      <c r="F32" s="46">
        <f>IFERROR(VLOOKUP(Vertailu[[#This Row],[Y-tunnus]],'1.2 Ohjaus-laskentataulu'!A:AT,COLUMN('1.2 Ohjaus-laskentataulu'!AO:AO),FALSE)/VLOOKUP(Vertailu[[#This Row],[Y-tunnus]],'1.2 Ohjaus-laskentataulu'!A:AT,COLUMN('1.2 Ohjaus-laskentataulu'!AR:AR),FALSE),0)</f>
        <v>0.66484306705904306</v>
      </c>
      <c r="G32" s="299">
        <f>IFERROR(VLOOKUP(Vertailu[[#This Row],[Y-tunnus]],'1.2 Ohjaus-laskentataulu'!A:AT,COLUMN('1.2 Ohjaus-laskentataulu'!AP:AP),FALSE)/VLOOKUP(Vertailu[[#This Row],[Y-tunnus]],'1.2 Ohjaus-laskentataulu'!A:AT,COLUMN('1.2 Ohjaus-laskentataulu'!AR:AR),FALSE),0)</f>
        <v>0.22095629842930831</v>
      </c>
      <c r="H32" s="22">
        <f>IFERROR(VLOOKUP(Vertailu[[#This Row],[Y-tunnus]],'1.2 Ohjaus-laskentataulu'!A:AT,COLUMN('1.2 Ohjaus-laskentataulu'!AQ:AQ),FALSE)/VLOOKUP(Vertailu[[#This Row],[Y-tunnus]],'1.2 Ohjaus-laskentataulu'!A:AT,COLUMN('1.2 Ohjaus-laskentataulu'!AR:AR),FALSE),0)</f>
        <v>0.11420063451164862</v>
      </c>
      <c r="I32" s="19">
        <f>IFERROR(VLOOKUP(Vertailu[[#This Row],[Y-tunnus]],'1.2 Ohjaus-laskentataulu'!A:AT,COLUMN('1.2 Ohjaus-laskentataulu'!R:R),FALSE)/VLOOKUP(Vertailu[[#This Row],[Y-tunnus]],'1.2 Ohjaus-laskentataulu'!A:AT,COLUMN('1.2 Ohjaus-laskentataulu'!AR:AR),FALSE),0)</f>
        <v>7.5107834708235247E-2</v>
      </c>
      <c r="J32" s="19">
        <f>IFERROR(VLOOKUP(Vertailu[[#This Row],[Y-tunnus]],'1.2 Ohjaus-laskentataulu'!A:AT,COLUMN('1.2 Ohjaus-laskentataulu'!U:U),FALSE)/VLOOKUP(Vertailu[[#This Row],[Y-tunnus]],'1.2 Ohjaus-laskentataulu'!A:AT,COLUMN('1.2 Ohjaus-laskentataulu'!AR:AR),FALSE),0)</f>
        <v>9.0823854075499331E-3</v>
      </c>
      <c r="K32" s="46">
        <f>IFERROR(VLOOKUP(Vertailu[[#This Row],[Y-tunnus]],'1.2 Ohjaus-laskentataulu'!A:AT,COLUMN('1.2 Ohjaus-laskentataulu'!X:X),FALSE)/VLOOKUP(Vertailu[[#This Row],[Y-tunnus]],'1.2 Ohjaus-laskentataulu'!A:AT,COLUMN('1.2 Ohjaus-laskentataulu'!AR:AR),FALSE),0)</f>
        <v>3.0010414395863442E-2</v>
      </c>
      <c r="L32" s="21">
        <f>IFERROR(VLOOKUP(Vertailu[[#This Row],[Y-tunnus]],'3.2 Suoritepäätös 2019'!$A:$S,COLUMN('3.2 Suoritepäätös 2019'!Q:Q),FALSE)-VLOOKUP(Vertailu[[#This Row],[Y-tunnus]],'3.2 Suoritepäätös 2019'!$A:$S,COLUMN('3.2 Suoritepäätös 2019'!L:L),FALSE),0)</f>
        <v>30690270</v>
      </c>
      <c r="M32" s="21">
        <f>IFERROR(VLOOKUP(Vertailu[[#This Row],[Y-tunnus]],'1.2 Ohjaus-laskentataulu'!A:AT,COLUMN('1.2 Ohjaus-laskentataulu'!Z:Z),FALSE),0)</f>
        <v>32528873</v>
      </c>
      <c r="N32" s="21">
        <f>IFERROR(Vertailu[[#This Row],[Rahoitus pl. hark. kor. 2020 ilman alv, €]]-Vertailu[[#This Row],[Rahoitus pl. hark. kor. 2019 ilman alv, €]],0)</f>
        <v>1838603</v>
      </c>
      <c r="O32" s="46">
        <f>IFERROR(Vertailu[[#This Row],[Muutos, € 1]]/Vertailu[[#This Row],[Rahoitus pl. hark. kor. 2019 ilman alv, €]],0)</f>
        <v>5.9908335768958695E-2</v>
      </c>
      <c r="P32" s="217">
        <f>IFERROR(VLOOKUP(Vertailu[[#This Row],[Y-tunnus]],'3.2 Suoritepäätös 2019'!$A:$S,COLUMN('3.2 Suoritepäätös 2019'!Q:Q),FALSE),0)</f>
        <v>30690270</v>
      </c>
      <c r="Q32" s="243">
        <f>IFERROR(VLOOKUP(Vertailu[[#This Row],[Y-tunnus]],'1.2 Ohjaus-laskentataulu'!A:AT,COLUMN('1.2 Ohjaus-laskentataulu'!AR:AR),FALSE),0)</f>
        <v>32628873</v>
      </c>
      <c r="R32" s="21">
        <f>IFERROR(Vertailu[[#This Row],[Rahoitus ml. hark. kor. 
2020 ilman alv, €]]-Vertailu[[#This Row],[Rahoitus ml. hark. kor. 
2019 ilman alv, €]],0)</f>
        <v>1938603</v>
      </c>
      <c r="S32" s="19">
        <f>IFERROR(Vertailu[[#This Row],[Muutos, € 2]]/Vertailu[[#This Row],[Rahoitus ml. hark. kor. 
2019 ilman alv, €]],0)</f>
        <v>6.3166697458184623E-2</v>
      </c>
      <c r="T32" s="243">
        <f>IFERROR(VLOOKUP(Vertailu[[#This Row],[Y-tunnus]],'3.2 Suoritepäätös 2019'!$A:$S,COLUMN('3.2 Suoritepäätös 2019'!Q:Q),FALSE)+VLOOKUP(Vertailu[[#This Row],[Y-tunnus]],'3.2 Suoritepäätös 2019'!$A:$S,COLUMN('3.2 Suoritepäätös 2019'!R:R),FALSE),0)</f>
        <v>32307124</v>
      </c>
      <c r="U32" s="217">
        <f>IFERROR(VLOOKUP(Vertailu[[#This Row],[Y-tunnus]],'1.2 Ohjaus-laskentataulu'!A:AT,COLUMN('1.2 Ohjaus-laskentataulu'!AT:AT),FALSE),0)</f>
        <v>34281064</v>
      </c>
      <c r="V32" s="249">
        <f>IFERROR(Vertailu[[#This Row],[Rahoitus ml. hark. kor. + alv 2020, €]]-Vertailu[[#This Row],[Rahoitus ml. hark. kor. + alv 2019, €]],0)</f>
        <v>1973940</v>
      </c>
      <c r="W32" s="46">
        <f>IFERROR(Vertailu[[#This Row],[Muutos, € 3]]/Vertailu[[#This Row],[Rahoitus ml. hark. kor. + alv 2019, €]],0)</f>
        <v>6.1099217621475688E-2</v>
      </c>
    </row>
    <row r="33" spans="1:23" ht="12.75" customHeight="1" x14ac:dyDescent="0.25">
      <c r="A33" s="12" t="s">
        <v>382</v>
      </c>
      <c r="B33" s="297" t="s">
        <v>44</v>
      </c>
      <c r="C33" s="297" t="s">
        <v>334</v>
      </c>
      <c r="D33" s="297" t="s">
        <v>423</v>
      </c>
      <c r="E33" s="22">
        <f>IFERROR(VLOOKUP(Vertailu[[#This Row],[Y-tunnus]],'1.2 Ohjaus-laskentataulu'!A:AT,COLUMN('1.2 Ohjaus-laskentataulu'!L:L),FALSE)/VLOOKUP(Vertailu[[#This Row],[Y-tunnus]],'1.2 Ohjaus-laskentataulu'!A:AT,COLUMN('1.2 Ohjaus-laskentataulu'!AR:AR),FALSE),0)</f>
        <v>0.66804545444349328</v>
      </c>
      <c r="F33" s="46">
        <f>IFERROR(VLOOKUP(Vertailu[[#This Row],[Y-tunnus]],'1.2 Ohjaus-laskentataulu'!A:AT,COLUMN('1.2 Ohjaus-laskentataulu'!AO:AO),FALSE)/VLOOKUP(Vertailu[[#This Row],[Y-tunnus]],'1.2 Ohjaus-laskentataulu'!A:AT,COLUMN('1.2 Ohjaus-laskentataulu'!AR:AR),FALSE),0)</f>
        <v>0.66804545444349328</v>
      </c>
      <c r="G33" s="299">
        <f>IFERROR(VLOOKUP(Vertailu[[#This Row],[Y-tunnus]],'1.2 Ohjaus-laskentataulu'!A:AT,COLUMN('1.2 Ohjaus-laskentataulu'!AP:AP),FALSE)/VLOOKUP(Vertailu[[#This Row],[Y-tunnus]],'1.2 Ohjaus-laskentataulu'!A:AT,COLUMN('1.2 Ohjaus-laskentataulu'!AR:AR),FALSE),0)</f>
        <v>0.22639721753126474</v>
      </c>
      <c r="H33" s="22">
        <f>IFERROR(VLOOKUP(Vertailu[[#This Row],[Y-tunnus]],'1.2 Ohjaus-laskentataulu'!A:AT,COLUMN('1.2 Ohjaus-laskentataulu'!AQ:AQ),FALSE)/VLOOKUP(Vertailu[[#This Row],[Y-tunnus]],'1.2 Ohjaus-laskentataulu'!A:AT,COLUMN('1.2 Ohjaus-laskentataulu'!AR:AR),FALSE),0)</f>
        <v>0.10555732802524197</v>
      </c>
      <c r="I33" s="19">
        <f>IFERROR(VLOOKUP(Vertailu[[#This Row],[Y-tunnus]],'1.2 Ohjaus-laskentataulu'!A:AT,COLUMN('1.2 Ohjaus-laskentataulu'!R:R),FALSE)/VLOOKUP(Vertailu[[#This Row],[Y-tunnus]],'1.2 Ohjaus-laskentataulu'!A:AT,COLUMN('1.2 Ohjaus-laskentataulu'!AR:AR),FALSE),0)</f>
        <v>6.8426340828263099E-2</v>
      </c>
      <c r="J33" s="19">
        <f>IFERROR(VLOOKUP(Vertailu[[#This Row],[Y-tunnus]],'1.2 Ohjaus-laskentataulu'!A:AT,COLUMN('1.2 Ohjaus-laskentataulu'!U:U),FALSE)/VLOOKUP(Vertailu[[#This Row],[Y-tunnus]],'1.2 Ohjaus-laskentataulu'!A:AT,COLUMN('1.2 Ohjaus-laskentataulu'!AR:AR),FALSE),0)</f>
        <v>6.8013946853632407E-3</v>
      </c>
      <c r="K33" s="46">
        <f>IFERROR(VLOOKUP(Vertailu[[#This Row],[Y-tunnus]],'1.2 Ohjaus-laskentataulu'!A:AT,COLUMN('1.2 Ohjaus-laskentataulu'!X:X),FALSE)/VLOOKUP(Vertailu[[#This Row],[Y-tunnus]],'1.2 Ohjaus-laskentataulu'!A:AT,COLUMN('1.2 Ohjaus-laskentataulu'!AR:AR),FALSE),0)</f>
        <v>3.032959251161562E-2</v>
      </c>
      <c r="L33" s="21">
        <f>IFERROR(VLOOKUP(Vertailu[[#This Row],[Y-tunnus]],'3.2 Suoritepäätös 2019'!$A:$S,COLUMN('3.2 Suoritepäätös 2019'!Q:Q),FALSE)-VLOOKUP(Vertailu[[#This Row],[Y-tunnus]],'3.2 Suoritepäätös 2019'!$A:$S,COLUMN('3.2 Suoritepäätös 2019'!L:L),FALSE),0)</f>
        <v>5618640</v>
      </c>
      <c r="M33" s="21">
        <f>IFERROR(VLOOKUP(Vertailu[[#This Row],[Y-tunnus]],'1.2 Ohjaus-laskentataulu'!A:AT,COLUMN('1.2 Ohjaus-laskentataulu'!Z:Z),FALSE),0)</f>
        <v>5795429</v>
      </c>
      <c r="N33" s="21">
        <f>IFERROR(Vertailu[[#This Row],[Rahoitus pl. hark. kor. 2020 ilman alv, €]]-Vertailu[[#This Row],[Rahoitus pl. hark. kor. 2019 ilman alv, €]],0)</f>
        <v>176789</v>
      </c>
      <c r="O33" s="46">
        <f>IFERROR(Vertailu[[#This Row],[Muutos, € 1]]/Vertailu[[#This Row],[Rahoitus pl. hark. kor. 2019 ilman alv, €]],0)</f>
        <v>3.1464731678840431E-2</v>
      </c>
      <c r="P33" s="217">
        <f>IFERROR(VLOOKUP(Vertailu[[#This Row],[Y-tunnus]],'3.2 Suoritepäätös 2019'!$A:$S,COLUMN('3.2 Suoritepäätös 2019'!Q:Q),FALSE),0)</f>
        <v>5618640</v>
      </c>
      <c r="Q33" s="243">
        <f>IFERROR(VLOOKUP(Vertailu[[#This Row],[Y-tunnus]],'1.2 Ohjaus-laskentataulu'!A:AT,COLUMN('1.2 Ohjaus-laskentataulu'!AR:AR),FALSE),0)</f>
        <v>5795429</v>
      </c>
      <c r="R33" s="21">
        <f>IFERROR(Vertailu[[#This Row],[Rahoitus ml. hark. kor. 
2020 ilman alv, €]]-Vertailu[[#This Row],[Rahoitus ml. hark. kor. 
2019 ilman alv, €]],0)</f>
        <v>176789</v>
      </c>
      <c r="S33" s="19">
        <f>IFERROR(Vertailu[[#This Row],[Muutos, € 2]]/Vertailu[[#This Row],[Rahoitus ml. hark. kor. 
2019 ilman alv, €]],0)</f>
        <v>3.1464731678840431E-2</v>
      </c>
      <c r="T33" s="243">
        <f>IFERROR(VLOOKUP(Vertailu[[#This Row],[Y-tunnus]],'3.2 Suoritepäätös 2019'!$A:$S,COLUMN('3.2 Suoritepäätös 2019'!Q:Q),FALSE)+VLOOKUP(Vertailu[[#This Row],[Y-tunnus]],'3.2 Suoritepäätös 2019'!$A:$S,COLUMN('3.2 Suoritepäätös 2019'!R:R),FALSE),0)</f>
        <v>5917895</v>
      </c>
      <c r="U33" s="217">
        <f>IFERROR(VLOOKUP(Vertailu[[#This Row],[Y-tunnus]],'1.2 Ohjaus-laskentataulu'!A:AT,COLUMN('1.2 Ohjaus-laskentataulu'!AT:AT),FALSE),0)</f>
        <v>6205749</v>
      </c>
      <c r="V33" s="249">
        <f>IFERROR(Vertailu[[#This Row],[Rahoitus ml. hark. kor. + alv 2020, €]]-Vertailu[[#This Row],[Rahoitus ml. hark. kor. + alv 2019, €]],0)</f>
        <v>287854</v>
      </c>
      <c r="W33" s="46">
        <f>IFERROR(Vertailu[[#This Row],[Muutos, € 3]]/Vertailu[[#This Row],[Rahoitus ml. hark. kor. + alv 2019, €]],0)</f>
        <v>4.8641282077495462E-2</v>
      </c>
    </row>
    <row r="34" spans="1:23" ht="12.75" customHeight="1" x14ac:dyDescent="0.25">
      <c r="A34" s="12" t="s">
        <v>381</v>
      </c>
      <c r="B34" s="297" t="s">
        <v>45</v>
      </c>
      <c r="C34" s="297" t="s">
        <v>238</v>
      </c>
      <c r="D34" s="297" t="s">
        <v>423</v>
      </c>
      <c r="E34" s="22">
        <f>IFERROR(VLOOKUP(Vertailu[[#This Row],[Y-tunnus]],'1.2 Ohjaus-laskentataulu'!A:AT,COLUMN('1.2 Ohjaus-laskentataulu'!L:L),FALSE)/VLOOKUP(Vertailu[[#This Row],[Y-tunnus]],'1.2 Ohjaus-laskentataulu'!A:AT,COLUMN('1.2 Ohjaus-laskentataulu'!AR:AR),FALSE),0)</f>
        <v>0.83921459230915152</v>
      </c>
      <c r="F34" s="46">
        <f>IFERROR(VLOOKUP(Vertailu[[#This Row],[Y-tunnus]],'1.2 Ohjaus-laskentataulu'!A:AT,COLUMN('1.2 Ohjaus-laskentataulu'!AO:AO),FALSE)/VLOOKUP(Vertailu[[#This Row],[Y-tunnus]],'1.2 Ohjaus-laskentataulu'!A:AT,COLUMN('1.2 Ohjaus-laskentataulu'!AR:AR),FALSE),0)</f>
        <v>0.84158699926411329</v>
      </c>
      <c r="G34" s="299">
        <f>IFERROR(VLOOKUP(Vertailu[[#This Row],[Y-tunnus]],'1.2 Ohjaus-laskentataulu'!A:AT,COLUMN('1.2 Ohjaus-laskentataulu'!AP:AP),FALSE)/VLOOKUP(Vertailu[[#This Row],[Y-tunnus]],'1.2 Ohjaus-laskentataulu'!A:AT,COLUMN('1.2 Ohjaus-laskentataulu'!AR:AR),FALSE),0)</f>
        <v>0.14058724324922281</v>
      </c>
      <c r="H34" s="22">
        <f>IFERROR(VLOOKUP(Vertailu[[#This Row],[Y-tunnus]],'1.2 Ohjaus-laskentataulu'!A:AT,COLUMN('1.2 Ohjaus-laskentataulu'!AQ:AQ),FALSE)/VLOOKUP(Vertailu[[#This Row],[Y-tunnus]],'1.2 Ohjaus-laskentataulu'!A:AT,COLUMN('1.2 Ohjaus-laskentataulu'!AR:AR),FALSE),0)</f>
        <v>1.7825757486663939E-2</v>
      </c>
      <c r="I34" s="19">
        <f>IFERROR(VLOOKUP(Vertailu[[#This Row],[Y-tunnus]],'1.2 Ohjaus-laskentataulu'!A:AT,COLUMN('1.2 Ohjaus-laskentataulu'!R:R),FALSE)/VLOOKUP(Vertailu[[#This Row],[Y-tunnus]],'1.2 Ohjaus-laskentataulu'!A:AT,COLUMN('1.2 Ohjaus-laskentataulu'!AR:AR),FALSE),0)</f>
        <v>1.2133302564344845E-2</v>
      </c>
      <c r="J34" s="19">
        <f>IFERROR(VLOOKUP(Vertailu[[#This Row],[Y-tunnus]],'1.2 Ohjaus-laskentataulu'!A:AT,COLUMN('1.2 Ohjaus-laskentataulu'!U:U),FALSE)/VLOOKUP(Vertailu[[#This Row],[Y-tunnus]],'1.2 Ohjaus-laskentataulu'!A:AT,COLUMN('1.2 Ohjaus-laskentataulu'!AR:AR),FALSE),0)</f>
        <v>2.2445681116172738E-3</v>
      </c>
      <c r="K34" s="46">
        <f>IFERROR(VLOOKUP(Vertailu[[#This Row],[Y-tunnus]],'1.2 Ohjaus-laskentataulu'!A:AT,COLUMN('1.2 Ohjaus-laskentataulu'!X:X),FALSE)/VLOOKUP(Vertailu[[#This Row],[Y-tunnus]],'1.2 Ohjaus-laskentataulu'!A:AT,COLUMN('1.2 Ohjaus-laskentataulu'!AR:AR),FALSE),0)</f>
        <v>3.4478868107018193E-3</v>
      </c>
      <c r="L34" s="21">
        <f>IFERROR(VLOOKUP(Vertailu[[#This Row],[Y-tunnus]],'3.2 Suoritepäätös 2019'!$A:$S,COLUMN('3.2 Suoritepäätös 2019'!Q:Q),FALSE)-VLOOKUP(Vertailu[[#This Row],[Y-tunnus]],'3.2 Suoritepäätös 2019'!$A:$S,COLUMN('3.2 Suoritepäätös 2019'!L:L),FALSE),0)</f>
        <v>27367165</v>
      </c>
      <c r="M34" s="21">
        <f>IFERROR(VLOOKUP(Vertailu[[#This Row],[Y-tunnus]],'1.2 Ohjaus-laskentataulu'!A:AT,COLUMN('1.2 Ohjaus-laskentataulu'!Z:Z),FALSE),0)</f>
        <v>29435899</v>
      </c>
      <c r="N34" s="21">
        <f>IFERROR(Vertailu[[#This Row],[Rahoitus pl. hark. kor. 2020 ilman alv, €]]-Vertailu[[#This Row],[Rahoitus pl. hark. kor. 2019 ilman alv, €]],0)</f>
        <v>2068734</v>
      </c>
      <c r="O34" s="46">
        <f>IFERROR(Vertailu[[#This Row],[Muutos, € 1]]/Vertailu[[#This Row],[Rahoitus pl. hark. kor. 2019 ilman alv, €]],0)</f>
        <v>7.5591826921056676E-2</v>
      </c>
      <c r="P34" s="217">
        <f>IFERROR(VLOOKUP(Vertailu[[#This Row],[Y-tunnus]],'3.2 Suoritepäätös 2019'!$A:$S,COLUMN('3.2 Suoritepäätös 2019'!Q:Q),FALSE),0)</f>
        <v>27367165</v>
      </c>
      <c r="Q34" s="243">
        <f>IFERROR(VLOOKUP(Vertailu[[#This Row],[Y-tunnus]],'1.2 Ohjaus-laskentataulu'!A:AT,COLUMN('1.2 Ohjaus-laskentataulu'!AR:AR),FALSE),0)</f>
        <v>29505899</v>
      </c>
      <c r="R34" s="21">
        <f>IFERROR(Vertailu[[#This Row],[Rahoitus ml. hark. kor. 
2020 ilman alv, €]]-Vertailu[[#This Row],[Rahoitus ml. hark. kor. 
2019 ilman alv, €]],0)</f>
        <v>2138734</v>
      </c>
      <c r="S34" s="19">
        <f>IFERROR(Vertailu[[#This Row],[Muutos, € 2]]/Vertailu[[#This Row],[Rahoitus ml. hark. kor. 
2019 ilman alv, €]],0)</f>
        <v>7.8149636617457455E-2</v>
      </c>
      <c r="T34" s="243">
        <f>IFERROR(VLOOKUP(Vertailu[[#This Row],[Y-tunnus]],'3.2 Suoritepäätös 2019'!$A:$S,COLUMN('3.2 Suoritepäätös 2019'!Q:Q),FALSE)+VLOOKUP(Vertailu[[#This Row],[Y-tunnus]],'3.2 Suoritepäätös 2019'!$A:$S,COLUMN('3.2 Suoritepäätös 2019'!R:R),FALSE),0)</f>
        <v>28881691</v>
      </c>
      <c r="U34" s="217">
        <f>IFERROR(VLOOKUP(Vertailu[[#This Row],[Y-tunnus]],'1.2 Ohjaus-laskentataulu'!A:AT,COLUMN('1.2 Ohjaus-laskentataulu'!AT:AT),FALSE),0)</f>
        <v>30753465</v>
      </c>
      <c r="V34" s="249">
        <f>IFERROR(Vertailu[[#This Row],[Rahoitus ml. hark. kor. + alv 2020, €]]-Vertailu[[#This Row],[Rahoitus ml. hark. kor. + alv 2019, €]],0)</f>
        <v>1871774</v>
      </c>
      <c r="W34" s="46">
        <f>IFERROR(Vertailu[[#This Row],[Muutos, € 3]]/Vertailu[[#This Row],[Rahoitus ml. hark. kor. + alv 2019, €]],0)</f>
        <v>6.4808324415630655E-2</v>
      </c>
    </row>
    <row r="35" spans="1:23" ht="12.75" customHeight="1" x14ac:dyDescent="0.25">
      <c r="A35" s="12" t="s">
        <v>380</v>
      </c>
      <c r="B35" s="297" t="s">
        <v>46</v>
      </c>
      <c r="C35" s="297" t="s">
        <v>272</v>
      </c>
      <c r="D35" s="297" t="s">
        <v>423</v>
      </c>
      <c r="E35" s="22">
        <f>IFERROR(VLOOKUP(Vertailu[[#This Row],[Y-tunnus]],'1.2 Ohjaus-laskentataulu'!A:AT,COLUMN('1.2 Ohjaus-laskentataulu'!L:L),FALSE)/VLOOKUP(Vertailu[[#This Row],[Y-tunnus]],'1.2 Ohjaus-laskentataulu'!A:AT,COLUMN('1.2 Ohjaus-laskentataulu'!AR:AR),FALSE),0)</f>
        <v>0.60820400435320598</v>
      </c>
      <c r="F35" s="46">
        <f>IFERROR(VLOOKUP(Vertailu[[#This Row],[Y-tunnus]],'1.2 Ohjaus-laskentataulu'!A:AT,COLUMN('1.2 Ohjaus-laskentataulu'!AO:AO),FALSE)/VLOOKUP(Vertailu[[#This Row],[Y-tunnus]],'1.2 Ohjaus-laskentataulu'!A:AT,COLUMN('1.2 Ohjaus-laskentataulu'!AR:AR),FALSE),0)</f>
        <v>0.62683930408336686</v>
      </c>
      <c r="G35" s="299">
        <f>IFERROR(VLOOKUP(Vertailu[[#This Row],[Y-tunnus]],'1.2 Ohjaus-laskentataulu'!A:AT,COLUMN('1.2 Ohjaus-laskentataulu'!AP:AP),FALSE)/VLOOKUP(Vertailu[[#This Row],[Y-tunnus]],'1.2 Ohjaus-laskentataulu'!A:AT,COLUMN('1.2 Ohjaus-laskentataulu'!AR:AR),FALSE),0)</f>
        <v>0.2699602695409753</v>
      </c>
      <c r="H35" s="22">
        <f>IFERROR(VLOOKUP(Vertailu[[#This Row],[Y-tunnus]],'1.2 Ohjaus-laskentataulu'!A:AT,COLUMN('1.2 Ohjaus-laskentataulu'!AQ:AQ),FALSE)/VLOOKUP(Vertailu[[#This Row],[Y-tunnus]],'1.2 Ohjaus-laskentataulu'!A:AT,COLUMN('1.2 Ohjaus-laskentataulu'!AR:AR),FALSE),0)</f>
        <v>0.10320042637565782</v>
      </c>
      <c r="I35" s="19">
        <f>IFERROR(VLOOKUP(Vertailu[[#This Row],[Y-tunnus]],'1.2 Ohjaus-laskentataulu'!A:AT,COLUMN('1.2 Ohjaus-laskentataulu'!R:R),FALSE)/VLOOKUP(Vertailu[[#This Row],[Y-tunnus]],'1.2 Ohjaus-laskentataulu'!A:AT,COLUMN('1.2 Ohjaus-laskentataulu'!AR:AR),FALSE),0)</f>
        <v>4.3848860265068505E-2</v>
      </c>
      <c r="J35" s="19">
        <f>IFERROR(VLOOKUP(Vertailu[[#This Row],[Y-tunnus]],'1.2 Ohjaus-laskentataulu'!A:AT,COLUMN('1.2 Ohjaus-laskentataulu'!U:U),FALSE)/VLOOKUP(Vertailu[[#This Row],[Y-tunnus]],'1.2 Ohjaus-laskentataulu'!A:AT,COLUMN('1.2 Ohjaus-laskentataulu'!AR:AR),FALSE),0)</f>
        <v>1.2878855643514171E-2</v>
      </c>
      <c r="K35" s="46">
        <f>IFERROR(VLOOKUP(Vertailu[[#This Row],[Y-tunnus]],'1.2 Ohjaus-laskentataulu'!A:AT,COLUMN('1.2 Ohjaus-laskentataulu'!X:X),FALSE)/VLOOKUP(Vertailu[[#This Row],[Y-tunnus]],'1.2 Ohjaus-laskentataulu'!A:AT,COLUMN('1.2 Ohjaus-laskentataulu'!AR:AR),FALSE),0)</f>
        <v>4.647271046707515E-2</v>
      </c>
      <c r="L35" s="21">
        <f>IFERROR(VLOOKUP(Vertailu[[#This Row],[Y-tunnus]],'3.2 Suoritepäätös 2019'!$A:$S,COLUMN('3.2 Suoritepäätös 2019'!Q:Q),FALSE)-VLOOKUP(Vertailu[[#This Row],[Y-tunnus]],'3.2 Suoritepäätös 2019'!$A:$S,COLUMN('3.2 Suoritepäätös 2019'!L:L),FALSE),0)</f>
        <v>396241</v>
      </c>
      <c r="M35" s="21">
        <f>IFERROR(VLOOKUP(Vertailu[[#This Row],[Y-tunnus]],'1.2 Ohjaus-laskentataulu'!A:AT,COLUMN('1.2 Ohjaus-laskentataulu'!Z:Z),FALSE),0)</f>
        <v>526616</v>
      </c>
      <c r="N35" s="21">
        <f>IFERROR(Vertailu[[#This Row],[Rahoitus pl. hark. kor. 2020 ilman alv, €]]-Vertailu[[#This Row],[Rahoitus pl. hark. kor. 2019 ilman alv, €]],0)</f>
        <v>130375</v>
      </c>
      <c r="O35" s="46">
        <f>IFERROR(Vertailu[[#This Row],[Muutos, € 1]]/Vertailu[[#This Row],[Rahoitus pl. hark. kor. 2019 ilman alv, €]],0)</f>
        <v>0.32902955524541883</v>
      </c>
      <c r="P35" s="217">
        <f>IFERROR(VLOOKUP(Vertailu[[#This Row],[Y-tunnus]],'3.2 Suoritepäätös 2019'!$A:$S,COLUMN('3.2 Suoritepäätös 2019'!Q:Q),FALSE),0)</f>
        <v>396241</v>
      </c>
      <c r="Q35" s="243">
        <f>IFERROR(VLOOKUP(Vertailu[[#This Row],[Y-tunnus]],'1.2 Ohjaus-laskentataulu'!A:AT,COLUMN('1.2 Ohjaus-laskentataulu'!AR:AR),FALSE),0)</f>
        <v>536616</v>
      </c>
      <c r="R35" s="21">
        <f>IFERROR(Vertailu[[#This Row],[Rahoitus ml. hark. kor. 
2020 ilman alv, €]]-Vertailu[[#This Row],[Rahoitus ml. hark. kor. 
2019 ilman alv, €]],0)</f>
        <v>140375</v>
      </c>
      <c r="S35" s="19">
        <f>IFERROR(Vertailu[[#This Row],[Muutos, € 2]]/Vertailu[[#This Row],[Rahoitus ml. hark. kor. 
2019 ilman alv, €]],0)</f>
        <v>0.35426672151544136</v>
      </c>
      <c r="T35" s="243">
        <f>IFERROR(VLOOKUP(Vertailu[[#This Row],[Y-tunnus]],'3.2 Suoritepäätös 2019'!$A:$S,COLUMN('3.2 Suoritepäätös 2019'!Q:Q),FALSE)+VLOOKUP(Vertailu[[#This Row],[Y-tunnus]],'3.2 Suoritepäätös 2019'!$A:$S,COLUMN('3.2 Suoritepäätös 2019'!R:R),FALSE),0)</f>
        <v>417420</v>
      </c>
      <c r="U35" s="217">
        <f>IFERROR(VLOOKUP(Vertailu[[#This Row],[Y-tunnus]],'1.2 Ohjaus-laskentataulu'!A:AT,COLUMN('1.2 Ohjaus-laskentataulu'!AT:AT),FALSE),0)</f>
        <v>567431</v>
      </c>
      <c r="V35" s="249">
        <f>IFERROR(Vertailu[[#This Row],[Rahoitus ml. hark. kor. + alv 2020, €]]-Vertailu[[#This Row],[Rahoitus ml. hark. kor. + alv 2019, €]],0)</f>
        <v>150011</v>
      </c>
      <c r="W35" s="46">
        <f>IFERROR(Vertailu[[#This Row],[Muutos, € 3]]/Vertailu[[#This Row],[Rahoitus ml. hark. kor. + alv 2019, €]],0)</f>
        <v>0.35937664702218391</v>
      </c>
    </row>
    <row r="36" spans="1:23" ht="12.75" customHeight="1" x14ac:dyDescent="0.25">
      <c r="A36" s="12" t="s">
        <v>379</v>
      </c>
      <c r="B36" s="297" t="s">
        <v>47</v>
      </c>
      <c r="C36" s="297" t="s">
        <v>272</v>
      </c>
      <c r="D36" s="297" t="s">
        <v>422</v>
      </c>
      <c r="E36" s="22">
        <f>IFERROR(VLOOKUP(Vertailu[[#This Row],[Y-tunnus]],'1.2 Ohjaus-laskentataulu'!A:AT,COLUMN('1.2 Ohjaus-laskentataulu'!L:L),FALSE)/VLOOKUP(Vertailu[[#This Row],[Y-tunnus]],'1.2 Ohjaus-laskentataulu'!A:AT,COLUMN('1.2 Ohjaus-laskentataulu'!AR:AR),FALSE),0)</f>
        <v>0.60981462549919174</v>
      </c>
      <c r="F36" s="46">
        <f>IFERROR(VLOOKUP(Vertailu[[#This Row],[Y-tunnus]],'1.2 Ohjaus-laskentataulu'!A:AT,COLUMN('1.2 Ohjaus-laskentataulu'!AO:AO),FALSE)/VLOOKUP(Vertailu[[#This Row],[Y-tunnus]],'1.2 Ohjaus-laskentataulu'!A:AT,COLUMN('1.2 Ohjaus-laskentataulu'!AR:AR),FALSE),0)</f>
        <v>0.61593946858411452</v>
      </c>
      <c r="G36" s="299">
        <f>IFERROR(VLOOKUP(Vertailu[[#This Row],[Y-tunnus]],'1.2 Ohjaus-laskentataulu'!A:AT,COLUMN('1.2 Ohjaus-laskentataulu'!AP:AP),FALSE)/VLOOKUP(Vertailu[[#This Row],[Y-tunnus]],'1.2 Ohjaus-laskentataulu'!A:AT,COLUMN('1.2 Ohjaus-laskentataulu'!AR:AR),FALSE),0)</f>
        <v>0.24525348479752698</v>
      </c>
      <c r="H36" s="22">
        <f>IFERROR(VLOOKUP(Vertailu[[#This Row],[Y-tunnus]],'1.2 Ohjaus-laskentataulu'!A:AT,COLUMN('1.2 Ohjaus-laskentataulu'!AQ:AQ),FALSE)/VLOOKUP(Vertailu[[#This Row],[Y-tunnus]],'1.2 Ohjaus-laskentataulu'!A:AT,COLUMN('1.2 Ohjaus-laskentataulu'!AR:AR),FALSE),0)</f>
        <v>0.13880704661835844</v>
      </c>
      <c r="I36" s="19">
        <f>IFERROR(VLOOKUP(Vertailu[[#This Row],[Y-tunnus]],'1.2 Ohjaus-laskentataulu'!A:AT,COLUMN('1.2 Ohjaus-laskentataulu'!R:R),FALSE)/VLOOKUP(Vertailu[[#This Row],[Y-tunnus]],'1.2 Ohjaus-laskentataulu'!A:AT,COLUMN('1.2 Ohjaus-laskentataulu'!AR:AR),FALSE),0)</f>
        <v>0.12085485932120134</v>
      </c>
      <c r="J36" s="19">
        <f>IFERROR(VLOOKUP(Vertailu[[#This Row],[Y-tunnus]],'1.2 Ohjaus-laskentataulu'!A:AT,COLUMN('1.2 Ohjaus-laskentataulu'!U:U),FALSE)/VLOOKUP(Vertailu[[#This Row],[Y-tunnus]],'1.2 Ohjaus-laskentataulu'!A:AT,COLUMN('1.2 Ohjaus-laskentataulu'!AR:AR),FALSE),0)</f>
        <v>5.5412135927417616E-3</v>
      </c>
      <c r="K36" s="46">
        <f>IFERROR(VLOOKUP(Vertailu[[#This Row],[Y-tunnus]],'1.2 Ohjaus-laskentataulu'!A:AT,COLUMN('1.2 Ohjaus-laskentataulu'!X:X),FALSE)/VLOOKUP(Vertailu[[#This Row],[Y-tunnus]],'1.2 Ohjaus-laskentataulu'!A:AT,COLUMN('1.2 Ohjaus-laskentataulu'!AR:AR),FALSE),0)</f>
        <v>1.2410973704415344E-2</v>
      </c>
      <c r="L36" s="21">
        <f>IFERROR(VLOOKUP(Vertailu[[#This Row],[Y-tunnus]],'3.2 Suoritepäätös 2019'!$A:$S,COLUMN('3.2 Suoritepäätös 2019'!Q:Q),FALSE)-VLOOKUP(Vertailu[[#This Row],[Y-tunnus]],'3.2 Suoritepäätös 2019'!$A:$S,COLUMN('3.2 Suoritepäätös 2019'!L:L),FALSE),0)</f>
        <v>13363895</v>
      </c>
      <c r="M36" s="21">
        <f>IFERROR(VLOOKUP(Vertailu[[#This Row],[Y-tunnus]],'1.2 Ohjaus-laskentataulu'!A:AT,COLUMN('1.2 Ohjaus-laskentataulu'!Z:Z),FALSE),0)</f>
        <v>14604254</v>
      </c>
      <c r="N36" s="21">
        <f>IFERROR(Vertailu[[#This Row],[Rahoitus pl. hark. kor. 2020 ilman alv, €]]-Vertailu[[#This Row],[Rahoitus pl. hark. kor. 2019 ilman alv, €]],0)</f>
        <v>1240359</v>
      </c>
      <c r="O36" s="46">
        <f>IFERROR(Vertailu[[#This Row],[Muutos, € 1]]/Vertailu[[#This Row],[Rahoitus pl. hark. kor. 2019 ilman alv, €]],0)</f>
        <v>9.2814183290126126E-2</v>
      </c>
      <c r="P36" s="217">
        <f>IFERROR(VLOOKUP(Vertailu[[#This Row],[Y-tunnus]],'3.2 Suoritepäätös 2019'!$A:$S,COLUMN('3.2 Suoritepäätös 2019'!Q:Q),FALSE),0)</f>
        <v>13363895</v>
      </c>
      <c r="Q36" s="243">
        <f>IFERROR(VLOOKUP(Vertailu[[#This Row],[Y-tunnus]],'1.2 Ohjaus-laskentataulu'!A:AT,COLUMN('1.2 Ohjaus-laskentataulu'!AR:AR),FALSE),0)</f>
        <v>14694254</v>
      </c>
      <c r="R36" s="21">
        <f>IFERROR(Vertailu[[#This Row],[Rahoitus ml. hark. kor. 
2020 ilman alv, €]]-Vertailu[[#This Row],[Rahoitus ml. hark. kor. 
2019 ilman alv, €]],0)</f>
        <v>1330359</v>
      </c>
      <c r="S36" s="19">
        <f>IFERROR(Vertailu[[#This Row],[Muutos, € 2]]/Vertailu[[#This Row],[Rahoitus ml. hark. kor. 
2019 ilman alv, €]],0)</f>
        <v>9.9548746828675316E-2</v>
      </c>
      <c r="T36" s="243">
        <f>IFERROR(VLOOKUP(Vertailu[[#This Row],[Y-tunnus]],'3.2 Suoritepäätös 2019'!$A:$S,COLUMN('3.2 Suoritepäätös 2019'!Q:Q),FALSE)+VLOOKUP(Vertailu[[#This Row],[Y-tunnus]],'3.2 Suoritepäätös 2019'!$A:$S,COLUMN('3.2 Suoritepäätös 2019'!R:R),FALSE),0)</f>
        <v>13363895</v>
      </c>
      <c r="U36" s="217">
        <f>IFERROR(VLOOKUP(Vertailu[[#This Row],[Y-tunnus]],'1.2 Ohjaus-laskentataulu'!A:AT,COLUMN('1.2 Ohjaus-laskentataulu'!AT:AT),FALSE),0)</f>
        <v>14694254</v>
      </c>
      <c r="V36" s="249">
        <f>IFERROR(Vertailu[[#This Row],[Rahoitus ml. hark. kor. + alv 2020, €]]-Vertailu[[#This Row],[Rahoitus ml. hark. kor. + alv 2019, €]],0)</f>
        <v>1330359</v>
      </c>
      <c r="W36" s="46">
        <f>IFERROR(Vertailu[[#This Row],[Muutos, € 3]]/Vertailu[[#This Row],[Rahoitus ml. hark. kor. + alv 2019, €]],0)</f>
        <v>9.9548746828675316E-2</v>
      </c>
    </row>
    <row r="37" spans="1:23" ht="12.75" customHeight="1" x14ac:dyDescent="0.25">
      <c r="A37" s="12" t="s">
        <v>378</v>
      </c>
      <c r="B37" s="297" t="s">
        <v>48</v>
      </c>
      <c r="C37" s="297" t="s">
        <v>317</v>
      </c>
      <c r="D37" s="297" t="s">
        <v>423</v>
      </c>
      <c r="E37" s="22">
        <f>IFERROR(VLOOKUP(Vertailu[[#This Row],[Y-tunnus]],'1.2 Ohjaus-laskentataulu'!A:AT,COLUMN('1.2 Ohjaus-laskentataulu'!L:L),FALSE)/VLOOKUP(Vertailu[[#This Row],[Y-tunnus]],'1.2 Ohjaus-laskentataulu'!A:AT,COLUMN('1.2 Ohjaus-laskentataulu'!AR:AR),FALSE),0)</f>
        <v>0.57100407086837524</v>
      </c>
      <c r="F37" s="46">
        <f>IFERROR(VLOOKUP(Vertailu[[#This Row],[Y-tunnus]],'1.2 Ohjaus-laskentataulu'!A:AT,COLUMN('1.2 Ohjaus-laskentataulu'!AO:AO),FALSE)/VLOOKUP(Vertailu[[#This Row],[Y-tunnus]],'1.2 Ohjaus-laskentataulu'!A:AT,COLUMN('1.2 Ohjaus-laskentataulu'!AR:AR),FALSE),0)</f>
        <v>0.58633690843996045</v>
      </c>
      <c r="G37" s="299">
        <f>IFERROR(VLOOKUP(Vertailu[[#This Row],[Y-tunnus]],'1.2 Ohjaus-laskentataulu'!A:AT,COLUMN('1.2 Ohjaus-laskentataulu'!AP:AP),FALSE)/VLOOKUP(Vertailu[[#This Row],[Y-tunnus]],'1.2 Ohjaus-laskentataulu'!A:AT,COLUMN('1.2 Ohjaus-laskentataulu'!AR:AR),FALSE),0)</f>
        <v>0.20091383711926647</v>
      </c>
      <c r="H37" s="22">
        <f>IFERROR(VLOOKUP(Vertailu[[#This Row],[Y-tunnus]],'1.2 Ohjaus-laskentataulu'!A:AT,COLUMN('1.2 Ohjaus-laskentataulu'!AQ:AQ),FALSE)/VLOOKUP(Vertailu[[#This Row],[Y-tunnus]],'1.2 Ohjaus-laskentataulu'!A:AT,COLUMN('1.2 Ohjaus-laskentataulu'!AR:AR),FALSE),0)</f>
        <v>0.21274925444077308</v>
      </c>
      <c r="I37" s="19">
        <f>IFERROR(VLOOKUP(Vertailu[[#This Row],[Y-tunnus]],'1.2 Ohjaus-laskentataulu'!A:AT,COLUMN('1.2 Ohjaus-laskentataulu'!R:R),FALSE)/VLOOKUP(Vertailu[[#This Row],[Y-tunnus]],'1.2 Ohjaus-laskentataulu'!A:AT,COLUMN('1.2 Ohjaus-laskentataulu'!AR:AR),FALSE),0)</f>
        <v>0.11610024609204303</v>
      </c>
      <c r="J37" s="19">
        <f>IFERROR(VLOOKUP(Vertailu[[#This Row],[Y-tunnus]],'1.2 Ohjaus-laskentataulu'!A:AT,COLUMN('1.2 Ohjaus-laskentataulu'!U:U),FALSE)/VLOOKUP(Vertailu[[#This Row],[Y-tunnus]],'1.2 Ohjaus-laskentataulu'!A:AT,COLUMN('1.2 Ohjaus-laskentataulu'!AR:AR),FALSE),0)</f>
        <v>2.0306810079807419E-2</v>
      </c>
      <c r="K37" s="46">
        <f>IFERROR(VLOOKUP(Vertailu[[#This Row],[Y-tunnus]],'1.2 Ohjaus-laskentataulu'!A:AT,COLUMN('1.2 Ohjaus-laskentataulu'!X:X),FALSE)/VLOOKUP(Vertailu[[#This Row],[Y-tunnus]],'1.2 Ohjaus-laskentataulu'!A:AT,COLUMN('1.2 Ohjaus-laskentataulu'!AR:AR),FALSE),0)</f>
        <v>7.6342198268922634E-2</v>
      </c>
      <c r="L37" s="21">
        <f>IFERROR(VLOOKUP(Vertailu[[#This Row],[Y-tunnus]],'3.2 Suoritepäätös 2019'!$A:$S,COLUMN('3.2 Suoritepäätös 2019'!Q:Q),FALSE)-VLOOKUP(Vertailu[[#This Row],[Y-tunnus]],'3.2 Suoritepäätös 2019'!$A:$S,COLUMN('3.2 Suoritepäätös 2019'!L:L),FALSE),0)</f>
        <v>484957</v>
      </c>
      <c r="M37" s="21">
        <f>IFERROR(VLOOKUP(Vertailu[[#This Row],[Y-tunnus]],'1.2 Ohjaus-laskentataulu'!A:AT,COLUMN('1.2 Ohjaus-laskentataulu'!Z:Z),FALSE),0)</f>
        <v>642195</v>
      </c>
      <c r="N37" s="21">
        <f>IFERROR(Vertailu[[#This Row],[Rahoitus pl. hark. kor. 2020 ilman alv, €]]-Vertailu[[#This Row],[Rahoitus pl. hark. kor. 2019 ilman alv, €]],0)</f>
        <v>157238</v>
      </c>
      <c r="O37" s="46">
        <f>IFERROR(Vertailu[[#This Row],[Muutos, € 1]]/Vertailu[[#This Row],[Rahoitus pl. hark. kor. 2019 ilman alv, €]],0)</f>
        <v>0.32423080809226384</v>
      </c>
      <c r="P37" s="217">
        <f>IFERROR(VLOOKUP(Vertailu[[#This Row],[Y-tunnus]],'3.2 Suoritepäätös 2019'!$A:$S,COLUMN('3.2 Suoritepäätös 2019'!Q:Q),FALSE),0)</f>
        <v>484957</v>
      </c>
      <c r="Q37" s="243">
        <f>IFERROR(VLOOKUP(Vertailu[[#This Row],[Y-tunnus]],'1.2 Ohjaus-laskentataulu'!A:AT,COLUMN('1.2 Ohjaus-laskentataulu'!AR:AR),FALSE),0)</f>
        <v>652195</v>
      </c>
      <c r="R37" s="21">
        <f>IFERROR(Vertailu[[#This Row],[Rahoitus ml. hark. kor. 
2020 ilman alv, €]]-Vertailu[[#This Row],[Rahoitus ml. hark. kor. 
2019 ilman alv, €]],0)</f>
        <v>167238</v>
      </c>
      <c r="S37" s="19">
        <f>IFERROR(Vertailu[[#This Row],[Muutos, € 2]]/Vertailu[[#This Row],[Rahoitus ml. hark. kor. 
2019 ilman alv, €]],0)</f>
        <v>0.34485119299236838</v>
      </c>
      <c r="T37" s="243">
        <f>IFERROR(VLOOKUP(Vertailu[[#This Row],[Y-tunnus]],'3.2 Suoritepäätös 2019'!$A:$S,COLUMN('3.2 Suoritepäätös 2019'!Q:Q),FALSE)+VLOOKUP(Vertailu[[#This Row],[Y-tunnus]],'3.2 Suoritepäätös 2019'!$A:$S,COLUMN('3.2 Suoritepäätös 2019'!R:R),FALSE),0)</f>
        <v>510985</v>
      </c>
      <c r="U37" s="217">
        <f>IFERROR(VLOOKUP(Vertailu[[#This Row],[Y-tunnus]],'1.2 Ohjaus-laskentataulu'!A:AT,COLUMN('1.2 Ohjaus-laskentataulu'!AT:AT),FALSE),0)</f>
        <v>673903</v>
      </c>
      <c r="V37" s="249">
        <f>IFERROR(Vertailu[[#This Row],[Rahoitus ml. hark. kor. + alv 2020, €]]-Vertailu[[#This Row],[Rahoitus ml. hark. kor. + alv 2019, €]],0)</f>
        <v>162918</v>
      </c>
      <c r="W37" s="46">
        <f>IFERROR(Vertailu[[#This Row],[Muutos, € 3]]/Vertailu[[#This Row],[Rahoitus ml. hark. kor. + alv 2019, €]],0)</f>
        <v>0.318831276847657</v>
      </c>
    </row>
    <row r="38" spans="1:23" ht="12.75" customHeight="1" x14ac:dyDescent="0.25">
      <c r="A38" s="12" t="s">
        <v>375</v>
      </c>
      <c r="B38" s="297" t="s">
        <v>49</v>
      </c>
      <c r="C38" s="297" t="s">
        <v>317</v>
      </c>
      <c r="D38" s="297" t="s">
        <v>424</v>
      </c>
      <c r="E38" s="22">
        <f>IFERROR(VLOOKUP(Vertailu[[#This Row],[Y-tunnus]],'1.2 Ohjaus-laskentataulu'!A:AT,COLUMN('1.2 Ohjaus-laskentataulu'!L:L),FALSE)/VLOOKUP(Vertailu[[#This Row],[Y-tunnus]],'1.2 Ohjaus-laskentataulu'!A:AT,COLUMN('1.2 Ohjaus-laskentataulu'!AR:AR),FALSE),0)</f>
        <v>0.64957812329775522</v>
      </c>
      <c r="F38" s="46">
        <f>IFERROR(VLOOKUP(Vertailu[[#This Row],[Y-tunnus]],'1.2 Ohjaus-laskentataulu'!A:AT,COLUMN('1.2 Ohjaus-laskentataulu'!AO:AO),FALSE)/VLOOKUP(Vertailu[[#This Row],[Y-tunnus]],'1.2 Ohjaus-laskentataulu'!A:AT,COLUMN('1.2 Ohjaus-laskentataulu'!AR:AR),FALSE),0)</f>
        <v>0.64957812329775522</v>
      </c>
      <c r="G38" s="299">
        <f>IFERROR(VLOOKUP(Vertailu[[#This Row],[Y-tunnus]],'1.2 Ohjaus-laskentataulu'!A:AT,COLUMN('1.2 Ohjaus-laskentataulu'!AP:AP),FALSE)/VLOOKUP(Vertailu[[#This Row],[Y-tunnus]],'1.2 Ohjaus-laskentataulu'!A:AT,COLUMN('1.2 Ohjaus-laskentataulu'!AR:AR),FALSE),0)</f>
        <v>0.25976547585472415</v>
      </c>
      <c r="H38" s="22">
        <f>IFERROR(VLOOKUP(Vertailu[[#This Row],[Y-tunnus]],'1.2 Ohjaus-laskentataulu'!A:AT,COLUMN('1.2 Ohjaus-laskentataulu'!AQ:AQ),FALSE)/VLOOKUP(Vertailu[[#This Row],[Y-tunnus]],'1.2 Ohjaus-laskentataulu'!A:AT,COLUMN('1.2 Ohjaus-laskentataulu'!AR:AR),FALSE),0)</f>
        <v>9.0656400847520621E-2</v>
      </c>
      <c r="I38" s="19">
        <f>IFERROR(VLOOKUP(Vertailu[[#This Row],[Y-tunnus]],'1.2 Ohjaus-laskentataulu'!A:AT,COLUMN('1.2 Ohjaus-laskentataulu'!R:R),FALSE)/VLOOKUP(Vertailu[[#This Row],[Y-tunnus]],'1.2 Ohjaus-laskentataulu'!A:AT,COLUMN('1.2 Ohjaus-laskentataulu'!AR:AR),FALSE),0)</f>
        <v>7.1423262424923056E-2</v>
      </c>
      <c r="J38" s="19">
        <f>IFERROR(VLOOKUP(Vertailu[[#This Row],[Y-tunnus]],'1.2 Ohjaus-laskentataulu'!A:AT,COLUMN('1.2 Ohjaus-laskentataulu'!U:U),FALSE)/VLOOKUP(Vertailu[[#This Row],[Y-tunnus]],'1.2 Ohjaus-laskentataulu'!A:AT,COLUMN('1.2 Ohjaus-laskentataulu'!AR:AR),FALSE),0)</f>
        <v>3.6470673282024599E-3</v>
      </c>
      <c r="K38" s="46">
        <f>IFERROR(VLOOKUP(Vertailu[[#This Row],[Y-tunnus]],'1.2 Ohjaus-laskentataulu'!A:AT,COLUMN('1.2 Ohjaus-laskentataulu'!X:X),FALSE)/VLOOKUP(Vertailu[[#This Row],[Y-tunnus]],'1.2 Ohjaus-laskentataulu'!A:AT,COLUMN('1.2 Ohjaus-laskentataulu'!AR:AR),FALSE),0)</f>
        <v>1.5586071094395103E-2</v>
      </c>
      <c r="L38" s="21">
        <f>IFERROR(VLOOKUP(Vertailu[[#This Row],[Y-tunnus]],'3.2 Suoritepäätös 2019'!$A:$S,COLUMN('3.2 Suoritepäätös 2019'!Q:Q),FALSE)-VLOOKUP(Vertailu[[#This Row],[Y-tunnus]],'3.2 Suoritepäätös 2019'!$A:$S,COLUMN('3.2 Suoritepäätös 2019'!L:L),FALSE),0)</f>
        <v>941016</v>
      </c>
      <c r="M38" s="21">
        <f>IFERROR(VLOOKUP(Vertailu[[#This Row],[Y-tunnus]],'1.2 Ohjaus-laskentataulu'!A:AT,COLUMN('1.2 Ohjaus-laskentataulu'!Z:Z),FALSE),0)</f>
        <v>982159</v>
      </c>
      <c r="N38" s="21">
        <f>IFERROR(Vertailu[[#This Row],[Rahoitus pl. hark. kor. 2020 ilman alv, €]]-Vertailu[[#This Row],[Rahoitus pl. hark. kor. 2019 ilman alv, €]],0)</f>
        <v>41143</v>
      </c>
      <c r="O38" s="46">
        <f>IFERROR(Vertailu[[#This Row],[Muutos, € 1]]/Vertailu[[#This Row],[Rahoitus pl. hark. kor. 2019 ilman alv, €]],0)</f>
        <v>4.3721892082600085E-2</v>
      </c>
      <c r="P38" s="217">
        <f>IFERROR(VLOOKUP(Vertailu[[#This Row],[Y-tunnus]],'3.2 Suoritepäätös 2019'!$A:$S,COLUMN('3.2 Suoritepäätös 2019'!Q:Q),FALSE),0)</f>
        <v>941016</v>
      </c>
      <c r="Q38" s="243">
        <f>IFERROR(VLOOKUP(Vertailu[[#This Row],[Y-tunnus]],'1.2 Ohjaus-laskentataulu'!A:AT,COLUMN('1.2 Ohjaus-laskentataulu'!AR:AR),FALSE),0)</f>
        <v>982159</v>
      </c>
      <c r="R38" s="21">
        <f>IFERROR(Vertailu[[#This Row],[Rahoitus ml. hark. kor. 
2020 ilman alv, €]]-Vertailu[[#This Row],[Rahoitus ml. hark. kor. 
2019 ilman alv, €]],0)</f>
        <v>41143</v>
      </c>
      <c r="S38" s="19">
        <f>IFERROR(Vertailu[[#This Row],[Muutos, € 2]]/Vertailu[[#This Row],[Rahoitus ml. hark. kor. 
2019 ilman alv, €]],0)</f>
        <v>4.3721892082600085E-2</v>
      </c>
      <c r="T38" s="243">
        <f>IFERROR(VLOOKUP(Vertailu[[#This Row],[Y-tunnus]],'3.2 Suoritepäätös 2019'!$A:$S,COLUMN('3.2 Suoritepäätös 2019'!Q:Q),FALSE)+VLOOKUP(Vertailu[[#This Row],[Y-tunnus]],'3.2 Suoritepäätös 2019'!$A:$S,COLUMN('3.2 Suoritepäätös 2019'!R:R),FALSE),0)</f>
        <v>941016</v>
      </c>
      <c r="U38" s="217">
        <f>IFERROR(VLOOKUP(Vertailu[[#This Row],[Y-tunnus]],'1.2 Ohjaus-laskentataulu'!A:AT,COLUMN('1.2 Ohjaus-laskentataulu'!AT:AT),FALSE),0)</f>
        <v>982159</v>
      </c>
      <c r="V38" s="249">
        <f>IFERROR(Vertailu[[#This Row],[Rahoitus ml. hark. kor. + alv 2020, €]]-Vertailu[[#This Row],[Rahoitus ml. hark. kor. + alv 2019, €]],0)</f>
        <v>41143</v>
      </c>
      <c r="W38" s="46">
        <f>IFERROR(Vertailu[[#This Row],[Muutos, € 3]]/Vertailu[[#This Row],[Rahoitus ml. hark. kor. + alv 2019, €]],0)</f>
        <v>4.3721892082600085E-2</v>
      </c>
    </row>
    <row r="39" spans="1:23" ht="12.75" customHeight="1" x14ac:dyDescent="0.25">
      <c r="A39" s="12" t="s">
        <v>374</v>
      </c>
      <c r="B39" s="297" t="s">
        <v>50</v>
      </c>
      <c r="C39" s="297" t="s">
        <v>246</v>
      </c>
      <c r="D39" s="297" t="s">
        <v>422</v>
      </c>
      <c r="E39" s="22">
        <f>IFERROR(VLOOKUP(Vertailu[[#This Row],[Y-tunnus]],'1.2 Ohjaus-laskentataulu'!A:AT,COLUMN('1.2 Ohjaus-laskentataulu'!L:L),FALSE)/VLOOKUP(Vertailu[[#This Row],[Y-tunnus]],'1.2 Ohjaus-laskentataulu'!A:AT,COLUMN('1.2 Ohjaus-laskentataulu'!AR:AR),FALSE),0)</f>
        <v>0.68958874338693366</v>
      </c>
      <c r="F39" s="46">
        <f>IFERROR(VLOOKUP(Vertailu[[#This Row],[Y-tunnus]],'1.2 Ohjaus-laskentataulu'!A:AT,COLUMN('1.2 Ohjaus-laskentataulu'!AO:AO),FALSE)/VLOOKUP(Vertailu[[#This Row],[Y-tunnus]],'1.2 Ohjaus-laskentataulu'!A:AT,COLUMN('1.2 Ohjaus-laskentataulu'!AR:AR),FALSE),0)</f>
        <v>0.68958874338693366</v>
      </c>
      <c r="G39" s="46">
        <f>IFERROR(VLOOKUP(Vertailu[[#This Row],[Y-tunnus]],'1.2 Ohjaus-laskentataulu'!A:AT,COLUMN('1.2 Ohjaus-laskentataulu'!AP:AP),FALSE)/VLOOKUP(Vertailu[[#This Row],[Y-tunnus]],'1.2 Ohjaus-laskentataulu'!A:AT,COLUMN('1.2 Ohjaus-laskentataulu'!AR:AR),FALSE),0)</f>
        <v>0.20749370007951906</v>
      </c>
      <c r="H39" s="22">
        <f>IFERROR(VLOOKUP(Vertailu[[#This Row],[Y-tunnus]],'1.2 Ohjaus-laskentataulu'!A:AT,COLUMN('1.2 Ohjaus-laskentataulu'!AQ:AQ),FALSE)/VLOOKUP(Vertailu[[#This Row],[Y-tunnus]],'1.2 Ohjaus-laskentataulu'!A:AT,COLUMN('1.2 Ohjaus-laskentataulu'!AR:AR),FALSE),0)</f>
        <v>0.10291755653354724</v>
      </c>
      <c r="I39" s="19">
        <f>IFERROR(VLOOKUP(Vertailu[[#This Row],[Y-tunnus]],'1.2 Ohjaus-laskentataulu'!A:AT,COLUMN('1.2 Ohjaus-laskentataulu'!R:R),FALSE)/VLOOKUP(Vertailu[[#This Row],[Y-tunnus]],'1.2 Ohjaus-laskentataulu'!A:AT,COLUMN('1.2 Ohjaus-laskentataulu'!AR:AR),FALSE),0)</f>
        <v>8.2048650820162328E-2</v>
      </c>
      <c r="J39" s="19">
        <f>IFERROR(VLOOKUP(Vertailu[[#This Row],[Y-tunnus]],'1.2 Ohjaus-laskentataulu'!A:AT,COLUMN('1.2 Ohjaus-laskentataulu'!U:U),FALSE)/VLOOKUP(Vertailu[[#This Row],[Y-tunnus]],'1.2 Ohjaus-laskentataulu'!A:AT,COLUMN('1.2 Ohjaus-laskentataulu'!AR:AR),FALSE),0)</f>
        <v>6.120528321202791E-3</v>
      </c>
      <c r="K39" s="46">
        <f>IFERROR(VLOOKUP(Vertailu[[#This Row],[Y-tunnus]],'1.2 Ohjaus-laskentataulu'!A:AT,COLUMN('1.2 Ohjaus-laskentataulu'!X:X),FALSE)/VLOOKUP(Vertailu[[#This Row],[Y-tunnus]],'1.2 Ohjaus-laskentataulu'!A:AT,COLUMN('1.2 Ohjaus-laskentataulu'!AR:AR),FALSE),0)</f>
        <v>1.4748377392182115E-2</v>
      </c>
      <c r="L39" s="21">
        <f>IFERROR(VLOOKUP(Vertailu[[#This Row],[Y-tunnus]],'3.2 Suoritepäätös 2019'!$A:$S,COLUMN('3.2 Suoritepäätös 2019'!Q:Q),FALSE)-VLOOKUP(Vertailu[[#This Row],[Y-tunnus]],'3.2 Suoritepäätös 2019'!$A:$S,COLUMN('3.2 Suoritepäätös 2019'!L:L),FALSE),0)</f>
        <v>28412776</v>
      </c>
      <c r="M39" s="21">
        <f>IFERROR(VLOOKUP(Vertailu[[#This Row],[Y-tunnus]],'1.2 Ohjaus-laskentataulu'!A:AT,COLUMN('1.2 Ohjaus-laskentataulu'!Z:Z),FALSE),0)</f>
        <v>28780522</v>
      </c>
      <c r="N39" s="21">
        <f>IFERROR(Vertailu[[#This Row],[Rahoitus pl. hark. kor. 2020 ilman alv, €]]-Vertailu[[#This Row],[Rahoitus pl. hark. kor. 2019 ilman alv, €]],0)</f>
        <v>367746</v>
      </c>
      <c r="O39" s="46">
        <f>IFERROR(Vertailu[[#This Row],[Muutos, € 1]]/Vertailu[[#This Row],[Rahoitus pl. hark. kor. 2019 ilman alv, €]],0)</f>
        <v>1.2942980298721955E-2</v>
      </c>
      <c r="P39" s="217">
        <f>IFERROR(VLOOKUP(Vertailu[[#This Row],[Y-tunnus]],'3.2 Suoritepäätös 2019'!$A:$S,COLUMN('3.2 Suoritepäätös 2019'!Q:Q),FALSE),0)</f>
        <v>28412776</v>
      </c>
      <c r="Q39" s="243">
        <f>IFERROR(VLOOKUP(Vertailu[[#This Row],[Y-tunnus]],'1.2 Ohjaus-laskentataulu'!A:AT,COLUMN('1.2 Ohjaus-laskentataulu'!AR:AR),FALSE),0)</f>
        <v>28780522</v>
      </c>
      <c r="R39" s="21">
        <f>IFERROR(Vertailu[[#This Row],[Rahoitus ml. hark. kor. 
2020 ilman alv, €]]-Vertailu[[#This Row],[Rahoitus ml. hark. kor. 
2019 ilman alv, €]],0)</f>
        <v>367746</v>
      </c>
      <c r="S39" s="19">
        <f>IFERROR(Vertailu[[#This Row],[Muutos, € 2]]/Vertailu[[#This Row],[Rahoitus ml. hark. kor. 
2019 ilman alv, €]],0)</f>
        <v>1.2942980298721955E-2</v>
      </c>
      <c r="T39" s="243">
        <f>IFERROR(VLOOKUP(Vertailu[[#This Row],[Y-tunnus]],'3.2 Suoritepäätös 2019'!$A:$S,COLUMN('3.2 Suoritepäätös 2019'!Q:Q),FALSE)+VLOOKUP(Vertailu[[#This Row],[Y-tunnus]],'3.2 Suoritepäätös 2019'!$A:$S,COLUMN('3.2 Suoritepäätös 2019'!R:R),FALSE),0)</f>
        <v>28412776</v>
      </c>
      <c r="U39" s="217">
        <f>IFERROR(VLOOKUP(Vertailu[[#This Row],[Y-tunnus]],'1.2 Ohjaus-laskentataulu'!A:AT,COLUMN('1.2 Ohjaus-laskentataulu'!AT:AT),FALSE),0)</f>
        <v>28780522</v>
      </c>
      <c r="V39" s="249">
        <f>IFERROR(Vertailu[[#This Row],[Rahoitus ml. hark. kor. + alv 2020, €]]-Vertailu[[#This Row],[Rahoitus ml. hark. kor. + alv 2019, €]],0)</f>
        <v>367746</v>
      </c>
      <c r="W39" s="46">
        <f>IFERROR(Vertailu[[#This Row],[Muutos, € 3]]/Vertailu[[#This Row],[Rahoitus ml. hark. kor. + alv 2019, €]],0)</f>
        <v>1.2942980298721955E-2</v>
      </c>
    </row>
    <row r="40" spans="1:23" ht="12.75" customHeight="1" x14ac:dyDescent="0.25">
      <c r="A40" s="12" t="s">
        <v>373</v>
      </c>
      <c r="B40" s="297" t="s">
        <v>51</v>
      </c>
      <c r="C40" s="297" t="s">
        <v>238</v>
      </c>
      <c r="D40" s="297" t="s">
        <v>423</v>
      </c>
      <c r="E40" s="22">
        <f>IFERROR(VLOOKUP(Vertailu[[#This Row],[Y-tunnus]],'1.2 Ohjaus-laskentataulu'!A:AT,COLUMN('1.2 Ohjaus-laskentataulu'!L:L),FALSE)/VLOOKUP(Vertailu[[#This Row],[Y-tunnus]],'1.2 Ohjaus-laskentataulu'!A:AT,COLUMN('1.2 Ohjaus-laskentataulu'!AR:AR),FALSE),0)</f>
        <v>0.50594912760142952</v>
      </c>
      <c r="F40" s="46">
        <f>IFERROR(VLOOKUP(Vertailu[[#This Row],[Y-tunnus]],'1.2 Ohjaus-laskentataulu'!A:AT,COLUMN('1.2 Ohjaus-laskentataulu'!AO:AO),FALSE)/VLOOKUP(Vertailu[[#This Row],[Y-tunnus]],'1.2 Ohjaus-laskentataulu'!A:AT,COLUMN('1.2 Ohjaus-laskentataulu'!AR:AR),FALSE),0)</f>
        <v>0.50594912760142952</v>
      </c>
      <c r="G40" s="299">
        <f>IFERROR(VLOOKUP(Vertailu[[#This Row],[Y-tunnus]],'1.2 Ohjaus-laskentataulu'!A:AT,COLUMN('1.2 Ohjaus-laskentataulu'!AP:AP),FALSE)/VLOOKUP(Vertailu[[#This Row],[Y-tunnus]],'1.2 Ohjaus-laskentataulu'!A:AT,COLUMN('1.2 Ohjaus-laskentataulu'!AR:AR),FALSE),0)</f>
        <v>0.25052067043689147</v>
      </c>
      <c r="H40" s="22">
        <f>IFERROR(VLOOKUP(Vertailu[[#This Row],[Y-tunnus]],'1.2 Ohjaus-laskentataulu'!A:AT,COLUMN('1.2 Ohjaus-laskentataulu'!AQ:AQ),FALSE)/VLOOKUP(Vertailu[[#This Row],[Y-tunnus]],'1.2 Ohjaus-laskentataulu'!A:AT,COLUMN('1.2 Ohjaus-laskentataulu'!AR:AR),FALSE),0)</f>
        <v>0.24353020196167907</v>
      </c>
      <c r="I40" s="19">
        <f>IFERROR(VLOOKUP(Vertailu[[#This Row],[Y-tunnus]],'1.2 Ohjaus-laskentataulu'!A:AT,COLUMN('1.2 Ohjaus-laskentataulu'!R:R),FALSE)/VLOOKUP(Vertailu[[#This Row],[Y-tunnus]],'1.2 Ohjaus-laskentataulu'!A:AT,COLUMN('1.2 Ohjaus-laskentataulu'!AR:AR),FALSE),0)</f>
        <v>0.20618241666965756</v>
      </c>
      <c r="J40" s="19">
        <f>IFERROR(VLOOKUP(Vertailu[[#This Row],[Y-tunnus]],'1.2 Ohjaus-laskentataulu'!A:AT,COLUMN('1.2 Ohjaus-laskentataulu'!U:U),FALSE)/VLOOKUP(Vertailu[[#This Row],[Y-tunnus]],'1.2 Ohjaus-laskentataulu'!A:AT,COLUMN('1.2 Ohjaus-laskentataulu'!AR:AR),FALSE),0)</f>
        <v>2.5470039018237564E-2</v>
      </c>
      <c r="K40" s="46">
        <f>IFERROR(VLOOKUP(Vertailu[[#This Row],[Y-tunnus]],'1.2 Ohjaus-laskentataulu'!A:AT,COLUMN('1.2 Ohjaus-laskentataulu'!X:X),FALSE)/VLOOKUP(Vertailu[[#This Row],[Y-tunnus]],'1.2 Ohjaus-laskentataulu'!A:AT,COLUMN('1.2 Ohjaus-laskentataulu'!AR:AR),FALSE),0)</f>
        <v>1.1877746273783948E-2</v>
      </c>
      <c r="L40" s="21">
        <f>IFERROR(VLOOKUP(Vertailu[[#This Row],[Y-tunnus]],'3.2 Suoritepäätös 2019'!$A:$S,COLUMN('3.2 Suoritepäätös 2019'!Q:Q),FALSE)-VLOOKUP(Vertailu[[#This Row],[Y-tunnus]],'3.2 Suoritepäätös 2019'!$A:$S,COLUMN('3.2 Suoritepäätös 2019'!L:L),FALSE),0)</f>
        <v>598282</v>
      </c>
      <c r="M40" s="21">
        <f>IFERROR(VLOOKUP(Vertailu[[#This Row],[Y-tunnus]],'1.2 Ohjaus-laskentataulu'!A:AT,COLUMN('1.2 Ohjaus-laskentataulu'!Z:Z),FALSE),0)</f>
        <v>975185</v>
      </c>
      <c r="N40" s="21">
        <f>IFERROR(Vertailu[[#This Row],[Rahoitus pl. hark. kor. 2020 ilman alv, €]]-Vertailu[[#This Row],[Rahoitus pl. hark. kor. 2019 ilman alv, €]],0)</f>
        <v>376903</v>
      </c>
      <c r="O40" s="46">
        <f>IFERROR(Vertailu[[#This Row],[Muutos, € 1]]/Vertailu[[#This Row],[Rahoitus pl. hark. kor. 2019 ilman alv, €]],0)</f>
        <v>0.62997549650499263</v>
      </c>
      <c r="P40" s="217">
        <f>IFERROR(VLOOKUP(Vertailu[[#This Row],[Y-tunnus]],'3.2 Suoritepäätös 2019'!$A:$S,COLUMN('3.2 Suoritepäätös 2019'!Q:Q),FALSE),0)</f>
        <v>798282</v>
      </c>
      <c r="Q40" s="243">
        <f>IFERROR(VLOOKUP(Vertailu[[#This Row],[Y-tunnus]],'1.2 Ohjaus-laskentataulu'!A:AT,COLUMN('1.2 Ohjaus-laskentataulu'!AR:AR),FALSE),0)</f>
        <v>975185</v>
      </c>
      <c r="R40" s="21">
        <f>IFERROR(Vertailu[[#This Row],[Rahoitus ml. hark. kor. 
2020 ilman alv, €]]-Vertailu[[#This Row],[Rahoitus ml. hark. kor. 
2019 ilman alv, €]],0)</f>
        <v>176903</v>
      </c>
      <c r="S40" s="19">
        <f>IFERROR(Vertailu[[#This Row],[Muutos, € 2]]/Vertailu[[#This Row],[Rahoitus ml. hark. kor. 
2019 ilman alv, €]],0)</f>
        <v>0.22160464597723611</v>
      </c>
      <c r="T40" s="243">
        <f>IFERROR(VLOOKUP(Vertailu[[#This Row],[Y-tunnus]],'3.2 Suoritepäätös 2019'!$A:$S,COLUMN('3.2 Suoritepäätös 2019'!Q:Q),FALSE)+VLOOKUP(Vertailu[[#This Row],[Y-tunnus]],'3.2 Suoritepäätös 2019'!$A:$S,COLUMN('3.2 Suoritepäätös 2019'!R:R),FALSE),0)</f>
        <v>841356</v>
      </c>
      <c r="U40" s="217">
        <f>IFERROR(VLOOKUP(Vertailu[[#This Row],[Y-tunnus]],'1.2 Ohjaus-laskentataulu'!A:AT,COLUMN('1.2 Ohjaus-laskentataulu'!AT:AT),FALSE),0)</f>
        <v>1014476</v>
      </c>
      <c r="V40" s="249">
        <f>IFERROR(Vertailu[[#This Row],[Rahoitus ml. hark. kor. + alv 2020, €]]-Vertailu[[#This Row],[Rahoitus ml. hark. kor. + alv 2019, €]],0)</f>
        <v>173120</v>
      </c>
      <c r="W40" s="46">
        <f>IFERROR(Vertailu[[#This Row],[Muutos, € 3]]/Vertailu[[#This Row],[Rahoitus ml. hark. kor. + alv 2019, €]],0)</f>
        <v>0.20576307769838215</v>
      </c>
    </row>
    <row r="41" spans="1:23" ht="12.75" customHeight="1" x14ac:dyDescent="0.25">
      <c r="A41" s="12" t="s">
        <v>372</v>
      </c>
      <c r="B41" s="297" t="s">
        <v>52</v>
      </c>
      <c r="C41" s="297" t="s">
        <v>240</v>
      </c>
      <c r="D41" s="297" t="s">
        <v>422</v>
      </c>
      <c r="E41" s="22">
        <f>IFERROR(VLOOKUP(Vertailu[[#This Row],[Y-tunnus]],'1.2 Ohjaus-laskentataulu'!A:AT,COLUMN('1.2 Ohjaus-laskentataulu'!L:L),FALSE)/VLOOKUP(Vertailu[[#This Row],[Y-tunnus]],'1.2 Ohjaus-laskentataulu'!A:AT,COLUMN('1.2 Ohjaus-laskentataulu'!AR:AR),FALSE),0)</f>
        <v>0.64598109823834737</v>
      </c>
      <c r="F41" s="46">
        <f>IFERROR(VLOOKUP(Vertailu[[#This Row],[Y-tunnus]],'1.2 Ohjaus-laskentataulu'!A:AT,COLUMN('1.2 Ohjaus-laskentataulu'!AO:AO),FALSE)/VLOOKUP(Vertailu[[#This Row],[Y-tunnus]],'1.2 Ohjaus-laskentataulu'!A:AT,COLUMN('1.2 Ohjaus-laskentataulu'!AR:AR),FALSE),0)</f>
        <v>0.64833835113900784</v>
      </c>
      <c r="G41" s="299">
        <f>IFERROR(VLOOKUP(Vertailu[[#This Row],[Y-tunnus]],'1.2 Ohjaus-laskentataulu'!A:AT,COLUMN('1.2 Ohjaus-laskentataulu'!AP:AP),FALSE)/VLOOKUP(Vertailu[[#This Row],[Y-tunnus]],'1.2 Ohjaus-laskentataulu'!A:AT,COLUMN('1.2 Ohjaus-laskentataulu'!AR:AR),FALSE),0)</f>
        <v>0.22782948137424985</v>
      </c>
      <c r="H41" s="22">
        <f>IFERROR(VLOOKUP(Vertailu[[#This Row],[Y-tunnus]],'1.2 Ohjaus-laskentataulu'!A:AT,COLUMN('1.2 Ohjaus-laskentataulu'!AQ:AQ),FALSE)/VLOOKUP(Vertailu[[#This Row],[Y-tunnus]],'1.2 Ohjaus-laskentataulu'!A:AT,COLUMN('1.2 Ohjaus-laskentataulu'!AR:AR),FALSE),0)</f>
        <v>0.12383216748674228</v>
      </c>
      <c r="I41" s="19">
        <f>IFERROR(VLOOKUP(Vertailu[[#This Row],[Y-tunnus]],'1.2 Ohjaus-laskentataulu'!A:AT,COLUMN('1.2 Ohjaus-laskentataulu'!R:R),FALSE)/VLOOKUP(Vertailu[[#This Row],[Y-tunnus]],'1.2 Ohjaus-laskentataulu'!A:AT,COLUMN('1.2 Ohjaus-laskentataulu'!AR:AR),FALSE),0)</f>
        <v>9.629744614004096E-2</v>
      </c>
      <c r="J41" s="19">
        <f>IFERROR(VLOOKUP(Vertailu[[#This Row],[Y-tunnus]],'1.2 Ohjaus-laskentataulu'!A:AT,COLUMN('1.2 Ohjaus-laskentataulu'!U:U),FALSE)/VLOOKUP(Vertailu[[#This Row],[Y-tunnus]],'1.2 Ohjaus-laskentataulu'!A:AT,COLUMN('1.2 Ohjaus-laskentataulu'!AR:AR),FALSE),0)</f>
        <v>7.0380119652940594E-3</v>
      </c>
      <c r="K41" s="46">
        <f>IFERROR(VLOOKUP(Vertailu[[#This Row],[Y-tunnus]],'1.2 Ohjaus-laskentataulu'!A:AT,COLUMN('1.2 Ohjaus-laskentataulu'!X:X),FALSE)/VLOOKUP(Vertailu[[#This Row],[Y-tunnus]],'1.2 Ohjaus-laskentataulu'!A:AT,COLUMN('1.2 Ohjaus-laskentataulu'!AR:AR),FALSE),0)</f>
        <v>2.0496709381407262E-2</v>
      </c>
      <c r="L41" s="21">
        <f>IFERROR(VLOOKUP(Vertailu[[#This Row],[Y-tunnus]],'3.2 Suoritepäätös 2019'!$A:$S,COLUMN('3.2 Suoritepäätös 2019'!Q:Q),FALSE)-VLOOKUP(Vertailu[[#This Row],[Y-tunnus]],'3.2 Suoritepäätös 2019'!$A:$S,COLUMN('3.2 Suoritepäätös 2019'!L:L),FALSE),0)</f>
        <v>63802613</v>
      </c>
      <c r="M41" s="21">
        <f>IFERROR(VLOOKUP(Vertailu[[#This Row],[Y-tunnus]],'1.2 Ohjaus-laskentataulu'!A:AT,COLUMN('1.2 Ohjaus-laskentataulu'!Z:Z),FALSE),0)</f>
        <v>65599506</v>
      </c>
      <c r="N41" s="21">
        <f>IFERROR(Vertailu[[#This Row],[Rahoitus pl. hark. kor. 2020 ilman alv, €]]-Vertailu[[#This Row],[Rahoitus pl. hark. kor. 2019 ilman alv, €]],0)</f>
        <v>1796893</v>
      </c>
      <c r="O41" s="46">
        <f>IFERROR(Vertailu[[#This Row],[Muutos, € 1]]/Vertailu[[#This Row],[Rahoitus pl. hark. kor. 2019 ilman alv, €]],0)</f>
        <v>2.8163313624788376E-2</v>
      </c>
      <c r="P41" s="217">
        <f>IFERROR(VLOOKUP(Vertailu[[#This Row],[Y-tunnus]],'3.2 Suoritepäätös 2019'!$A:$S,COLUMN('3.2 Suoritepäätös 2019'!Q:Q),FALSE),0)</f>
        <v>63802613</v>
      </c>
      <c r="Q41" s="243">
        <f>IFERROR(VLOOKUP(Vertailu[[#This Row],[Y-tunnus]],'1.2 Ohjaus-laskentataulu'!A:AT,COLUMN('1.2 Ohjaus-laskentataulu'!AR:AR),FALSE),0)</f>
        <v>65754506</v>
      </c>
      <c r="R41" s="21">
        <f>IFERROR(Vertailu[[#This Row],[Rahoitus ml. hark. kor. 
2020 ilman alv, €]]-Vertailu[[#This Row],[Rahoitus ml. hark. kor. 
2019 ilman alv, €]],0)</f>
        <v>1951893</v>
      </c>
      <c r="S41" s="19">
        <f>IFERROR(Vertailu[[#This Row],[Muutos, € 2]]/Vertailu[[#This Row],[Rahoitus ml. hark. kor. 
2019 ilman alv, €]],0)</f>
        <v>3.0592681211974813E-2</v>
      </c>
      <c r="T41" s="243">
        <f>IFERROR(VLOOKUP(Vertailu[[#This Row],[Y-tunnus]],'3.2 Suoritepäätös 2019'!$A:$S,COLUMN('3.2 Suoritepäätös 2019'!Q:Q),FALSE)+VLOOKUP(Vertailu[[#This Row],[Y-tunnus]],'3.2 Suoritepäätös 2019'!$A:$S,COLUMN('3.2 Suoritepäätös 2019'!R:R),FALSE),0)</f>
        <v>63802613</v>
      </c>
      <c r="U41" s="217">
        <f>IFERROR(VLOOKUP(Vertailu[[#This Row],[Y-tunnus]],'1.2 Ohjaus-laskentataulu'!A:AT,COLUMN('1.2 Ohjaus-laskentataulu'!AT:AT),FALSE),0)</f>
        <v>65754506</v>
      </c>
      <c r="V41" s="249">
        <f>IFERROR(Vertailu[[#This Row],[Rahoitus ml. hark. kor. + alv 2020, €]]-Vertailu[[#This Row],[Rahoitus ml. hark. kor. + alv 2019, €]],0)</f>
        <v>1951893</v>
      </c>
      <c r="W41" s="46">
        <f>IFERROR(Vertailu[[#This Row],[Muutos, € 3]]/Vertailu[[#This Row],[Rahoitus ml. hark. kor. + alv 2019, €]],0)</f>
        <v>3.0592681211974813E-2</v>
      </c>
    </row>
    <row r="42" spans="1:23" ht="12.75" customHeight="1" x14ac:dyDescent="0.25">
      <c r="A42" s="12" t="s">
        <v>377</v>
      </c>
      <c r="B42" s="297" t="s">
        <v>53</v>
      </c>
      <c r="C42" s="297" t="s">
        <v>240</v>
      </c>
      <c r="D42" s="297" t="s">
        <v>423</v>
      </c>
      <c r="E42" s="22">
        <f>IFERROR(VLOOKUP(Vertailu[[#This Row],[Y-tunnus]],'1.2 Ohjaus-laskentataulu'!A:AT,COLUMN('1.2 Ohjaus-laskentataulu'!L:L),FALSE)/VLOOKUP(Vertailu[[#This Row],[Y-tunnus]],'1.2 Ohjaus-laskentataulu'!A:AT,COLUMN('1.2 Ohjaus-laskentataulu'!AR:AR),FALSE),0)</f>
        <v>0.62060405726449819</v>
      </c>
      <c r="F42" s="46">
        <f>IFERROR(VLOOKUP(Vertailu[[#This Row],[Y-tunnus]],'1.2 Ohjaus-laskentataulu'!A:AT,COLUMN('1.2 Ohjaus-laskentataulu'!AO:AO),FALSE)/VLOOKUP(Vertailu[[#This Row],[Y-tunnus]],'1.2 Ohjaus-laskentataulu'!A:AT,COLUMN('1.2 Ohjaus-laskentataulu'!AR:AR),FALSE),0)</f>
        <v>0.63225549744076115</v>
      </c>
      <c r="G42" s="299">
        <f>IFERROR(VLOOKUP(Vertailu[[#This Row],[Y-tunnus]],'1.2 Ohjaus-laskentataulu'!A:AT,COLUMN('1.2 Ohjaus-laskentataulu'!AP:AP),FALSE)/VLOOKUP(Vertailu[[#This Row],[Y-tunnus]],'1.2 Ohjaus-laskentataulu'!A:AT,COLUMN('1.2 Ohjaus-laskentataulu'!AR:AR),FALSE),0)</f>
        <v>0.23263381970328442</v>
      </c>
      <c r="H42" s="22">
        <f>IFERROR(VLOOKUP(Vertailu[[#This Row],[Y-tunnus]],'1.2 Ohjaus-laskentataulu'!A:AT,COLUMN('1.2 Ohjaus-laskentataulu'!AQ:AQ),FALSE)/VLOOKUP(Vertailu[[#This Row],[Y-tunnus]],'1.2 Ohjaus-laskentataulu'!A:AT,COLUMN('1.2 Ohjaus-laskentataulu'!AR:AR),FALSE),0)</f>
        <v>0.1351106828559544</v>
      </c>
      <c r="I42" s="19">
        <f>IFERROR(VLOOKUP(Vertailu[[#This Row],[Y-tunnus]],'1.2 Ohjaus-laskentataulu'!A:AT,COLUMN('1.2 Ohjaus-laskentataulu'!R:R),FALSE)/VLOOKUP(Vertailu[[#This Row],[Y-tunnus]],'1.2 Ohjaus-laskentataulu'!A:AT,COLUMN('1.2 Ohjaus-laskentataulu'!AR:AR),FALSE),0)</f>
        <v>0.10197573471068891</v>
      </c>
      <c r="J42" s="19">
        <f>IFERROR(VLOOKUP(Vertailu[[#This Row],[Y-tunnus]],'1.2 Ohjaus-laskentataulu'!A:AT,COLUMN('1.2 Ohjaus-laskentataulu'!U:U),FALSE)/VLOOKUP(Vertailu[[#This Row],[Y-tunnus]],'1.2 Ohjaus-laskentataulu'!A:AT,COLUMN('1.2 Ohjaus-laskentataulu'!AR:AR),FALSE),0)</f>
        <v>1.2489761296945109E-2</v>
      </c>
      <c r="K42" s="46">
        <f>IFERROR(VLOOKUP(Vertailu[[#This Row],[Y-tunnus]],'1.2 Ohjaus-laskentataulu'!A:AT,COLUMN('1.2 Ohjaus-laskentataulu'!X:X),FALSE)/VLOOKUP(Vertailu[[#This Row],[Y-tunnus]],'1.2 Ohjaus-laskentataulu'!A:AT,COLUMN('1.2 Ohjaus-laskentataulu'!AR:AR),FALSE),0)</f>
        <v>2.0645186848320386E-2</v>
      </c>
      <c r="L42" s="21">
        <f>IFERROR(VLOOKUP(Vertailu[[#This Row],[Y-tunnus]],'3.2 Suoritepäätös 2019'!$A:$S,COLUMN('3.2 Suoritepäätös 2019'!Q:Q),FALSE)-VLOOKUP(Vertailu[[#This Row],[Y-tunnus]],'3.2 Suoritepäätös 2019'!$A:$S,COLUMN('3.2 Suoritepäätös 2019'!L:L),FALSE),0)</f>
        <v>1573444</v>
      </c>
      <c r="M42" s="21">
        <f>IFERROR(VLOOKUP(Vertailu[[#This Row],[Y-tunnus]],'1.2 Ohjaus-laskentataulu'!A:AT,COLUMN('1.2 Ohjaus-laskentataulu'!Z:Z),FALSE),0)</f>
        <v>1696526</v>
      </c>
      <c r="N42" s="21">
        <f>IFERROR(Vertailu[[#This Row],[Rahoitus pl. hark. kor. 2020 ilman alv, €]]-Vertailu[[#This Row],[Rahoitus pl. hark. kor. 2019 ilman alv, €]],0)</f>
        <v>123082</v>
      </c>
      <c r="O42" s="46">
        <f>IFERROR(Vertailu[[#This Row],[Muutos, € 1]]/Vertailu[[#This Row],[Rahoitus pl. hark. kor. 2019 ilman alv, €]],0)</f>
        <v>7.8224582508179513E-2</v>
      </c>
      <c r="P42" s="217">
        <f>IFERROR(VLOOKUP(Vertailu[[#This Row],[Y-tunnus]],'3.2 Suoritepäätös 2019'!$A:$S,COLUMN('3.2 Suoritepäätös 2019'!Q:Q),FALSE),0)</f>
        <v>1573444</v>
      </c>
      <c r="Q42" s="243">
        <f>IFERROR(VLOOKUP(Vertailu[[#This Row],[Y-tunnus]],'1.2 Ohjaus-laskentataulu'!A:AT,COLUMN('1.2 Ohjaus-laskentataulu'!AR:AR),FALSE),0)</f>
        <v>1716526</v>
      </c>
      <c r="R42" s="21">
        <f>IFERROR(Vertailu[[#This Row],[Rahoitus ml. hark. kor. 
2020 ilman alv, €]]-Vertailu[[#This Row],[Rahoitus ml. hark. kor. 
2019 ilman alv, €]],0)</f>
        <v>143082</v>
      </c>
      <c r="S42" s="19">
        <f>IFERROR(Vertailu[[#This Row],[Muutos, € 2]]/Vertailu[[#This Row],[Rahoitus ml. hark. kor. 
2019 ilman alv, €]],0)</f>
        <v>9.093555283823257E-2</v>
      </c>
      <c r="T42" s="243">
        <f>IFERROR(VLOOKUP(Vertailu[[#This Row],[Y-tunnus]],'3.2 Suoritepäätös 2019'!$A:$S,COLUMN('3.2 Suoritepäätös 2019'!Q:Q),FALSE)+VLOOKUP(Vertailu[[#This Row],[Y-tunnus]],'3.2 Suoritepäätös 2019'!$A:$S,COLUMN('3.2 Suoritepäätös 2019'!R:R),FALSE),0)</f>
        <v>1658024</v>
      </c>
      <c r="U42" s="217">
        <f>IFERROR(VLOOKUP(Vertailu[[#This Row],[Y-tunnus]],'1.2 Ohjaus-laskentataulu'!A:AT,COLUMN('1.2 Ohjaus-laskentataulu'!AT:AT),FALSE),0)</f>
        <v>1725189</v>
      </c>
      <c r="V42" s="249">
        <f>IFERROR(Vertailu[[#This Row],[Rahoitus ml. hark. kor. + alv 2020, €]]-Vertailu[[#This Row],[Rahoitus ml. hark. kor. + alv 2019, €]],0)</f>
        <v>67165</v>
      </c>
      <c r="W42" s="46">
        <f>IFERROR(Vertailu[[#This Row],[Muutos, € 3]]/Vertailu[[#This Row],[Rahoitus ml. hark. kor. + alv 2019, €]],0)</f>
        <v>4.0509063801247754E-2</v>
      </c>
    </row>
    <row r="43" spans="1:23" ht="12.75" customHeight="1" x14ac:dyDescent="0.25">
      <c r="A43" s="12" t="s">
        <v>376</v>
      </c>
      <c r="B43" s="297" t="s">
        <v>54</v>
      </c>
      <c r="C43" s="297" t="s">
        <v>240</v>
      </c>
      <c r="D43" s="297" t="s">
        <v>423</v>
      </c>
      <c r="E43" s="22">
        <f>IFERROR(VLOOKUP(Vertailu[[#This Row],[Y-tunnus]],'1.2 Ohjaus-laskentataulu'!A:AT,COLUMN('1.2 Ohjaus-laskentataulu'!L:L),FALSE)/VLOOKUP(Vertailu[[#This Row],[Y-tunnus]],'1.2 Ohjaus-laskentataulu'!A:AT,COLUMN('1.2 Ohjaus-laskentataulu'!AR:AR),FALSE),0)</f>
        <v>0.60784457755773791</v>
      </c>
      <c r="F43" s="46">
        <f>IFERROR(VLOOKUP(Vertailu[[#This Row],[Y-tunnus]],'1.2 Ohjaus-laskentataulu'!A:AT,COLUMN('1.2 Ohjaus-laskentataulu'!AO:AO),FALSE)/VLOOKUP(Vertailu[[#This Row],[Y-tunnus]],'1.2 Ohjaus-laskentataulu'!A:AT,COLUMN('1.2 Ohjaus-laskentataulu'!AR:AR),FALSE),0)</f>
        <v>0.61557672962442622</v>
      </c>
      <c r="G43" s="299">
        <f>IFERROR(VLOOKUP(Vertailu[[#This Row],[Y-tunnus]],'1.2 Ohjaus-laskentataulu'!A:AT,COLUMN('1.2 Ohjaus-laskentataulu'!AP:AP),FALSE)/VLOOKUP(Vertailu[[#This Row],[Y-tunnus]],'1.2 Ohjaus-laskentataulu'!A:AT,COLUMN('1.2 Ohjaus-laskentataulu'!AR:AR),FALSE),0)</f>
        <v>0.2596881932357587</v>
      </c>
      <c r="H43" s="22">
        <f>IFERROR(VLOOKUP(Vertailu[[#This Row],[Y-tunnus]],'1.2 Ohjaus-laskentataulu'!A:AT,COLUMN('1.2 Ohjaus-laskentataulu'!AQ:AQ),FALSE)/VLOOKUP(Vertailu[[#This Row],[Y-tunnus]],'1.2 Ohjaus-laskentataulu'!A:AT,COLUMN('1.2 Ohjaus-laskentataulu'!AR:AR),FALSE),0)</f>
        <v>0.12473507713981509</v>
      </c>
      <c r="I43" s="19">
        <f>IFERROR(VLOOKUP(Vertailu[[#This Row],[Y-tunnus]],'1.2 Ohjaus-laskentataulu'!A:AT,COLUMN('1.2 Ohjaus-laskentataulu'!R:R),FALSE)/VLOOKUP(Vertailu[[#This Row],[Y-tunnus]],'1.2 Ohjaus-laskentataulu'!A:AT,COLUMN('1.2 Ohjaus-laskentataulu'!AR:AR),FALSE),0)</f>
        <v>8.46198990026297E-2</v>
      </c>
      <c r="J43" s="19">
        <f>IFERROR(VLOOKUP(Vertailu[[#This Row],[Y-tunnus]],'1.2 Ohjaus-laskentataulu'!A:AT,COLUMN('1.2 Ohjaus-laskentataulu'!U:U),FALSE)/VLOOKUP(Vertailu[[#This Row],[Y-tunnus]],'1.2 Ohjaus-laskentataulu'!A:AT,COLUMN('1.2 Ohjaus-laskentataulu'!AR:AR),FALSE),0)</f>
        <v>9.328841468459392E-3</v>
      </c>
      <c r="K43" s="46">
        <f>IFERROR(VLOOKUP(Vertailu[[#This Row],[Y-tunnus]],'1.2 Ohjaus-laskentataulu'!A:AT,COLUMN('1.2 Ohjaus-laskentataulu'!X:X),FALSE)/VLOOKUP(Vertailu[[#This Row],[Y-tunnus]],'1.2 Ohjaus-laskentataulu'!A:AT,COLUMN('1.2 Ohjaus-laskentataulu'!AR:AR),FALSE),0)</f>
        <v>3.0786336668725996E-2</v>
      </c>
      <c r="L43" s="21">
        <f>IFERROR(VLOOKUP(Vertailu[[#This Row],[Y-tunnus]],'3.2 Suoritepäätös 2019'!$A:$S,COLUMN('3.2 Suoritepäätös 2019'!Q:Q),FALSE)-VLOOKUP(Vertailu[[#This Row],[Y-tunnus]],'3.2 Suoritepäätös 2019'!$A:$S,COLUMN('3.2 Suoritepäätös 2019'!L:L),FALSE),0)</f>
        <v>1151499</v>
      </c>
      <c r="M43" s="21">
        <f>IFERROR(VLOOKUP(Vertailu[[#This Row],[Y-tunnus]],'1.2 Ohjaus-laskentataulu'!A:AT,COLUMN('1.2 Ohjaus-laskentataulu'!Z:Z),FALSE),0)</f>
        <v>1283301</v>
      </c>
      <c r="N43" s="21">
        <f>IFERROR(Vertailu[[#This Row],[Rahoitus pl. hark. kor. 2020 ilman alv, €]]-Vertailu[[#This Row],[Rahoitus pl. hark. kor. 2019 ilman alv, €]],0)</f>
        <v>131802</v>
      </c>
      <c r="O43" s="46">
        <f>IFERROR(Vertailu[[#This Row],[Muutos, € 1]]/Vertailu[[#This Row],[Rahoitus pl. hark. kor. 2019 ilman alv, €]],0)</f>
        <v>0.11446123704840386</v>
      </c>
      <c r="P43" s="217">
        <f>IFERROR(VLOOKUP(Vertailu[[#This Row],[Y-tunnus]],'3.2 Suoritepäätös 2019'!$A:$S,COLUMN('3.2 Suoritepäätös 2019'!Q:Q),FALSE),0)</f>
        <v>1151499</v>
      </c>
      <c r="Q43" s="243">
        <f>IFERROR(VLOOKUP(Vertailu[[#This Row],[Y-tunnus]],'1.2 Ohjaus-laskentataulu'!A:AT,COLUMN('1.2 Ohjaus-laskentataulu'!AR:AR),FALSE),0)</f>
        <v>1293301</v>
      </c>
      <c r="R43" s="21">
        <f>IFERROR(Vertailu[[#This Row],[Rahoitus ml. hark. kor. 
2020 ilman alv, €]]-Vertailu[[#This Row],[Rahoitus ml. hark. kor. 
2019 ilman alv, €]],0)</f>
        <v>141802</v>
      </c>
      <c r="S43" s="19">
        <f>IFERROR(Vertailu[[#This Row],[Muutos, € 2]]/Vertailu[[#This Row],[Rahoitus ml. hark. kor. 
2019 ilman alv, €]],0)</f>
        <v>0.12314556938390742</v>
      </c>
      <c r="T43" s="243">
        <f>IFERROR(VLOOKUP(Vertailu[[#This Row],[Y-tunnus]],'3.2 Suoritepäätös 2019'!$A:$S,COLUMN('3.2 Suoritepäätös 2019'!Q:Q),FALSE)+VLOOKUP(Vertailu[[#This Row],[Y-tunnus]],'3.2 Suoritepäätös 2019'!$A:$S,COLUMN('3.2 Suoritepäätös 2019'!R:R),FALSE),0)</f>
        <v>1212887</v>
      </c>
      <c r="U43" s="217">
        <f>IFERROR(VLOOKUP(Vertailu[[#This Row],[Y-tunnus]],'1.2 Ohjaus-laskentataulu'!A:AT,COLUMN('1.2 Ohjaus-laskentataulu'!AT:AT),FALSE),0)</f>
        <v>1362744</v>
      </c>
      <c r="V43" s="249">
        <f>IFERROR(Vertailu[[#This Row],[Rahoitus ml. hark. kor. + alv 2020, €]]-Vertailu[[#This Row],[Rahoitus ml. hark. kor. + alv 2019, €]],0)</f>
        <v>149857</v>
      </c>
      <c r="W43" s="46">
        <f>IFERROR(Vertailu[[#This Row],[Muutos, € 3]]/Vertailu[[#This Row],[Rahoitus ml. hark. kor. + alv 2019, €]],0)</f>
        <v>0.12355396669269272</v>
      </c>
    </row>
    <row r="44" spans="1:23" ht="12.75" customHeight="1" x14ac:dyDescent="0.25">
      <c r="A44" s="12" t="s">
        <v>371</v>
      </c>
      <c r="B44" s="297" t="s">
        <v>55</v>
      </c>
      <c r="C44" s="297" t="s">
        <v>271</v>
      </c>
      <c r="D44" s="297" t="s">
        <v>422</v>
      </c>
      <c r="E44" s="22">
        <f>IFERROR(VLOOKUP(Vertailu[[#This Row],[Y-tunnus]],'1.2 Ohjaus-laskentataulu'!A:AT,COLUMN('1.2 Ohjaus-laskentataulu'!L:L),FALSE)/VLOOKUP(Vertailu[[#This Row],[Y-tunnus]],'1.2 Ohjaus-laskentataulu'!A:AT,COLUMN('1.2 Ohjaus-laskentataulu'!AR:AR),FALSE),0)</f>
        <v>0.60783248249956434</v>
      </c>
      <c r="F44" s="46">
        <f>IFERROR(VLOOKUP(Vertailu[[#This Row],[Y-tunnus]],'1.2 Ohjaus-laskentataulu'!A:AT,COLUMN('1.2 Ohjaus-laskentataulu'!AO:AO),FALSE)/VLOOKUP(Vertailu[[#This Row],[Y-tunnus]],'1.2 Ohjaus-laskentataulu'!A:AT,COLUMN('1.2 Ohjaus-laskentataulu'!AR:AR),FALSE),0)</f>
        <v>0.60783248249956434</v>
      </c>
      <c r="G44" s="299">
        <f>IFERROR(VLOOKUP(Vertailu[[#This Row],[Y-tunnus]],'1.2 Ohjaus-laskentataulu'!A:AT,COLUMN('1.2 Ohjaus-laskentataulu'!AP:AP),FALSE)/VLOOKUP(Vertailu[[#This Row],[Y-tunnus]],'1.2 Ohjaus-laskentataulu'!A:AT,COLUMN('1.2 Ohjaus-laskentataulu'!AR:AR),FALSE),0)</f>
        <v>0.25419565361596619</v>
      </c>
      <c r="H44" s="22">
        <f>IFERROR(VLOOKUP(Vertailu[[#This Row],[Y-tunnus]],'1.2 Ohjaus-laskentataulu'!A:AT,COLUMN('1.2 Ohjaus-laskentataulu'!AQ:AQ),FALSE)/VLOOKUP(Vertailu[[#This Row],[Y-tunnus]],'1.2 Ohjaus-laskentataulu'!A:AT,COLUMN('1.2 Ohjaus-laskentataulu'!AR:AR),FALSE),0)</f>
        <v>0.13797186388446947</v>
      </c>
      <c r="I44" s="19">
        <f>IFERROR(VLOOKUP(Vertailu[[#This Row],[Y-tunnus]],'1.2 Ohjaus-laskentataulu'!A:AT,COLUMN('1.2 Ohjaus-laskentataulu'!R:R),FALSE)/VLOOKUP(Vertailu[[#This Row],[Y-tunnus]],'1.2 Ohjaus-laskentataulu'!A:AT,COLUMN('1.2 Ohjaus-laskentataulu'!AR:AR),FALSE),0)</f>
        <v>9.5383775694715831E-2</v>
      </c>
      <c r="J44" s="19">
        <f>IFERROR(VLOOKUP(Vertailu[[#This Row],[Y-tunnus]],'1.2 Ohjaus-laskentataulu'!A:AT,COLUMN('1.2 Ohjaus-laskentataulu'!U:U),FALSE)/VLOOKUP(Vertailu[[#This Row],[Y-tunnus]],'1.2 Ohjaus-laskentataulu'!A:AT,COLUMN('1.2 Ohjaus-laskentataulu'!AR:AR),FALSE),0)</f>
        <v>4.8176679215218843E-3</v>
      </c>
      <c r="K44" s="46">
        <f>IFERROR(VLOOKUP(Vertailu[[#This Row],[Y-tunnus]],'1.2 Ohjaus-laskentataulu'!A:AT,COLUMN('1.2 Ohjaus-laskentataulu'!X:X),FALSE)/VLOOKUP(Vertailu[[#This Row],[Y-tunnus]],'1.2 Ohjaus-laskentataulu'!A:AT,COLUMN('1.2 Ohjaus-laskentataulu'!AR:AR),FALSE),0)</f>
        <v>3.7770420268231748E-2</v>
      </c>
      <c r="L44" s="21">
        <f>IFERROR(VLOOKUP(Vertailu[[#This Row],[Y-tunnus]],'3.2 Suoritepäätös 2019'!$A:$S,COLUMN('3.2 Suoritepäätös 2019'!Q:Q),FALSE)-VLOOKUP(Vertailu[[#This Row],[Y-tunnus]],'3.2 Suoritepäätös 2019'!$A:$S,COLUMN('3.2 Suoritepäätös 2019'!L:L),FALSE),0)</f>
        <v>5079458</v>
      </c>
      <c r="M44" s="21">
        <f>IFERROR(VLOOKUP(Vertailu[[#This Row],[Y-tunnus]],'1.2 Ohjaus-laskentataulu'!A:AT,COLUMN('1.2 Ohjaus-laskentataulu'!Z:Z),FALSE),0)</f>
        <v>5818998</v>
      </c>
      <c r="N44" s="21">
        <f>IFERROR(Vertailu[[#This Row],[Rahoitus pl. hark. kor. 2020 ilman alv, €]]-Vertailu[[#This Row],[Rahoitus pl. hark. kor. 2019 ilman alv, €]],0)</f>
        <v>739540</v>
      </c>
      <c r="O44" s="46">
        <f>IFERROR(Vertailu[[#This Row],[Muutos, € 1]]/Vertailu[[#This Row],[Rahoitus pl. hark. kor. 2019 ilman alv, €]],0)</f>
        <v>0.14559427403474937</v>
      </c>
      <c r="P44" s="217">
        <f>IFERROR(VLOOKUP(Vertailu[[#This Row],[Y-tunnus]],'3.2 Suoritepäätös 2019'!$A:$S,COLUMN('3.2 Suoritepäätös 2019'!Q:Q),FALSE),0)</f>
        <v>5079458</v>
      </c>
      <c r="Q44" s="243">
        <f>IFERROR(VLOOKUP(Vertailu[[#This Row],[Y-tunnus]],'1.2 Ohjaus-laskentataulu'!A:AT,COLUMN('1.2 Ohjaus-laskentataulu'!AR:AR),FALSE),0)</f>
        <v>5818998</v>
      </c>
      <c r="R44" s="21">
        <f>IFERROR(Vertailu[[#This Row],[Rahoitus ml. hark. kor. 
2020 ilman alv, €]]-Vertailu[[#This Row],[Rahoitus ml. hark. kor. 
2019 ilman alv, €]],0)</f>
        <v>739540</v>
      </c>
      <c r="S44" s="19">
        <f>IFERROR(Vertailu[[#This Row],[Muutos, € 2]]/Vertailu[[#This Row],[Rahoitus ml. hark. kor. 
2019 ilman alv, €]],0)</f>
        <v>0.14559427403474937</v>
      </c>
      <c r="T44" s="243">
        <f>IFERROR(VLOOKUP(Vertailu[[#This Row],[Y-tunnus]],'3.2 Suoritepäätös 2019'!$A:$S,COLUMN('3.2 Suoritepäätös 2019'!Q:Q),FALSE)+VLOOKUP(Vertailu[[#This Row],[Y-tunnus]],'3.2 Suoritepäätös 2019'!$A:$S,COLUMN('3.2 Suoritepäätös 2019'!R:R),FALSE),0)</f>
        <v>5079458</v>
      </c>
      <c r="U44" s="217">
        <f>IFERROR(VLOOKUP(Vertailu[[#This Row],[Y-tunnus]],'1.2 Ohjaus-laskentataulu'!A:AT,COLUMN('1.2 Ohjaus-laskentataulu'!AT:AT),FALSE),0)</f>
        <v>5818998</v>
      </c>
      <c r="V44" s="249">
        <f>IFERROR(Vertailu[[#This Row],[Rahoitus ml. hark. kor. + alv 2020, €]]-Vertailu[[#This Row],[Rahoitus ml. hark. kor. + alv 2019, €]],0)</f>
        <v>739540</v>
      </c>
      <c r="W44" s="46">
        <f>IFERROR(Vertailu[[#This Row],[Muutos, € 3]]/Vertailu[[#This Row],[Rahoitus ml. hark. kor. + alv 2019, €]],0)</f>
        <v>0.14559427403474937</v>
      </c>
    </row>
    <row r="45" spans="1:23" ht="12.75" customHeight="1" x14ac:dyDescent="0.25">
      <c r="A45" s="12" t="s">
        <v>370</v>
      </c>
      <c r="B45" s="297" t="s">
        <v>56</v>
      </c>
      <c r="C45" s="297" t="s">
        <v>248</v>
      </c>
      <c r="D45" s="297" t="s">
        <v>424</v>
      </c>
      <c r="E45" s="22">
        <f>IFERROR(VLOOKUP(Vertailu[[#This Row],[Y-tunnus]],'1.2 Ohjaus-laskentataulu'!A:AT,COLUMN('1.2 Ohjaus-laskentataulu'!L:L),FALSE)/VLOOKUP(Vertailu[[#This Row],[Y-tunnus]],'1.2 Ohjaus-laskentataulu'!A:AT,COLUMN('1.2 Ohjaus-laskentataulu'!AR:AR),FALSE),0)</f>
        <v>0.65938720311289245</v>
      </c>
      <c r="F45" s="46">
        <f>IFERROR(VLOOKUP(Vertailu[[#This Row],[Y-tunnus]],'1.2 Ohjaus-laskentataulu'!A:AT,COLUMN('1.2 Ohjaus-laskentataulu'!AO:AO),FALSE)/VLOOKUP(Vertailu[[#This Row],[Y-tunnus]],'1.2 Ohjaus-laskentataulu'!A:AT,COLUMN('1.2 Ohjaus-laskentataulu'!AR:AR),FALSE),0)</f>
        <v>0.65938720311289245</v>
      </c>
      <c r="G45" s="299">
        <f>IFERROR(VLOOKUP(Vertailu[[#This Row],[Y-tunnus]],'1.2 Ohjaus-laskentataulu'!A:AT,COLUMN('1.2 Ohjaus-laskentataulu'!AP:AP),FALSE)/VLOOKUP(Vertailu[[#This Row],[Y-tunnus]],'1.2 Ohjaus-laskentataulu'!A:AT,COLUMN('1.2 Ohjaus-laskentataulu'!AR:AR),FALSE),0)</f>
        <v>0.21562439872921005</v>
      </c>
      <c r="H45" s="22">
        <f>IFERROR(VLOOKUP(Vertailu[[#This Row],[Y-tunnus]],'1.2 Ohjaus-laskentataulu'!A:AT,COLUMN('1.2 Ohjaus-laskentataulu'!AQ:AQ),FALSE)/VLOOKUP(Vertailu[[#This Row],[Y-tunnus]],'1.2 Ohjaus-laskentataulu'!A:AT,COLUMN('1.2 Ohjaus-laskentataulu'!AR:AR),FALSE),0)</f>
        <v>0.12498839815789747</v>
      </c>
      <c r="I45" s="19">
        <f>IFERROR(VLOOKUP(Vertailu[[#This Row],[Y-tunnus]],'1.2 Ohjaus-laskentataulu'!A:AT,COLUMN('1.2 Ohjaus-laskentataulu'!R:R),FALSE)/VLOOKUP(Vertailu[[#This Row],[Y-tunnus]],'1.2 Ohjaus-laskentataulu'!A:AT,COLUMN('1.2 Ohjaus-laskentataulu'!AR:AR),FALSE),0)</f>
        <v>9.0995082341095712E-2</v>
      </c>
      <c r="J45" s="19">
        <f>IFERROR(VLOOKUP(Vertailu[[#This Row],[Y-tunnus]],'1.2 Ohjaus-laskentataulu'!A:AT,COLUMN('1.2 Ohjaus-laskentataulu'!U:U),FALSE)/VLOOKUP(Vertailu[[#This Row],[Y-tunnus]],'1.2 Ohjaus-laskentataulu'!A:AT,COLUMN('1.2 Ohjaus-laskentataulu'!AR:AR),FALSE),0)</f>
        <v>8.0808982089075262E-3</v>
      </c>
      <c r="K45" s="46">
        <f>IFERROR(VLOOKUP(Vertailu[[#This Row],[Y-tunnus]],'1.2 Ohjaus-laskentataulu'!A:AT,COLUMN('1.2 Ohjaus-laskentataulu'!X:X),FALSE)/VLOOKUP(Vertailu[[#This Row],[Y-tunnus]],'1.2 Ohjaus-laskentataulu'!A:AT,COLUMN('1.2 Ohjaus-laskentataulu'!AR:AR),FALSE),0)</f>
        <v>2.5912417607894232E-2</v>
      </c>
      <c r="L45" s="21">
        <f>IFERROR(VLOOKUP(Vertailu[[#This Row],[Y-tunnus]],'3.2 Suoritepäätös 2019'!$A:$S,COLUMN('3.2 Suoritepäätös 2019'!Q:Q),FALSE)-VLOOKUP(Vertailu[[#This Row],[Y-tunnus]],'3.2 Suoritepäätös 2019'!$A:$S,COLUMN('3.2 Suoritepäätös 2019'!L:L),FALSE),0)</f>
        <v>25331672</v>
      </c>
      <c r="M45" s="21">
        <f>IFERROR(VLOOKUP(Vertailu[[#This Row],[Y-tunnus]],'1.2 Ohjaus-laskentataulu'!A:AT,COLUMN('1.2 Ohjaus-laskentataulu'!Z:Z),FALSE),0)</f>
        <v>27592601</v>
      </c>
      <c r="N45" s="21">
        <f>IFERROR(Vertailu[[#This Row],[Rahoitus pl. hark. kor. 2020 ilman alv, €]]-Vertailu[[#This Row],[Rahoitus pl. hark. kor. 2019 ilman alv, €]],0)</f>
        <v>2260929</v>
      </c>
      <c r="O45" s="46">
        <f>IFERROR(Vertailu[[#This Row],[Muutos, € 1]]/Vertailu[[#This Row],[Rahoitus pl. hark. kor. 2019 ilman alv, €]],0)</f>
        <v>8.9253050489521576E-2</v>
      </c>
      <c r="P45" s="217">
        <f>IFERROR(VLOOKUP(Vertailu[[#This Row],[Y-tunnus]],'3.2 Suoritepäätös 2019'!$A:$S,COLUMN('3.2 Suoritepäätös 2019'!Q:Q),FALSE),0)</f>
        <v>25331672</v>
      </c>
      <c r="Q45" s="243">
        <f>IFERROR(VLOOKUP(Vertailu[[#This Row],[Y-tunnus]],'1.2 Ohjaus-laskentataulu'!A:AT,COLUMN('1.2 Ohjaus-laskentataulu'!AR:AR),FALSE),0)</f>
        <v>27592601</v>
      </c>
      <c r="R45" s="21">
        <f>IFERROR(Vertailu[[#This Row],[Rahoitus ml. hark. kor. 
2020 ilman alv, €]]-Vertailu[[#This Row],[Rahoitus ml. hark. kor. 
2019 ilman alv, €]],0)</f>
        <v>2260929</v>
      </c>
      <c r="S45" s="19">
        <f>IFERROR(Vertailu[[#This Row],[Muutos, € 2]]/Vertailu[[#This Row],[Rahoitus ml. hark. kor. 
2019 ilman alv, €]],0)</f>
        <v>8.9253050489521576E-2</v>
      </c>
      <c r="T45" s="243">
        <f>IFERROR(VLOOKUP(Vertailu[[#This Row],[Y-tunnus]],'3.2 Suoritepäätös 2019'!$A:$S,COLUMN('3.2 Suoritepäätös 2019'!Q:Q),FALSE)+VLOOKUP(Vertailu[[#This Row],[Y-tunnus]],'3.2 Suoritepäätös 2019'!$A:$S,COLUMN('3.2 Suoritepäätös 2019'!R:R),FALSE),0)</f>
        <v>25331672</v>
      </c>
      <c r="U45" s="217">
        <f>IFERROR(VLOOKUP(Vertailu[[#This Row],[Y-tunnus]],'1.2 Ohjaus-laskentataulu'!A:AT,COLUMN('1.2 Ohjaus-laskentataulu'!AT:AT),FALSE),0)</f>
        <v>27592601</v>
      </c>
      <c r="V45" s="249">
        <f>IFERROR(Vertailu[[#This Row],[Rahoitus ml. hark. kor. + alv 2020, €]]-Vertailu[[#This Row],[Rahoitus ml. hark. kor. + alv 2019, €]],0)</f>
        <v>2260929</v>
      </c>
      <c r="W45" s="46">
        <f>IFERROR(Vertailu[[#This Row],[Muutos, € 3]]/Vertailu[[#This Row],[Rahoitus ml. hark. kor. + alv 2019, €]],0)</f>
        <v>8.9253050489521576E-2</v>
      </c>
    </row>
    <row r="46" spans="1:23" ht="12.75" customHeight="1" x14ac:dyDescent="0.25">
      <c r="A46" s="12" t="s">
        <v>369</v>
      </c>
      <c r="B46" s="297" t="s">
        <v>210</v>
      </c>
      <c r="C46" s="297" t="s">
        <v>246</v>
      </c>
      <c r="D46" s="297" t="s">
        <v>423</v>
      </c>
      <c r="E46" s="22">
        <f>IFERROR(VLOOKUP(Vertailu[[#This Row],[Y-tunnus]],'1.2 Ohjaus-laskentataulu'!A:AT,COLUMN('1.2 Ohjaus-laskentataulu'!L:L),FALSE)/VLOOKUP(Vertailu[[#This Row],[Y-tunnus]],'1.2 Ohjaus-laskentataulu'!A:AT,COLUMN('1.2 Ohjaus-laskentataulu'!AR:AR),FALSE),0)</f>
        <v>0.67228243530463772</v>
      </c>
      <c r="F46" s="46">
        <f>IFERROR(VLOOKUP(Vertailu[[#This Row],[Y-tunnus]],'1.2 Ohjaus-laskentataulu'!A:AT,COLUMN('1.2 Ohjaus-laskentataulu'!AO:AO),FALSE)/VLOOKUP(Vertailu[[#This Row],[Y-tunnus]],'1.2 Ohjaus-laskentataulu'!A:AT,COLUMN('1.2 Ohjaus-laskentataulu'!AR:AR),FALSE),0)</f>
        <v>0.67228243530463772</v>
      </c>
      <c r="G46" s="299">
        <f>IFERROR(VLOOKUP(Vertailu[[#This Row],[Y-tunnus]],'1.2 Ohjaus-laskentataulu'!A:AT,COLUMN('1.2 Ohjaus-laskentataulu'!AP:AP),FALSE)/VLOOKUP(Vertailu[[#This Row],[Y-tunnus]],'1.2 Ohjaus-laskentataulu'!A:AT,COLUMN('1.2 Ohjaus-laskentataulu'!AR:AR),FALSE),0)</f>
        <v>0.18239508769091817</v>
      </c>
      <c r="H46" s="22">
        <f>IFERROR(VLOOKUP(Vertailu[[#This Row],[Y-tunnus]],'1.2 Ohjaus-laskentataulu'!A:AT,COLUMN('1.2 Ohjaus-laskentataulu'!AQ:AQ),FALSE)/VLOOKUP(Vertailu[[#This Row],[Y-tunnus]],'1.2 Ohjaus-laskentataulu'!A:AT,COLUMN('1.2 Ohjaus-laskentataulu'!AR:AR),FALSE),0)</f>
        <v>0.14532247700444409</v>
      </c>
      <c r="I46" s="19">
        <f>IFERROR(VLOOKUP(Vertailu[[#This Row],[Y-tunnus]],'1.2 Ohjaus-laskentataulu'!A:AT,COLUMN('1.2 Ohjaus-laskentataulu'!R:R),FALSE)/VLOOKUP(Vertailu[[#This Row],[Y-tunnus]],'1.2 Ohjaus-laskentataulu'!A:AT,COLUMN('1.2 Ohjaus-laskentataulu'!AR:AR),FALSE),0)</f>
        <v>8.2675033589014263E-2</v>
      </c>
      <c r="J46" s="19">
        <f>IFERROR(VLOOKUP(Vertailu[[#This Row],[Y-tunnus]],'1.2 Ohjaus-laskentataulu'!A:AT,COLUMN('1.2 Ohjaus-laskentataulu'!U:U),FALSE)/VLOOKUP(Vertailu[[#This Row],[Y-tunnus]],'1.2 Ohjaus-laskentataulu'!A:AT,COLUMN('1.2 Ohjaus-laskentataulu'!AR:AR),FALSE),0)</f>
        <v>1.4512925591908081E-2</v>
      </c>
      <c r="K46" s="46">
        <f>IFERROR(VLOOKUP(Vertailu[[#This Row],[Y-tunnus]],'1.2 Ohjaus-laskentataulu'!A:AT,COLUMN('1.2 Ohjaus-laskentataulu'!X:X),FALSE)/VLOOKUP(Vertailu[[#This Row],[Y-tunnus]],'1.2 Ohjaus-laskentataulu'!A:AT,COLUMN('1.2 Ohjaus-laskentataulu'!AR:AR),FALSE),0)</f>
        <v>4.8134517823521746E-2</v>
      </c>
      <c r="L46" s="21">
        <f>IFERROR(VLOOKUP(Vertailu[[#This Row],[Y-tunnus]],'3.2 Suoritepäätös 2019'!$A:$S,COLUMN('3.2 Suoritepäätös 2019'!Q:Q),FALSE)-VLOOKUP(Vertailu[[#This Row],[Y-tunnus]],'3.2 Suoritepäätös 2019'!$A:$S,COLUMN('3.2 Suoritepäätös 2019'!L:L),FALSE),0)</f>
        <v>900575</v>
      </c>
      <c r="M46" s="21">
        <f>IFERROR(VLOOKUP(Vertailu[[#This Row],[Y-tunnus]],'1.2 Ohjaus-laskentataulu'!A:AT,COLUMN('1.2 Ohjaus-laskentataulu'!Z:Z),FALSE),0)</f>
        <v>890172</v>
      </c>
      <c r="N46" s="21">
        <f>IFERROR(Vertailu[[#This Row],[Rahoitus pl. hark. kor. 2020 ilman alv, €]]-Vertailu[[#This Row],[Rahoitus pl. hark. kor. 2019 ilman alv, €]],0)</f>
        <v>-10403</v>
      </c>
      <c r="O46" s="46">
        <f>IFERROR(Vertailu[[#This Row],[Muutos, € 1]]/Vertailu[[#This Row],[Rahoitus pl. hark. kor. 2019 ilman alv, €]],0)</f>
        <v>-1.1551508758293312E-2</v>
      </c>
      <c r="P46" s="217">
        <f>IFERROR(VLOOKUP(Vertailu[[#This Row],[Y-tunnus]],'3.2 Suoritepäätös 2019'!$A:$S,COLUMN('3.2 Suoritepäätös 2019'!Q:Q),FALSE),0)</f>
        <v>900575</v>
      </c>
      <c r="Q46" s="243">
        <f>IFERROR(VLOOKUP(Vertailu[[#This Row],[Y-tunnus]],'1.2 Ohjaus-laskentataulu'!A:AT,COLUMN('1.2 Ohjaus-laskentataulu'!AR:AR),FALSE),0)</f>
        <v>890172</v>
      </c>
      <c r="R46" s="21">
        <f>IFERROR(Vertailu[[#This Row],[Rahoitus ml. hark. kor. 
2020 ilman alv, €]]-Vertailu[[#This Row],[Rahoitus ml. hark. kor. 
2019 ilman alv, €]],0)</f>
        <v>-10403</v>
      </c>
      <c r="S46" s="19">
        <f>IFERROR(Vertailu[[#This Row],[Muutos, € 2]]/Vertailu[[#This Row],[Rahoitus ml. hark. kor. 
2019 ilman alv, €]],0)</f>
        <v>-1.1551508758293312E-2</v>
      </c>
      <c r="T46" s="243">
        <f>IFERROR(VLOOKUP(Vertailu[[#This Row],[Y-tunnus]],'3.2 Suoritepäätös 2019'!$A:$S,COLUMN('3.2 Suoritepäätös 2019'!Q:Q),FALSE)+VLOOKUP(Vertailu[[#This Row],[Y-tunnus]],'3.2 Suoritepäätös 2019'!$A:$S,COLUMN('3.2 Suoritepäätös 2019'!R:R),FALSE),0)</f>
        <v>948560</v>
      </c>
      <c r="U46" s="217">
        <f>IFERROR(VLOOKUP(Vertailu[[#This Row],[Y-tunnus]],'1.2 Ohjaus-laskentataulu'!A:AT,COLUMN('1.2 Ohjaus-laskentataulu'!AT:AT),FALSE),0)</f>
        <v>917347</v>
      </c>
      <c r="V46" s="249">
        <f>IFERROR(Vertailu[[#This Row],[Rahoitus ml. hark. kor. + alv 2020, €]]-Vertailu[[#This Row],[Rahoitus ml. hark. kor. + alv 2019, €]],0)</f>
        <v>-31213</v>
      </c>
      <c r="W46" s="46">
        <f>IFERROR(Vertailu[[#This Row],[Muutos, € 3]]/Vertailu[[#This Row],[Rahoitus ml. hark. kor. + alv 2019, €]],0)</f>
        <v>-3.2905667538163111E-2</v>
      </c>
    </row>
    <row r="47" spans="1:23" ht="12.75" customHeight="1" x14ac:dyDescent="0.25">
      <c r="A47" s="12" t="s">
        <v>368</v>
      </c>
      <c r="B47" s="297" t="s">
        <v>58</v>
      </c>
      <c r="C47" s="297" t="s">
        <v>238</v>
      </c>
      <c r="D47" s="297" t="s">
        <v>423</v>
      </c>
      <c r="E47" s="22">
        <f>IFERROR(VLOOKUP(Vertailu[[#This Row],[Y-tunnus]],'1.2 Ohjaus-laskentataulu'!A:AT,COLUMN('1.2 Ohjaus-laskentataulu'!L:L),FALSE)/VLOOKUP(Vertailu[[#This Row],[Y-tunnus]],'1.2 Ohjaus-laskentataulu'!A:AT,COLUMN('1.2 Ohjaus-laskentataulu'!AR:AR),FALSE),0)</f>
        <v>0.65665955469619242</v>
      </c>
      <c r="F47" s="46">
        <f>IFERROR(VLOOKUP(Vertailu[[#This Row],[Y-tunnus]],'1.2 Ohjaus-laskentataulu'!A:AT,COLUMN('1.2 Ohjaus-laskentataulu'!AO:AO),FALSE)/VLOOKUP(Vertailu[[#This Row],[Y-tunnus]],'1.2 Ohjaus-laskentataulu'!A:AT,COLUMN('1.2 Ohjaus-laskentataulu'!AR:AR),FALSE),0)</f>
        <v>0.6670774801955236</v>
      </c>
      <c r="G47" s="299">
        <f>IFERROR(VLOOKUP(Vertailu[[#This Row],[Y-tunnus]],'1.2 Ohjaus-laskentataulu'!A:AT,COLUMN('1.2 Ohjaus-laskentataulu'!AP:AP),FALSE)/VLOOKUP(Vertailu[[#This Row],[Y-tunnus]],'1.2 Ohjaus-laskentataulu'!A:AT,COLUMN('1.2 Ohjaus-laskentataulu'!AR:AR),FALSE),0)</f>
        <v>0.22812444003650442</v>
      </c>
      <c r="H47" s="22">
        <f>IFERROR(VLOOKUP(Vertailu[[#This Row],[Y-tunnus]],'1.2 Ohjaus-laskentataulu'!A:AT,COLUMN('1.2 Ohjaus-laskentataulu'!AQ:AQ),FALSE)/VLOOKUP(Vertailu[[#This Row],[Y-tunnus]],'1.2 Ohjaus-laskentataulu'!A:AT,COLUMN('1.2 Ohjaus-laskentataulu'!AR:AR),FALSE),0)</f>
        <v>0.10479807976797197</v>
      </c>
      <c r="I47" s="19">
        <f>IFERROR(VLOOKUP(Vertailu[[#This Row],[Y-tunnus]],'1.2 Ohjaus-laskentataulu'!A:AT,COLUMN('1.2 Ohjaus-laskentataulu'!R:R),FALSE)/VLOOKUP(Vertailu[[#This Row],[Y-tunnus]],'1.2 Ohjaus-laskentataulu'!A:AT,COLUMN('1.2 Ohjaus-laskentataulu'!AR:AR),FALSE),0)</f>
        <v>8.4765450825308064E-2</v>
      </c>
      <c r="J47" s="19">
        <f>IFERROR(VLOOKUP(Vertailu[[#This Row],[Y-tunnus]],'1.2 Ohjaus-laskentataulu'!A:AT,COLUMN('1.2 Ohjaus-laskentataulu'!U:U),FALSE)/VLOOKUP(Vertailu[[#This Row],[Y-tunnus]],'1.2 Ohjaus-laskentataulu'!A:AT,COLUMN('1.2 Ohjaus-laskentataulu'!AR:AR),FALSE),0)</f>
        <v>9.0115055569214616E-3</v>
      </c>
      <c r="K47" s="46">
        <f>IFERROR(VLOOKUP(Vertailu[[#This Row],[Y-tunnus]],'1.2 Ohjaus-laskentataulu'!A:AT,COLUMN('1.2 Ohjaus-laskentataulu'!X:X),FALSE)/VLOOKUP(Vertailu[[#This Row],[Y-tunnus]],'1.2 Ohjaus-laskentataulu'!A:AT,COLUMN('1.2 Ohjaus-laskentataulu'!AR:AR),FALSE),0)</f>
        <v>1.1021123385742444E-2</v>
      </c>
      <c r="L47" s="21">
        <f>IFERROR(VLOOKUP(Vertailu[[#This Row],[Y-tunnus]],'3.2 Suoritepäätös 2019'!$A:$S,COLUMN('3.2 Suoritepäätös 2019'!Q:Q),FALSE)-VLOOKUP(Vertailu[[#This Row],[Y-tunnus]],'3.2 Suoritepäätös 2019'!$A:$S,COLUMN('3.2 Suoritepäätös 2019'!L:L),FALSE),0)</f>
        <v>923871</v>
      </c>
      <c r="M47" s="21">
        <f>IFERROR(VLOOKUP(Vertailu[[#This Row],[Y-tunnus]],'1.2 Ohjaus-laskentataulu'!A:AT,COLUMN('1.2 Ohjaus-laskentataulu'!Z:Z),FALSE),0)</f>
        <v>949884</v>
      </c>
      <c r="N47" s="21">
        <f>IFERROR(Vertailu[[#This Row],[Rahoitus pl. hark. kor. 2020 ilman alv, €]]-Vertailu[[#This Row],[Rahoitus pl. hark. kor. 2019 ilman alv, €]],0)</f>
        <v>26013</v>
      </c>
      <c r="O47" s="46">
        <f>IFERROR(Vertailu[[#This Row],[Muutos, € 1]]/Vertailu[[#This Row],[Rahoitus pl. hark. kor. 2019 ilman alv, €]],0)</f>
        <v>2.8156528346489931E-2</v>
      </c>
      <c r="P47" s="217">
        <f>IFERROR(VLOOKUP(Vertailu[[#This Row],[Y-tunnus]],'3.2 Suoritepäätös 2019'!$A:$S,COLUMN('3.2 Suoritepäätös 2019'!Q:Q),FALSE),0)</f>
        <v>923871</v>
      </c>
      <c r="Q47" s="243">
        <f>IFERROR(VLOOKUP(Vertailu[[#This Row],[Y-tunnus]],'1.2 Ohjaus-laskentataulu'!A:AT,COLUMN('1.2 Ohjaus-laskentataulu'!AR:AR),FALSE),0)</f>
        <v>959884</v>
      </c>
      <c r="R47" s="21">
        <f>IFERROR(Vertailu[[#This Row],[Rahoitus ml. hark. kor. 
2020 ilman alv, €]]-Vertailu[[#This Row],[Rahoitus ml. hark. kor. 
2019 ilman alv, €]],0)</f>
        <v>36013</v>
      </c>
      <c r="S47" s="19">
        <f>IFERROR(Vertailu[[#This Row],[Muutos, € 2]]/Vertailu[[#This Row],[Rahoitus ml. hark. kor. 
2019 ilman alv, €]],0)</f>
        <v>3.8980550314924922E-2</v>
      </c>
      <c r="T47" s="243">
        <f>IFERROR(VLOOKUP(Vertailu[[#This Row],[Y-tunnus]],'3.2 Suoritepäätös 2019'!$A:$S,COLUMN('3.2 Suoritepäätös 2019'!Q:Q),FALSE)+VLOOKUP(Vertailu[[#This Row],[Y-tunnus]],'3.2 Suoritepäätös 2019'!$A:$S,COLUMN('3.2 Suoritepäätös 2019'!R:R),FALSE),0)</f>
        <v>972451</v>
      </c>
      <c r="U47" s="217">
        <f>IFERROR(VLOOKUP(Vertailu[[#This Row],[Y-tunnus]],'1.2 Ohjaus-laskentataulu'!A:AT,COLUMN('1.2 Ohjaus-laskentataulu'!AT:AT),FALSE),0)</f>
        <v>1002109</v>
      </c>
      <c r="V47" s="249">
        <f>IFERROR(Vertailu[[#This Row],[Rahoitus ml. hark. kor. + alv 2020, €]]-Vertailu[[#This Row],[Rahoitus ml. hark. kor. + alv 2019, €]],0)</f>
        <v>29658</v>
      </c>
      <c r="W47" s="46">
        <f>IFERROR(Vertailu[[#This Row],[Muutos, € 3]]/Vertailu[[#This Row],[Rahoitus ml. hark. kor. + alv 2019, €]],0)</f>
        <v>3.0498194767654103E-2</v>
      </c>
    </row>
    <row r="48" spans="1:23" ht="12.75" customHeight="1" x14ac:dyDescent="0.25">
      <c r="A48" s="12" t="s">
        <v>367</v>
      </c>
      <c r="B48" s="297" t="s">
        <v>59</v>
      </c>
      <c r="C48" s="297" t="s">
        <v>238</v>
      </c>
      <c r="D48" s="297" t="s">
        <v>423</v>
      </c>
      <c r="E48" s="22">
        <f>IFERROR(VLOOKUP(Vertailu[[#This Row],[Y-tunnus]],'1.2 Ohjaus-laskentataulu'!A:AT,COLUMN('1.2 Ohjaus-laskentataulu'!L:L),FALSE)/VLOOKUP(Vertailu[[#This Row],[Y-tunnus]],'1.2 Ohjaus-laskentataulu'!A:AT,COLUMN('1.2 Ohjaus-laskentataulu'!AR:AR),FALSE),0)</f>
        <v>0.78975224732428495</v>
      </c>
      <c r="F48" s="46">
        <f>IFERROR(VLOOKUP(Vertailu[[#This Row],[Y-tunnus]],'1.2 Ohjaus-laskentataulu'!A:AT,COLUMN('1.2 Ohjaus-laskentataulu'!AO:AO),FALSE)/VLOOKUP(Vertailu[[#This Row],[Y-tunnus]],'1.2 Ohjaus-laskentataulu'!A:AT,COLUMN('1.2 Ohjaus-laskentataulu'!AR:AR),FALSE),0)</f>
        <v>0.78975224732428495</v>
      </c>
      <c r="G48" s="299">
        <f>IFERROR(VLOOKUP(Vertailu[[#This Row],[Y-tunnus]],'1.2 Ohjaus-laskentataulu'!A:AT,COLUMN('1.2 Ohjaus-laskentataulu'!AP:AP),FALSE)/VLOOKUP(Vertailu[[#This Row],[Y-tunnus]],'1.2 Ohjaus-laskentataulu'!A:AT,COLUMN('1.2 Ohjaus-laskentataulu'!AR:AR),FALSE),0)</f>
        <v>0.11402104642512489</v>
      </c>
      <c r="H48" s="22">
        <f>IFERROR(VLOOKUP(Vertailu[[#This Row],[Y-tunnus]],'1.2 Ohjaus-laskentataulu'!A:AT,COLUMN('1.2 Ohjaus-laskentataulu'!AQ:AQ),FALSE)/VLOOKUP(Vertailu[[#This Row],[Y-tunnus]],'1.2 Ohjaus-laskentataulu'!A:AT,COLUMN('1.2 Ohjaus-laskentataulu'!AR:AR),FALSE),0)</f>
        <v>9.6226706250590183E-2</v>
      </c>
      <c r="I48" s="19">
        <f>IFERROR(VLOOKUP(Vertailu[[#This Row],[Y-tunnus]],'1.2 Ohjaus-laskentataulu'!A:AT,COLUMN('1.2 Ohjaus-laskentataulu'!R:R),FALSE)/VLOOKUP(Vertailu[[#This Row],[Y-tunnus]],'1.2 Ohjaus-laskentataulu'!A:AT,COLUMN('1.2 Ohjaus-laskentataulu'!AR:AR),FALSE),0)</f>
        <v>5.9087988244588115E-2</v>
      </c>
      <c r="J48" s="19">
        <f>IFERROR(VLOOKUP(Vertailu[[#This Row],[Y-tunnus]],'1.2 Ohjaus-laskentataulu'!A:AT,COLUMN('1.2 Ohjaus-laskentataulu'!U:U),FALSE)/VLOOKUP(Vertailu[[#This Row],[Y-tunnus]],'1.2 Ohjaus-laskentataulu'!A:AT,COLUMN('1.2 Ohjaus-laskentataulu'!AR:AR),FALSE),0)</f>
        <v>7.4231372485795161E-3</v>
      </c>
      <c r="K48" s="46">
        <f>IFERROR(VLOOKUP(Vertailu[[#This Row],[Y-tunnus]],'1.2 Ohjaus-laskentataulu'!A:AT,COLUMN('1.2 Ohjaus-laskentataulu'!X:X),FALSE)/VLOOKUP(Vertailu[[#This Row],[Y-tunnus]],'1.2 Ohjaus-laskentataulu'!A:AT,COLUMN('1.2 Ohjaus-laskentataulu'!AR:AR),FALSE),0)</f>
        <v>2.9715580757422561E-2</v>
      </c>
      <c r="L48" s="21">
        <f>IFERROR(VLOOKUP(Vertailu[[#This Row],[Y-tunnus]],'3.2 Suoritepäätös 2019'!$A:$S,COLUMN('3.2 Suoritepäätös 2019'!Q:Q),FALSE)-VLOOKUP(Vertailu[[#This Row],[Y-tunnus]],'3.2 Suoritepäätös 2019'!$A:$S,COLUMN('3.2 Suoritepäätös 2019'!L:L),FALSE),0)</f>
        <v>507077</v>
      </c>
      <c r="M48" s="21">
        <f>IFERROR(VLOOKUP(Vertailu[[#This Row],[Y-tunnus]],'1.2 Ohjaus-laskentataulu'!A:AT,COLUMN('1.2 Ohjaus-laskentataulu'!Z:Z),FALSE),0)</f>
        <v>434183</v>
      </c>
      <c r="N48" s="21">
        <f>IFERROR(Vertailu[[#This Row],[Rahoitus pl. hark. kor. 2020 ilman alv, €]]-Vertailu[[#This Row],[Rahoitus pl. hark. kor. 2019 ilman alv, €]],0)</f>
        <v>-72894</v>
      </c>
      <c r="O48" s="46">
        <f>IFERROR(Vertailu[[#This Row],[Muutos, € 1]]/Vertailu[[#This Row],[Rahoitus pl. hark. kor. 2019 ilman alv, €]],0)</f>
        <v>-0.14375331557140236</v>
      </c>
      <c r="P48" s="217">
        <f>IFERROR(VLOOKUP(Vertailu[[#This Row],[Y-tunnus]],'3.2 Suoritepäätös 2019'!$A:$S,COLUMN('3.2 Suoritepäätös 2019'!Q:Q),FALSE),0)</f>
        <v>507077</v>
      </c>
      <c r="Q48" s="243">
        <f>IFERROR(VLOOKUP(Vertailu[[#This Row],[Y-tunnus]],'1.2 Ohjaus-laskentataulu'!A:AT,COLUMN('1.2 Ohjaus-laskentataulu'!AR:AR),FALSE),0)</f>
        <v>434183</v>
      </c>
      <c r="R48" s="21">
        <f>IFERROR(Vertailu[[#This Row],[Rahoitus ml. hark. kor. 
2020 ilman alv, €]]-Vertailu[[#This Row],[Rahoitus ml. hark. kor. 
2019 ilman alv, €]],0)</f>
        <v>-72894</v>
      </c>
      <c r="S48" s="19">
        <f>IFERROR(Vertailu[[#This Row],[Muutos, € 2]]/Vertailu[[#This Row],[Rahoitus ml. hark. kor. 
2019 ilman alv, €]],0)</f>
        <v>-0.14375331557140236</v>
      </c>
      <c r="T48" s="243">
        <f>IFERROR(VLOOKUP(Vertailu[[#This Row],[Y-tunnus]],'3.2 Suoritepäätös 2019'!$A:$S,COLUMN('3.2 Suoritepäätös 2019'!Q:Q),FALSE)+VLOOKUP(Vertailu[[#This Row],[Y-tunnus]],'3.2 Suoritepäätös 2019'!$A:$S,COLUMN('3.2 Suoritepäätös 2019'!R:R),FALSE),0)</f>
        <v>535164</v>
      </c>
      <c r="U48" s="217">
        <f>IFERROR(VLOOKUP(Vertailu[[#This Row],[Y-tunnus]],'1.2 Ohjaus-laskentataulu'!A:AT,COLUMN('1.2 Ohjaus-laskentataulu'!AT:AT),FALSE),0)</f>
        <v>434183</v>
      </c>
      <c r="V48" s="249">
        <f>IFERROR(Vertailu[[#This Row],[Rahoitus ml. hark. kor. + alv 2020, €]]-Vertailu[[#This Row],[Rahoitus ml. hark. kor. + alv 2019, €]],0)</f>
        <v>-100981</v>
      </c>
      <c r="W48" s="46">
        <f>IFERROR(Vertailu[[#This Row],[Muutos, € 3]]/Vertailu[[#This Row],[Rahoitus ml. hark. kor. + alv 2019, €]],0)</f>
        <v>-0.18869169077142708</v>
      </c>
    </row>
    <row r="49" spans="1:23" ht="12.75" customHeight="1" x14ac:dyDescent="0.25">
      <c r="A49" s="12" t="s">
        <v>366</v>
      </c>
      <c r="B49" s="297" t="s">
        <v>60</v>
      </c>
      <c r="C49" s="297" t="s">
        <v>240</v>
      </c>
      <c r="D49" s="297" t="s">
        <v>423</v>
      </c>
      <c r="E49" s="22">
        <f>IFERROR(VLOOKUP(Vertailu[[#This Row],[Y-tunnus]],'1.2 Ohjaus-laskentataulu'!A:AT,COLUMN('1.2 Ohjaus-laskentataulu'!L:L),FALSE)/VLOOKUP(Vertailu[[#This Row],[Y-tunnus]],'1.2 Ohjaus-laskentataulu'!A:AT,COLUMN('1.2 Ohjaus-laskentataulu'!AR:AR),FALSE),0)</f>
        <v>0.61345843377490772</v>
      </c>
      <c r="F49" s="46">
        <f>IFERROR(VLOOKUP(Vertailu[[#This Row],[Y-tunnus]],'1.2 Ohjaus-laskentataulu'!A:AT,COLUMN('1.2 Ohjaus-laskentataulu'!AO:AO),FALSE)/VLOOKUP(Vertailu[[#This Row],[Y-tunnus]],'1.2 Ohjaus-laskentataulu'!A:AT,COLUMN('1.2 Ohjaus-laskentataulu'!AR:AR),FALSE),0)</f>
        <v>0.61345843377490772</v>
      </c>
      <c r="G49" s="299">
        <f>IFERROR(VLOOKUP(Vertailu[[#This Row],[Y-tunnus]],'1.2 Ohjaus-laskentataulu'!A:AT,COLUMN('1.2 Ohjaus-laskentataulu'!AP:AP),FALSE)/VLOOKUP(Vertailu[[#This Row],[Y-tunnus]],'1.2 Ohjaus-laskentataulu'!A:AT,COLUMN('1.2 Ohjaus-laskentataulu'!AR:AR),FALSE),0)</f>
        <v>0.15625760222925006</v>
      </c>
      <c r="H49" s="22">
        <f>IFERROR(VLOOKUP(Vertailu[[#This Row],[Y-tunnus]],'1.2 Ohjaus-laskentataulu'!A:AT,COLUMN('1.2 Ohjaus-laskentataulu'!AQ:AQ),FALSE)/VLOOKUP(Vertailu[[#This Row],[Y-tunnus]],'1.2 Ohjaus-laskentataulu'!A:AT,COLUMN('1.2 Ohjaus-laskentataulu'!AR:AR),FALSE),0)</f>
        <v>0.23028396399584228</v>
      </c>
      <c r="I49" s="19">
        <f>IFERROR(VLOOKUP(Vertailu[[#This Row],[Y-tunnus]],'1.2 Ohjaus-laskentataulu'!A:AT,COLUMN('1.2 Ohjaus-laskentataulu'!R:R),FALSE)/VLOOKUP(Vertailu[[#This Row],[Y-tunnus]],'1.2 Ohjaus-laskentataulu'!A:AT,COLUMN('1.2 Ohjaus-laskentataulu'!AR:AR),FALSE),0)</f>
        <v>0.12928212840303427</v>
      </c>
      <c r="J49" s="19">
        <f>IFERROR(VLOOKUP(Vertailu[[#This Row],[Y-tunnus]],'1.2 Ohjaus-laskentataulu'!A:AT,COLUMN('1.2 Ohjaus-laskentataulu'!U:U),FALSE)/VLOOKUP(Vertailu[[#This Row],[Y-tunnus]],'1.2 Ohjaus-laskentataulu'!A:AT,COLUMN('1.2 Ohjaus-laskentataulu'!AR:AR),FALSE),0)</f>
        <v>1.3153238826105225E-2</v>
      </c>
      <c r="K49" s="46">
        <f>IFERROR(VLOOKUP(Vertailu[[#This Row],[Y-tunnus]],'1.2 Ohjaus-laskentataulu'!A:AT,COLUMN('1.2 Ohjaus-laskentataulu'!X:X),FALSE)/VLOOKUP(Vertailu[[#This Row],[Y-tunnus]],'1.2 Ohjaus-laskentataulu'!A:AT,COLUMN('1.2 Ohjaus-laskentataulu'!AR:AR),FALSE),0)</f>
        <v>8.7848596766702786E-2</v>
      </c>
      <c r="L49" s="21">
        <f>IFERROR(VLOOKUP(Vertailu[[#This Row],[Y-tunnus]],'3.2 Suoritepäätös 2019'!$A:$S,COLUMN('3.2 Suoritepäätös 2019'!Q:Q),FALSE)-VLOOKUP(Vertailu[[#This Row],[Y-tunnus]],'3.2 Suoritepäätös 2019'!$A:$S,COLUMN('3.2 Suoritepäätös 2019'!L:L),FALSE),0)</f>
        <v>154281</v>
      </c>
      <c r="M49" s="21">
        <f>IFERROR(VLOOKUP(Vertailu[[#This Row],[Y-tunnus]],'1.2 Ohjaus-laskentataulu'!A:AT,COLUMN('1.2 Ohjaus-laskentataulu'!Z:Z),FALSE),0)</f>
        <v>180868</v>
      </c>
      <c r="N49" s="21">
        <f>IFERROR(Vertailu[[#This Row],[Rahoitus pl. hark. kor. 2020 ilman alv, €]]-Vertailu[[#This Row],[Rahoitus pl. hark. kor. 2019 ilman alv, €]],0)</f>
        <v>26587</v>
      </c>
      <c r="O49" s="46">
        <f>IFERROR(Vertailu[[#This Row],[Muutos, € 1]]/Vertailu[[#This Row],[Rahoitus pl. hark. kor. 2019 ilman alv, €]],0)</f>
        <v>0.17232841373856794</v>
      </c>
      <c r="P49" s="217">
        <f>IFERROR(VLOOKUP(Vertailu[[#This Row],[Y-tunnus]],'3.2 Suoritepäätös 2019'!$A:$S,COLUMN('3.2 Suoritepäätös 2019'!Q:Q),FALSE),0)</f>
        <v>154281</v>
      </c>
      <c r="Q49" s="243">
        <f>IFERROR(VLOOKUP(Vertailu[[#This Row],[Y-tunnus]],'1.2 Ohjaus-laskentataulu'!A:AT,COLUMN('1.2 Ohjaus-laskentataulu'!AR:AR),FALSE),0)</f>
        <v>180868</v>
      </c>
      <c r="R49" s="21">
        <f>IFERROR(Vertailu[[#This Row],[Rahoitus ml. hark. kor. 
2020 ilman alv, €]]-Vertailu[[#This Row],[Rahoitus ml. hark. kor. 
2019 ilman alv, €]],0)</f>
        <v>26587</v>
      </c>
      <c r="S49" s="19">
        <f>IFERROR(Vertailu[[#This Row],[Muutos, € 2]]/Vertailu[[#This Row],[Rahoitus ml. hark. kor. 
2019 ilman alv, €]],0)</f>
        <v>0.17232841373856794</v>
      </c>
      <c r="T49" s="243">
        <f>IFERROR(VLOOKUP(Vertailu[[#This Row],[Y-tunnus]],'3.2 Suoritepäätös 2019'!$A:$S,COLUMN('3.2 Suoritepäätös 2019'!Q:Q),FALSE)+VLOOKUP(Vertailu[[#This Row],[Y-tunnus]],'3.2 Suoritepäätös 2019'!$A:$S,COLUMN('3.2 Suoritepäätös 2019'!R:R),FALSE),0)</f>
        <v>162698</v>
      </c>
      <c r="U49" s="217">
        <f>IFERROR(VLOOKUP(Vertailu[[#This Row],[Y-tunnus]],'1.2 Ohjaus-laskentataulu'!A:AT,COLUMN('1.2 Ohjaus-laskentataulu'!AT:AT),FALSE),0)</f>
        <v>180868</v>
      </c>
      <c r="V49" s="249">
        <f>IFERROR(Vertailu[[#This Row],[Rahoitus ml. hark. kor. + alv 2020, €]]-Vertailu[[#This Row],[Rahoitus ml. hark. kor. + alv 2019, €]],0)</f>
        <v>18170</v>
      </c>
      <c r="W49" s="46">
        <f>IFERROR(Vertailu[[#This Row],[Muutos, € 3]]/Vertailu[[#This Row],[Rahoitus ml. hark. kor. + alv 2019, €]],0)</f>
        <v>0.11167930767434142</v>
      </c>
    </row>
    <row r="50" spans="1:23" ht="12.75" customHeight="1" x14ac:dyDescent="0.25">
      <c r="A50" s="12" t="s">
        <v>365</v>
      </c>
      <c r="B50" s="297" t="s">
        <v>61</v>
      </c>
      <c r="C50" s="297" t="s">
        <v>238</v>
      </c>
      <c r="D50" s="297" t="s">
        <v>423</v>
      </c>
      <c r="E50" s="22">
        <f>IFERROR(VLOOKUP(Vertailu[[#This Row],[Y-tunnus]],'1.2 Ohjaus-laskentataulu'!A:AT,COLUMN('1.2 Ohjaus-laskentataulu'!L:L),FALSE)/VLOOKUP(Vertailu[[#This Row],[Y-tunnus]],'1.2 Ohjaus-laskentataulu'!A:AT,COLUMN('1.2 Ohjaus-laskentataulu'!AR:AR),FALSE),0)</f>
        <v>0.63410456896128597</v>
      </c>
      <c r="F50" s="46">
        <f>IFERROR(VLOOKUP(Vertailu[[#This Row],[Y-tunnus]],'1.2 Ohjaus-laskentataulu'!A:AT,COLUMN('1.2 Ohjaus-laskentataulu'!AO:AO),FALSE)/VLOOKUP(Vertailu[[#This Row],[Y-tunnus]],'1.2 Ohjaus-laskentataulu'!A:AT,COLUMN('1.2 Ohjaus-laskentataulu'!AR:AR),FALSE),0)</f>
        <v>0.63410456896128597</v>
      </c>
      <c r="G50" s="299">
        <f>IFERROR(VLOOKUP(Vertailu[[#This Row],[Y-tunnus]],'1.2 Ohjaus-laskentataulu'!A:AT,COLUMN('1.2 Ohjaus-laskentataulu'!AP:AP),FALSE)/VLOOKUP(Vertailu[[#This Row],[Y-tunnus]],'1.2 Ohjaus-laskentataulu'!A:AT,COLUMN('1.2 Ohjaus-laskentataulu'!AR:AR),FALSE),0)</f>
        <v>0.19418922094591881</v>
      </c>
      <c r="H50" s="22">
        <f>IFERROR(VLOOKUP(Vertailu[[#This Row],[Y-tunnus]],'1.2 Ohjaus-laskentataulu'!A:AT,COLUMN('1.2 Ohjaus-laskentataulu'!AQ:AQ),FALSE)/VLOOKUP(Vertailu[[#This Row],[Y-tunnus]],'1.2 Ohjaus-laskentataulu'!A:AT,COLUMN('1.2 Ohjaus-laskentataulu'!AR:AR),FALSE),0)</f>
        <v>0.17170621009279519</v>
      </c>
      <c r="I50" s="19">
        <f>IFERROR(VLOOKUP(Vertailu[[#This Row],[Y-tunnus]],'1.2 Ohjaus-laskentataulu'!A:AT,COLUMN('1.2 Ohjaus-laskentataulu'!R:R),FALSE)/VLOOKUP(Vertailu[[#This Row],[Y-tunnus]],'1.2 Ohjaus-laskentataulu'!A:AT,COLUMN('1.2 Ohjaus-laskentataulu'!AR:AR),FALSE),0)</f>
        <v>0.10733411319553619</v>
      </c>
      <c r="J50" s="19">
        <f>IFERROR(VLOOKUP(Vertailu[[#This Row],[Y-tunnus]],'1.2 Ohjaus-laskentataulu'!A:AT,COLUMN('1.2 Ohjaus-laskentataulu'!U:U),FALSE)/VLOOKUP(Vertailu[[#This Row],[Y-tunnus]],'1.2 Ohjaus-laskentataulu'!A:AT,COLUMN('1.2 Ohjaus-laskentataulu'!AR:AR),FALSE),0)</f>
        <v>1.4383698153169299E-2</v>
      </c>
      <c r="K50" s="46">
        <f>IFERROR(VLOOKUP(Vertailu[[#This Row],[Y-tunnus]],'1.2 Ohjaus-laskentataulu'!A:AT,COLUMN('1.2 Ohjaus-laskentataulu'!X:X),FALSE)/VLOOKUP(Vertailu[[#This Row],[Y-tunnus]],'1.2 Ohjaus-laskentataulu'!A:AT,COLUMN('1.2 Ohjaus-laskentataulu'!AR:AR),FALSE),0)</f>
        <v>4.9988398744089682E-2</v>
      </c>
      <c r="L50" s="21">
        <f>IFERROR(VLOOKUP(Vertailu[[#This Row],[Y-tunnus]],'3.2 Suoritepäätös 2019'!$A:$S,COLUMN('3.2 Suoritepäätös 2019'!Q:Q),FALSE)-VLOOKUP(Vertailu[[#This Row],[Y-tunnus]],'3.2 Suoritepäätös 2019'!$A:$S,COLUMN('3.2 Suoritepäätös 2019'!L:L),FALSE),0)</f>
        <v>4823229</v>
      </c>
      <c r="M50" s="21">
        <f>IFERROR(VLOOKUP(Vertailu[[#This Row],[Y-tunnus]],'1.2 Ohjaus-laskentataulu'!A:AT,COLUMN('1.2 Ohjaus-laskentataulu'!Z:Z),FALSE),0)</f>
        <v>5378728</v>
      </c>
      <c r="N50" s="21">
        <f>IFERROR(Vertailu[[#This Row],[Rahoitus pl. hark. kor. 2020 ilman alv, €]]-Vertailu[[#This Row],[Rahoitus pl. hark. kor. 2019 ilman alv, €]],0)</f>
        <v>555499</v>
      </c>
      <c r="O50" s="46">
        <f>IFERROR(Vertailu[[#This Row],[Muutos, € 1]]/Vertailu[[#This Row],[Rahoitus pl. hark. kor. 2019 ilman alv, €]],0)</f>
        <v>0.1151715997726834</v>
      </c>
      <c r="P50" s="217">
        <f>IFERROR(VLOOKUP(Vertailu[[#This Row],[Y-tunnus]],'3.2 Suoritepäätös 2019'!$A:$S,COLUMN('3.2 Suoritepäätös 2019'!Q:Q),FALSE),0)</f>
        <v>4823229</v>
      </c>
      <c r="Q50" s="243">
        <f>IFERROR(VLOOKUP(Vertailu[[#This Row],[Y-tunnus]],'1.2 Ohjaus-laskentataulu'!A:AT,COLUMN('1.2 Ohjaus-laskentataulu'!AR:AR),FALSE),0)</f>
        <v>5378728</v>
      </c>
      <c r="R50" s="21">
        <f>IFERROR(Vertailu[[#This Row],[Rahoitus ml. hark. kor. 
2020 ilman alv, €]]-Vertailu[[#This Row],[Rahoitus ml. hark. kor. 
2019 ilman alv, €]],0)</f>
        <v>555499</v>
      </c>
      <c r="S50" s="19">
        <f>IFERROR(Vertailu[[#This Row],[Muutos, € 2]]/Vertailu[[#This Row],[Rahoitus ml. hark. kor. 
2019 ilman alv, €]],0)</f>
        <v>0.1151715997726834</v>
      </c>
      <c r="T50" s="243">
        <f>IFERROR(VLOOKUP(Vertailu[[#This Row],[Y-tunnus]],'3.2 Suoritepäätös 2019'!$A:$S,COLUMN('3.2 Suoritepäätös 2019'!Q:Q),FALSE)+VLOOKUP(Vertailu[[#This Row],[Y-tunnus]],'3.2 Suoritepäätös 2019'!$A:$S,COLUMN('3.2 Suoritepäätös 2019'!R:R),FALSE),0)</f>
        <v>5074407</v>
      </c>
      <c r="U50" s="217">
        <f>IFERROR(VLOOKUP(Vertailu[[#This Row],[Y-tunnus]],'1.2 Ohjaus-laskentataulu'!A:AT,COLUMN('1.2 Ohjaus-laskentataulu'!AT:AT),FALSE),0)</f>
        <v>5793189</v>
      </c>
      <c r="V50" s="249">
        <f>IFERROR(Vertailu[[#This Row],[Rahoitus ml. hark. kor. + alv 2020, €]]-Vertailu[[#This Row],[Rahoitus ml. hark. kor. + alv 2019, €]],0)</f>
        <v>718782</v>
      </c>
      <c r="W50" s="46">
        <f>IFERROR(Vertailu[[#This Row],[Muutos, € 3]]/Vertailu[[#This Row],[Rahoitus ml. hark. kor. + alv 2019, €]],0)</f>
        <v>0.14164847242249193</v>
      </c>
    </row>
    <row r="51" spans="1:23" ht="12.75" customHeight="1" x14ac:dyDescent="0.25">
      <c r="A51" s="12" t="s">
        <v>364</v>
      </c>
      <c r="B51" s="297" t="s">
        <v>62</v>
      </c>
      <c r="C51" s="297" t="s">
        <v>346</v>
      </c>
      <c r="D51" s="297" t="s">
        <v>423</v>
      </c>
      <c r="E51" s="22">
        <f>IFERROR(VLOOKUP(Vertailu[[#This Row],[Y-tunnus]],'1.2 Ohjaus-laskentataulu'!A:AT,COLUMN('1.2 Ohjaus-laskentataulu'!L:L),FALSE)/VLOOKUP(Vertailu[[#This Row],[Y-tunnus]],'1.2 Ohjaus-laskentataulu'!A:AT,COLUMN('1.2 Ohjaus-laskentataulu'!AR:AR),FALSE),0)</f>
        <v>0.6198040916384252</v>
      </c>
      <c r="F51" s="46">
        <f>IFERROR(VLOOKUP(Vertailu[[#This Row],[Y-tunnus]],'1.2 Ohjaus-laskentataulu'!A:AT,COLUMN('1.2 Ohjaus-laskentataulu'!AO:AO),FALSE)/VLOOKUP(Vertailu[[#This Row],[Y-tunnus]],'1.2 Ohjaus-laskentataulu'!A:AT,COLUMN('1.2 Ohjaus-laskentataulu'!AR:AR),FALSE),0)</f>
        <v>0.6198040916384252</v>
      </c>
      <c r="G51" s="299">
        <f>IFERROR(VLOOKUP(Vertailu[[#This Row],[Y-tunnus]],'1.2 Ohjaus-laskentataulu'!A:AT,COLUMN('1.2 Ohjaus-laskentataulu'!AP:AP),FALSE)/VLOOKUP(Vertailu[[#This Row],[Y-tunnus]],'1.2 Ohjaus-laskentataulu'!A:AT,COLUMN('1.2 Ohjaus-laskentataulu'!AR:AR),FALSE),0)</f>
        <v>0.25628979342886438</v>
      </c>
      <c r="H51" s="22">
        <f>IFERROR(VLOOKUP(Vertailu[[#This Row],[Y-tunnus]],'1.2 Ohjaus-laskentataulu'!A:AT,COLUMN('1.2 Ohjaus-laskentataulu'!AQ:AQ),FALSE)/VLOOKUP(Vertailu[[#This Row],[Y-tunnus]],'1.2 Ohjaus-laskentataulu'!A:AT,COLUMN('1.2 Ohjaus-laskentataulu'!AR:AR),FALSE),0)</f>
        <v>0.12390611493271043</v>
      </c>
      <c r="I51" s="19">
        <f>IFERROR(VLOOKUP(Vertailu[[#This Row],[Y-tunnus]],'1.2 Ohjaus-laskentataulu'!A:AT,COLUMN('1.2 Ohjaus-laskentataulu'!R:R),FALSE)/VLOOKUP(Vertailu[[#This Row],[Y-tunnus]],'1.2 Ohjaus-laskentataulu'!A:AT,COLUMN('1.2 Ohjaus-laskentataulu'!AR:AR),FALSE),0)</f>
        <v>9.4241955748756379E-2</v>
      </c>
      <c r="J51" s="19">
        <f>IFERROR(VLOOKUP(Vertailu[[#This Row],[Y-tunnus]],'1.2 Ohjaus-laskentataulu'!A:AT,COLUMN('1.2 Ohjaus-laskentataulu'!U:U),FALSE)/VLOOKUP(Vertailu[[#This Row],[Y-tunnus]],'1.2 Ohjaus-laskentataulu'!A:AT,COLUMN('1.2 Ohjaus-laskentataulu'!AR:AR),FALSE),0)</f>
        <v>5.517144541288631E-3</v>
      </c>
      <c r="K51" s="46">
        <f>IFERROR(VLOOKUP(Vertailu[[#This Row],[Y-tunnus]],'1.2 Ohjaus-laskentataulu'!A:AT,COLUMN('1.2 Ohjaus-laskentataulu'!X:X),FALSE)/VLOOKUP(Vertailu[[#This Row],[Y-tunnus]],'1.2 Ohjaus-laskentataulu'!A:AT,COLUMN('1.2 Ohjaus-laskentataulu'!AR:AR),FALSE),0)</f>
        <v>2.4147014642665429E-2</v>
      </c>
      <c r="L51" s="21">
        <f>IFERROR(VLOOKUP(Vertailu[[#This Row],[Y-tunnus]],'3.2 Suoritepäätös 2019'!$A:$S,COLUMN('3.2 Suoritepäätös 2019'!Q:Q),FALSE)-VLOOKUP(Vertailu[[#This Row],[Y-tunnus]],'3.2 Suoritepäätös 2019'!$A:$S,COLUMN('3.2 Suoritepäätös 2019'!L:L),FALSE),0)</f>
        <v>653586</v>
      </c>
      <c r="M51" s="21">
        <f>IFERROR(VLOOKUP(Vertailu[[#This Row],[Y-tunnus]],'1.2 Ohjaus-laskentataulu'!A:AT,COLUMN('1.2 Ohjaus-laskentataulu'!Z:Z),FALSE),0)</f>
        <v>683687</v>
      </c>
      <c r="N51" s="21">
        <f>IFERROR(Vertailu[[#This Row],[Rahoitus pl. hark. kor. 2020 ilman alv, €]]-Vertailu[[#This Row],[Rahoitus pl. hark. kor. 2019 ilman alv, €]],0)</f>
        <v>30101</v>
      </c>
      <c r="O51" s="46">
        <f>IFERROR(Vertailu[[#This Row],[Muutos, € 1]]/Vertailu[[#This Row],[Rahoitus pl. hark. kor. 2019 ilman alv, €]],0)</f>
        <v>4.6055148060086967E-2</v>
      </c>
      <c r="P51" s="217">
        <f>IFERROR(VLOOKUP(Vertailu[[#This Row],[Y-tunnus]],'3.2 Suoritepäätös 2019'!$A:$S,COLUMN('3.2 Suoritepäätös 2019'!Q:Q),FALSE),0)</f>
        <v>653586</v>
      </c>
      <c r="Q51" s="243">
        <f>IFERROR(VLOOKUP(Vertailu[[#This Row],[Y-tunnus]],'1.2 Ohjaus-laskentataulu'!A:AT,COLUMN('1.2 Ohjaus-laskentataulu'!AR:AR),FALSE),0)</f>
        <v>683687</v>
      </c>
      <c r="R51" s="21">
        <f>IFERROR(Vertailu[[#This Row],[Rahoitus ml. hark. kor. 
2020 ilman alv, €]]-Vertailu[[#This Row],[Rahoitus ml. hark. kor. 
2019 ilman alv, €]],0)</f>
        <v>30101</v>
      </c>
      <c r="S51" s="19">
        <f>IFERROR(Vertailu[[#This Row],[Muutos, € 2]]/Vertailu[[#This Row],[Rahoitus ml. hark. kor. 
2019 ilman alv, €]],0)</f>
        <v>4.6055148060086967E-2</v>
      </c>
      <c r="T51" s="243">
        <f>IFERROR(VLOOKUP(Vertailu[[#This Row],[Y-tunnus]],'3.2 Suoritepäätös 2019'!$A:$S,COLUMN('3.2 Suoritepäätös 2019'!Q:Q),FALSE)+VLOOKUP(Vertailu[[#This Row],[Y-tunnus]],'3.2 Suoritepäätös 2019'!$A:$S,COLUMN('3.2 Suoritepäätös 2019'!R:R),FALSE),0)</f>
        <v>687253</v>
      </c>
      <c r="U51" s="217">
        <f>IFERROR(VLOOKUP(Vertailu[[#This Row],[Y-tunnus]],'1.2 Ohjaus-laskentataulu'!A:AT,COLUMN('1.2 Ohjaus-laskentataulu'!AT:AT),FALSE),0)</f>
        <v>717395</v>
      </c>
      <c r="V51" s="249">
        <f>IFERROR(Vertailu[[#This Row],[Rahoitus ml. hark. kor. + alv 2020, €]]-Vertailu[[#This Row],[Rahoitus ml. hark. kor. + alv 2019, €]],0)</f>
        <v>30142</v>
      </c>
      <c r="W51" s="46">
        <f>IFERROR(Vertailu[[#This Row],[Muutos, € 3]]/Vertailu[[#This Row],[Rahoitus ml. hark. kor. + alv 2019, €]],0)</f>
        <v>4.3858666313570112E-2</v>
      </c>
    </row>
    <row r="52" spans="1:23" ht="12.75" customHeight="1" x14ac:dyDescent="0.25">
      <c r="A52" s="12" t="s">
        <v>363</v>
      </c>
      <c r="B52" s="297" t="s">
        <v>63</v>
      </c>
      <c r="C52" s="297" t="s">
        <v>238</v>
      </c>
      <c r="D52" s="297" t="s">
        <v>423</v>
      </c>
      <c r="E52" s="22">
        <f>IFERROR(VLOOKUP(Vertailu[[#This Row],[Y-tunnus]],'1.2 Ohjaus-laskentataulu'!A:AT,COLUMN('1.2 Ohjaus-laskentataulu'!L:L),FALSE)/VLOOKUP(Vertailu[[#This Row],[Y-tunnus]],'1.2 Ohjaus-laskentataulu'!A:AT,COLUMN('1.2 Ohjaus-laskentataulu'!AR:AR),FALSE),0)</f>
        <v>0.58057683988456088</v>
      </c>
      <c r="F52" s="46">
        <f>IFERROR(VLOOKUP(Vertailu[[#This Row],[Y-tunnus]],'1.2 Ohjaus-laskentataulu'!A:AT,COLUMN('1.2 Ohjaus-laskentataulu'!AO:AO),FALSE)/VLOOKUP(Vertailu[[#This Row],[Y-tunnus]],'1.2 Ohjaus-laskentataulu'!A:AT,COLUMN('1.2 Ohjaus-laskentataulu'!AR:AR),FALSE),0)</f>
        <v>0.8176180909882842</v>
      </c>
      <c r="G52" s="299">
        <f>IFERROR(VLOOKUP(Vertailu[[#This Row],[Y-tunnus]],'1.2 Ohjaus-laskentataulu'!A:AT,COLUMN('1.2 Ohjaus-laskentataulu'!AP:AP),FALSE)/VLOOKUP(Vertailu[[#This Row],[Y-tunnus]],'1.2 Ohjaus-laskentataulu'!A:AT,COLUMN('1.2 Ohjaus-laskentataulu'!AR:AR),FALSE),0)</f>
        <v>0.13766289178474284</v>
      </c>
      <c r="H52" s="22">
        <f>IFERROR(VLOOKUP(Vertailu[[#This Row],[Y-tunnus]],'1.2 Ohjaus-laskentataulu'!A:AT,COLUMN('1.2 Ohjaus-laskentataulu'!AQ:AQ),FALSE)/VLOOKUP(Vertailu[[#This Row],[Y-tunnus]],'1.2 Ohjaus-laskentataulu'!A:AT,COLUMN('1.2 Ohjaus-laskentataulu'!AR:AR),FALSE),0)</f>
        <v>4.4719017226972926E-2</v>
      </c>
      <c r="I52" s="19">
        <f>IFERROR(VLOOKUP(Vertailu[[#This Row],[Y-tunnus]],'1.2 Ohjaus-laskentataulu'!A:AT,COLUMN('1.2 Ohjaus-laskentataulu'!R:R),FALSE)/VLOOKUP(Vertailu[[#This Row],[Y-tunnus]],'1.2 Ohjaus-laskentataulu'!A:AT,COLUMN('1.2 Ohjaus-laskentataulu'!AR:AR),FALSE),0)</f>
        <v>3.9355958920751187E-2</v>
      </c>
      <c r="J52" s="19">
        <f>IFERROR(VLOOKUP(Vertailu[[#This Row],[Y-tunnus]],'1.2 Ohjaus-laskentataulu'!A:AT,COLUMN('1.2 Ohjaus-laskentataulu'!U:U),FALSE)/VLOOKUP(Vertailu[[#This Row],[Y-tunnus]],'1.2 Ohjaus-laskentataulu'!A:AT,COLUMN('1.2 Ohjaus-laskentataulu'!AR:AR),FALSE),0)</f>
        <v>5.3630583062217402E-3</v>
      </c>
      <c r="K52" s="46">
        <f>IFERROR(VLOOKUP(Vertailu[[#This Row],[Y-tunnus]],'1.2 Ohjaus-laskentataulu'!A:AT,COLUMN('1.2 Ohjaus-laskentataulu'!X:X),FALSE)/VLOOKUP(Vertailu[[#This Row],[Y-tunnus]],'1.2 Ohjaus-laskentataulu'!A:AT,COLUMN('1.2 Ohjaus-laskentataulu'!AR:AR),FALSE),0)</f>
        <v>0</v>
      </c>
      <c r="L52" s="21">
        <f>IFERROR(VLOOKUP(Vertailu[[#This Row],[Y-tunnus]],'3.2 Suoritepäätös 2019'!$A:$S,COLUMN('3.2 Suoritepäätös 2019'!Q:Q),FALSE)-VLOOKUP(Vertailu[[#This Row],[Y-tunnus]],'3.2 Suoritepäätös 2019'!$A:$S,COLUMN('3.2 Suoritepäätös 2019'!L:L),FALSE),0)</f>
        <v>701241</v>
      </c>
      <c r="M52" s="21">
        <f>IFERROR(VLOOKUP(Vertailu[[#This Row],[Y-tunnus]],'1.2 Ohjaus-laskentataulu'!A:AT,COLUMN('1.2 Ohjaus-laskentataulu'!Z:Z),FALSE),0)</f>
        <v>643735</v>
      </c>
      <c r="N52" s="21">
        <f>IFERROR(Vertailu[[#This Row],[Rahoitus pl. hark. kor. 2020 ilman alv, €]]-Vertailu[[#This Row],[Rahoitus pl. hark. kor. 2019 ilman alv, €]],0)</f>
        <v>-57506</v>
      </c>
      <c r="O52" s="46">
        <f>IFERROR(Vertailu[[#This Row],[Muutos, € 1]]/Vertailu[[#This Row],[Rahoitus pl. hark. kor. 2019 ilman alv, €]],0)</f>
        <v>-8.2006043571325696E-2</v>
      </c>
      <c r="P52" s="217">
        <f>IFERROR(VLOOKUP(Vertailu[[#This Row],[Y-tunnus]],'3.2 Suoritepäätös 2019'!$A:$S,COLUMN('3.2 Suoritepäätös 2019'!Q:Q),FALSE),0)</f>
        <v>761241</v>
      </c>
      <c r="Q52" s="243">
        <f>IFERROR(VLOOKUP(Vertailu[[#This Row],[Y-tunnus]],'1.2 Ohjaus-laskentataulu'!A:AT,COLUMN('1.2 Ohjaus-laskentataulu'!AR:AR),FALSE),0)</f>
        <v>843735</v>
      </c>
      <c r="R52" s="21">
        <f>IFERROR(Vertailu[[#This Row],[Rahoitus ml. hark. kor. 
2020 ilman alv, €]]-Vertailu[[#This Row],[Rahoitus ml. hark. kor. 
2019 ilman alv, €]],0)</f>
        <v>82494</v>
      </c>
      <c r="S52" s="19">
        <f>IFERROR(Vertailu[[#This Row],[Muutos, € 2]]/Vertailu[[#This Row],[Rahoitus ml. hark. kor. 
2019 ilman alv, €]],0)</f>
        <v>0.10836778365852601</v>
      </c>
      <c r="T52" s="243">
        <f>IFERROR(VLOOKUP(Vertailu[[#This Row],[Y-tunnus]],'3.2 Suoritepäätös 2019'!$A:$S,COLUMN('3.2 Suoritepäätös 2019'!Q:Q),FALSE)+VLOOKUP(Vertailu[[#This Row],[Y-tunnus]],'3.2 Suoritepäätös 2019'!$A:$S,COLUMN('3.2 Suoritepäätös 2019'!R:R),FALSE),0)</f>
        <v>802062</v>
      </c>
      <c r="U52" s="217">
        <f>IFERROR(VLOOKUP(Vertailu[[#This Row],[Y-tunnus]],'1.2 Ohjaus-laskentataulu'!A:AT,COLUMN('1.2 Ohjaus-laskentataulu'!AT:AT),FALSE),0)</f>
        <v>881110</v>
      </c>
      <c r="V52" s="249">
        <f>IFERROR(Vertailu[[#This Row],[Rahoitus ml. hark. kor. + alv 2020, €]]-Vertailu[[#This Row],[Rahoitus ml. hark. kor. + alv 2019, €]],0)</f>
        <v>79048</v>
      </c>
      <c r="W52" s="46">
        <f>IFERROR(Vertailu[[#This Row],[Muutos, € 3]]/Vertailu[[#This Row],[Rahoitus ml. hark. kor. + alv 2019, €]],0)</f>
        <v>9.8555971982215843E-2</v>
      </c>
    </row>
    <row r="53" spans="1:23" ht="12.75" customHeight="1" x14ac:dyDescent="0.25">
      <c r="A53" s="12" t="s">
        <v>362</v>
      </c>
      <c r="B53" s="297" t="s">
        <v>64</v>
      </c>
      <c r="C53" s="297" t="s">
        <v>296</v>
      </c>
      <c r="D53" s="297" t="s">
        <v>422</v>
      </c>
      <c r="E53" s="22">
        <f>IFERROR(VLOOKUP(Vertailu[[#This Row],[Y-tunnus]],'1.2 Ohjaus-laskentataulu'!A:AT,COLUMN('1.2 Ohjaus-laskentataulu'!L:L),FALSE)/VLOOKUP(Vertailu[[#This Row],[Y-tunnus]],'1.2 Ohjaus-laskentataulu'!A:AT,COLUMN('1.2 Ohjaus-laskentataulu'!AR:AR),FALSE),0)</f>
        <v>0.67735374411638316</v>
      </c>
      <c r="F53" s="46">
        <f>IFERROR(VLOOKUP(Vertailu[[#This Row],[Y-tunnus]],'1.2 Ohjaus-laskentataulu'!A:AT,COLUMN('1.2 Ohjaus-laskentataulu'!AO:AO),FALSE)/VLOOKUP(Vertailu[[#This Row],[Y-tunnus]],'1.2 Ohjaus-laskentataulu'!A:AT,COLUMN('1.2 Ohjaus-laskentataulu'!AR:AR),FALSE),0)</f>
        <v>0.68108420907034373</v>
      </c>
      <c r="G53" s="299">
        <f>IFERROR(VLOOKUP(Vertailu[[#This Row],[Y-tunnus]],'1.2 Ohjaus-laskentataulu'!A:AT,COLUMN('1.2 Ohjaus-laskentataulu'!AP:AP),FALSE)/VLOOKUP(Vertailu[[#This Row],[Y-tunnus]],'1.2 Ohjaus-laskentataulu'!A:AT,COLUMN('1.2 Ohjaus-laskentataulu'!AR:AR),FALSE),0)</f>
        <v>0.19916003193112203</v>
      </c>
      <c r="H53" s="22">
        <f>IFERROR(VLOOKUP(Vertailu[[#This Row],[Y-tunnus]],'1.2 Ohjaus-laskentataulu'!A:AT,COLUMN('1.2 Ohjaus-laskentataulu'!AQ:AQ),FALSE)/VLOOKUP(Vertailu[[#This Row],[Y-tunnus]],'1.2 Ohjaus-laskentataulu'!A:AT,COLUMN('1.2 Ohjaus-laskentataulu'!AR:AR),FALSE),0)</f>
        <v>0.1197557589985343</v>
      </c>
      <c r="I53" s="19">
        <f>IFERROR(VLOOKUP(Vertailu[[#This Row],[Y-tunnus]],'1.2 Ohjaus-laskentataulu'!A:AT,COLUMN('1.2 Ohjaus-laskentataulu'!R:R),FALSE)/VLOOKUP(Vertailu[[#This Row],[Y-tunnus]],'1.2 Ohjaus-laskentataulu'!A:AT,COLUMN('1.2 Ohjaus-laskentataulu'!AR:AR),FALSE),0)</f>
        <v>8.1906834622146804E-2</v>
      </c>
      <c r="J53" s="19">
        <f>IFERROR(VLOOKUP(Vertailu[[#This Row],[Y-tunnus]],'1.2 Ohjaus-laskentataulu'!A:AT,COLUMN('1.2 Ohjaus-laskentataulu'!U:U),FALSE)/VLOOKUP(Vertailu[[#This Row],[Y-tunnus]],'1.2 Ohjaus-laskentataulu'!A:AT,COLUMN('1.2 Ohjaus-laskentataulu'!AR:AR),FALSE),0)</f>
        <v>8.8569527929141401E-3</v>
      </c>
      <c r="K53" s="46">
        <f>IFERROR(VLOOKUP(Vertailu[[#This Row],[Y-tunnus]],'1.2 Ohjaus-laskentataulu'!A:AT,COLUMN('1.2 Ohjaus-laskentataulu'!X:X),FALSE)/VLOOKUP(Vertailu[[#This Row],[Y-tunnus]],'1.2 Ohjaus-laskentataulu'!A:AT,COLUMN('1.2 Ohjaus-laskentataulu'!AR:AR),FALSE),0)</f>
        <v>2.8991971583473362E-2</v>
      </c>
      <c r="L53" s="21">
        <f>IFERROR(VLOOKUP(Vertailu[[#This Row],[Y-tunnus]],'3.2 Suoritepäätös 2019'!$A:$S,COLUMN('3.2 Suoritepäätös 2019'!Q:Q),FALSE)-VLOOKUP(Vertailu[[#This Row],[Y-tunnus]],'3.2 Suoritepäätös 2019'!$A:$S,COLUMN('3.2 Suoritepäätös 2019'!L:L),FALSE),0)</f>
        <v>23561004</v>
      </c>
      <c r="M53" s="21">
        <f>IFERROR(VLOOKUP(Vertailu[[#This Row],[Y-tunnus]],'1.2 Ohjaus-laskentataulu'!A:AT,COLUMN('1.2 Ohjaus-laskentataulu'!Z:Z),FALSE),0)</f>
        <v>24035679</v>
      </c>
      <c r="N53" s="21">
        <f>IFERROR(Vertailu[[#This Row],[Rahoitus pl. hark. kor. 2020 ilman alv, €]]-Vertailu[[#This Row],[Rahoitus pl. hark. kor. 2019 ilman alv, €]],0)</f>
        <v>474675</v>
      </c>
      <c r="O53" s="46">
        <f>IFERROR(Vertailu[[#This Row],[Muutos, € 1]]/Vertailu[[#This Row],[Rahoitus pl. hark. kor. 2019 ilman alv, €]],0)</f>
        <v>2.0146637214611057E-2</v>
      </c>
      <c r="P53" s="217">
        <f>IFERROR(VLOOKUP(Vertailu[[#This Row],[Y-tunnus]],'3.2 Suoritepäätös 2019'!$A:$S,COLUMN('3.2 Suoritepäätös 2019'!Q:Q),FALSE),0)</f>
        <v>23561004</v>
      </c>
      <c r="Q53" s="243">
        <f>IFERROR(VLOOKUP(Vertailu[[#This Row],[Y-tunnus]],'1.2 Ohjaus-laskentataulu'!A:AT,COLUMN('1.2 Ohjaus-laskentataulu'!AR:AR),FALSE),0)</f>
        <v>24125679</v>
      </c>
      <c r="R53" s="21">
        <f>IFERROR(Vertailu[[#This Row],[Rahoitus ml. hark. kor. 
2020 ilman alv, €]]-Vertailu[[#This Row],[Rahoitus ml. hark. kor. 
2019 ilman alv, €]],0)</f>
        <v>564675</v>
      </c>
      <c r="S53" s="19">
        <f>IFERROR(Vertailu[[#This Row],[Muutos, € 2]]/Vertailu[[#This Row],[Rahoitus ml. hark. kor. 
2019 ilman alv, €]],0)</f>
        <v>2.3966508388182439E-2</v>
      </c>
      <c r="T53" s="243">
        <f>IFERROR(VLOOKUP(Vertailu[[#This Row],[Y-tunnus]],'3.2 Suoritepäätös 2019'!$A:$S,COLUMN('3.2 Suoritepäätös 2019'!Q:Q),FALSE)+VLOOKUP(Vertailu[[#This Row],[Y-tunnus]],'3.2 Suoritepäätös 2019'!$A:$S,COLUMN('3.2 Suoritepäätös 2019'!R:R),FALSE),0)</f>
        <v>23561004</v>
      </c>
      <c r="U53" s="217">
        <f>IFERROR(VLOOKUP(Vertailu[[#This Row],[Y-tunnus]],'1.2 Ohjaus-laskentataulu'!A:AT,COLUMN('1.2 Ohjaus-laskentataulu'!AT:AT),FALSE),0)</f>
        <v>24125679</v>
      </c>
      <c r="V53" s="249">
        <f>IFERROR(Vertailu[[#This Row],[Rahoitus ml. hark. kor. + alv 2020, €]]-Vertailu[[#This Row],[Rahoitus ml. hark. kor. + alv 2019, €]],0)</f>
        <v>564675</v>
      </c>
      <c r="W53" s="46">
        <f>IFERROR(Vertailu[[#This Row],[Muutos, € 3]]/Vertailu[[#This Row],[Rahoitus ml. hark. kor. + alv 2019, €]],0)</f>
        <v>2.3966508388182439E-2</v>
      </c>
    </row>
    <row r="54" spans="1:23" ht="12.75" customHeight="1" x14ac:dyDescent="0.25">
      <c r="A54" s="12" t="s">
        <v>348</v>
      </c>
      <c r="B54" s="297" t="s">
        <v>880</v>
      </c>
      <c r="C54" s="297" t="s">
        <v>346</v>
      </c>
      <c r="D54" s="297" t="s">
        <v>423</v>
      </c>
      <c r="E54" s="22">
        <f>IFERROR(VLOOKUP(Vertailu[[#This Row],[Y-tunnus]],'1.2 Ohjaus-laskentataulu'!A:AT,COLUMN('1.2 Ohjaus-laskentataulu'!L:L),FALSE)/VLOOKUP(Vertailu[[#This Row],[Y-tunnus]],'1.2 Ohjaus-laskentataulu'!A:AT,COLUMN('1.2 Ohjaus-laskentataulu'!AR:AR),FALSE),0)</f>
        <v>0.63756407540775262</v>
      </c>
      <c r="F54" s="46">
        <f>IFERROR(VLOOKUP(Vertailu[[#This Row],[Y-tunnus]],'1.2 Ohjaus-laskentataulu'!A:AT,COLUMN('1.2 Ohjaus-laskentataulu'!AO:AO),FALSE)/VLOOKUP(Vertailu[[#This Row],[Y-tunnus]],'1.2 Ohjaus-laskentataulu'!A:AT,COLUMN('1.2 Ohjaus-laskentataulu'!AR:AR),FALSE),0)</f>
        <v>0.63756407540775262</v>
      </c>
      <c r="G54" s="299">
        <f>IFERROR(VLOOKUP(Vertailu[[#This Row],[Y-tunnus]],'1.2 Ohjaus-laskentataulu'!A:AT,COLUMN('1.2 Ohjaus-laskentataulu'!AP:AP),FALSE)/VLOOKUP(Vertailu[[#This Row],[Y-tunnus]],'1.2 Ohjaus-laskentataulu'!A:AT,COLUMN('1.2 Ohjaus-laskentataulu'!AR:AR),FALSE),0)</f>
        <v>0.27022805902704228</v>
      </c>
      <c r="H54" s="22">
        <f>IFERROR(VLOOKUP(Vertailu[[#This Row],[Y-tunnus]],'1.2 Ohjaus-laskentataulu'!A:AT,COLUMN('1.2 Ohjaus-laskentataulu'!AQ:AQ),FALSE)/VLOOKUP(Vertailu[[#This Row],[Y-tunnus]],'1.2 Ohjaus-laskentataulu'!A:AT,COLUMN('1.2 Ohjaus-laskentataulu'!AR:AR),FALSE),0)</f>
        <v>9.2207865565205119E-2</v>
      </c>
      <c r="I54" s="19">
        <f>IFERROR(VLOOKUP(Vertailu[[#This Row],[Y-tunnus]],'1.2 Ohjaus-laskentataulu'!A:AT,COLUMN('1.2 Ohjaus-laskentataulu'!R:R),FALSE)/VLOOKUP(Vertailu[[#This Row],[Y-tunnus]],'1.2 Ohjaus-laskentataulu'!A:AT,COLUMN('1.2 Ohjaus-laskentataulu'!AR:AR),FALSE),0)</f>
        <v>6.4590835275012359E-2</v>
      </c>
      <c r="J54" s="19">
        <f>IFERROR(VLOOKUP(Vertailu[[#This Row],[Y-tunnus]],'1.2 Ohjaus-laskentataulu'!A:AT,COLUMN('1.2 Ohjaus-laskentataulu'!U:U),FALSE)/VLOOKUP(Vertailu[[#This Row],[Y-tunnus]],'1.2 Ohjaus-laskentataulu'!A:AT,COLUMN('1.2 Ohjaus-laskentataulu'!AR:AR),FALSE),0)</f>
        <v>1.1709383605168397E-2</v>
      </c>
      <c r="K54" s="46">
        <f>IFERROR(VLOOKUP(Vertailu[[#This Row],[Y-tunnus]],'1.2 Ohjaus-laskentataulu'!A:AT,COLUMN('1.2 Ohjaus-laskentataulu'!X:X),FALSE)/VLOOKUP(Vertailu[[#This Row],[Y-tunnus]],'1.2 Ohjaus-laskentataulu'!A:AT,COLUMN('1.2 Ohjaus-laskentataulu'!AR:AR),FALSE),0)</f>
        <v>1.5907646685024358E-2</v>
      </c>
      <c r="L54" s="21">
        <f>IFERROR(VLOOKUP(Vertailu[[#This Row],[Y-tunnus]],'3.2 Suoritepäätös 2019'!$A:$S,COLUMN('3.2 Suoritepäätös 2019'!Q:Q),FALSE)-VLOOKUP(Vertailu[[#This Row],[Y-tunnus]],'3.2 Suoritepäätös 2019'!$A:$S,COLUMN('3.2 Suoritepäätös 2019'!L:L),FALSE),0)</f>
        <v>659530</v>
      </c>
      <c r="M54" s="21">
        <f>IFERROR(VLOOKUP(Vertailu[[#This Row],[Y-tunnus]],'1.2 Ohjaus-laskentataulu'!A:AT,COLUMN('1.2 Ohjaus-laskentataulu'!Z:Z),FALSE),0)</f>
        <v>708150</v>
      </c>
      <c r="N54" s="21">
        <f>IFERROR(Vertailu[[#This Row],[Rahoitus pl. hark. kor. 2020 ilman alv, €]]-Vertailu[[#This Row],[Rahoitus pl. hark. kor. 2019 ilman alv, €]],0)</f>
        <v>48620</v>
      </c>
      <c r="O54" s="46">
        <f>IFERROR(Vertailu[[#This Row],[Muutos, € 1]]/Vertailu[[#This Row],[Rahoitus pl. hark. kor. 2019 ilman alv, €]],0)</f>
        <v>7.371916364683942E-2</v>
      </c>
      <c r="P54" s="217">
        <f>IFERROR(VLOOKUP(Vertailu[[#This Row],[Y-tunnus]],'3.2 Suoritepäätös 2019'!$A:$S,COLUMN('3.2 Suoritepäätös 2019'!Q:Q),FALSE),0)</f>
        <v>659530</v>
      </c>
      <c r="Q54" s="243">
        <f>IFERROR(VLOOKUP(Vertailu[[#This Row],[Y-tunnus]],'1.2 Ohjaus-laskentataulu'!A:AT,COLUMN('1.2 Ohjaus-laskentataulu'!AR:AR),FALSE),0)</f>
        <v>708150</v>
      </c>
      <c r="R54" s="21">
        <f>IFERROR(Vertailu[[#This Row],[Rahoitus ml. hark. kor. 
2020 ilman alv, €]]-Vertailu[[#This Row],[Rahoitus ml. hark. kor. 
2019 ilman alv, €]],0)</f>
        <v>48620</v>
      </c>
      <c r="S54" s="19">
        <f>IFERROR(Vertailu[[#This Row],[Muutos, € 2]]/Vertailu[[#This Row],[Rahoitus ml. hark. kor. 
2019 ilman alv, €]],0)</f>
        <v>7.371916364683942E-2</v>
      </c>
      <c r="T54" s="243">
        <f>IFERROR(VLOOKUP(Vertailu[[#This Row],[Y-tunnus]],'3.2 Suoritepäätös 2019'!$A:$S,COLUMN('3.2 Suoritepäätös 2019'!Q:Q),FALSE)+VLOOKUP(Vertailu[[#This Row],[Y-tunnus]],'3.2 Suoritepäätös 2019'!$A:$S,COLUMN('3.2 Suoritepäätös 2019'!R:R),FALSE),0)</f>
        <v>694432</v>
      </c>
      <c r="U54" s="217">
        <f>IFERROR(VLOOKUP(Vertailu[[#This Row],[Y-tunnus]],'1.2 Ohjaus-laskentataulu'!A:AT,COLUMN('1.2 Ohjaus-laskentataulu'!AT:AT),FALSE),0)</f>
        <v>724160</v>
      </c>
      <c r="V54" s="249">
        <f>IFERROR(Vertailu[[#This Row],[Rahoitus ml. hark. kor. + alv 2020, €]]-Vertailu[[#This Row],[Rahoitus ml. hark. kor. + alv 2019, €]],0)</f>
        <v>29728</v>
      </c>
      <c r="W54" s="46">
        <f>IFERROR(Vertailu[[#This Row],[Muutos, € 3]]/Vertailu[[#This Row],[Rahoitus ml. hark. kor. + alv 2019, €]],0)</f>
        <v>4.2809087138841531E-2</v>
      </c>
    </row>
    <row r="55" spans="1:23" ht="12.75" customHeight="1" x14ac:dyDescent="0.25">
      <c r="A55" s="12" t="s">
        <v>347</v>
      </c>
      <c r="B55" s="297" t="s">
        <v>66</v>
      </c>
      <c r="C55" s="297" t="s">
        <v>346</v>
      </c>
      <c r="D55" s="297" t="s">
        <v>422</v>
      </c>
      <c r="E55" s="22">
        <f>IFERROR(VLOOKUP(Vertailu[[#This Row],[Y-tunnus]],'1.2 Ohjaus-laskentataulu'!A:AT,COLUMN('1.2 Ohjaus-laskentataulu'!L:L),FALSE)/VLOOKUP(Vertailu[[#This Row],[Y-tunnus]],'1.2 Ohjaus-laskentataulu'!A:AT,COLUMN('1.2 Ohjaus-laskentataulu'!AR:AR),FALSE),0)</f>
        <v>0.6773749665815465</v>
      </c>
      <c r="F55" s="46">
        <f>IFERROR(VLOOKUP(Vertailu[[#This Row],[Y-tunnus]],'1.2 Ohjaus-laskentataulu'!A:AT,COLUMN('1.2 Ohjaus-laskentataulu'!AO:AO),FALSE)/VLOOKUP(Vertailu[[#This Row],[Y-tunnus]],'1.2 Ohjaus-laskentataulu'!A:AT,COLUMN('1.2 Ohjaus-laskentataulu'!AR:AR),FALSE),0)</f>
        <v>0.6773749665815465</v>
      </c>
      <c r="G55" s="299">
        <f>IFERROR(VLOOKUP(Vertailu[[#This Row],[Y-tunnus]],'1.2 Ohjaus-laskentataulu'!A:AT,COLUMN('1.2 Ohjaus-laskentataulu'!AP:AP),FALSE)/VLOOKUP(Vertailu[[#This Row],[Y-tunnus]],'1.2 Ohjaus-laskentataulu'!A:AT,COLUMN('1.2 Ohjaus-laskentataulu'!AR:AR),FALSE),0)</f>
        <v>0.21294402279044058</v>
      </c>
      <c r="H55" s="22">
        <f>IFERROR(VLOOKUP(Vertailu[[#This Row],[Y-tunnus]],'1.2 Ohjaus-laskentataulu'!A:AT,COLUMN('1.2 Ohjaus-laskentataulu'!AQ:AQ),FALSE)/VLOOKUP(Vertailu[[#This Row],[Y-tunnus]],'1.2 Ohjaus-laskentataulu'!A:AT,COLUMN('1.2 Ohjaus-laskentataulu'!AR:AR),FALSE),0)</f>
        <v>0.10968101062801286</v>
      </c>
      <c r="I55" s="19">
        <f>IFERROR(VLOOKUP(Vertailu[[#This Row],[Y-tunnus]],'1.2 Ohjaus-laskentataulu'!A:AT,COLUMN('1.2 Ohjaus-laskentataulu'!R:R),FALSE)/VLOOKUP(Vertailu[[#This Row],[Y-tunnus]],'1.2 Ohjaus-laskentataulu'!A:AT,COLUMN('1.2 Ohjaus-laskentataulu'!AR:AR),FALSE),0)</f>
        <v>7.9144866175220624E-2</v>
      </c>
      <c r="J55" s="19">
        <f>IFERROR(VLOOKUP(Vertailu[[#This Row],[Y-tunnus]],'1.2 Ohjaus-laskentataulu'!A:AT,COLUMN('1.2 Ohjaus-laskentataulu'!U:U),FALSE)/VLOOKUP(Vertailu[[#This Row],[Y-tunnus]],'1.2 Ohjaus-laskentataulu'!A:AT,COLUMN('1.2 Ohjaus-laskentataulu'!AR:AR),FALSE),0)</f>
        <v>7.6455159749834016E-3</v>
      </c>
      <c r="K55" s="46">
        <f>IFERROR(VLOOKUP(Vertailu[[#This Row],[Y-tunnus]],'1.2 Ohjaus-laskentataulu'!A:AT,COLUMN('1.2 Ohjaus-laskentataulu'!X:X),FALSE)/VLOOKUP(Vertailu[[#This Row],[Y-tunnus]],'1.2 Ohjaus-laskentataulu'!A:AT,COLUMN('1.2 Ohjaus-laskentataulu'!AR:AR),FALSE),0)</f>
        <v>2.2890628477808834E-2</v>
      </c>
      <c r="L55" s="21">
        <f>IFERROR(VLOOKUP(Vertailu[[#This Row],[Y-tunnus]],'3.2 Suoritepäätös 2019'!$A:$S,COLUMN('3.2 Suoritepäätös 2019'!Q:Q),FALSE)-VLOOKUP(Vertailu[[#This Row],[Y-tunnus]],'3.2 Suoritepäätös 2019'!$A:$S,COLUMN('3.2 Suoritepäätös 2019'!L:L),FALSE),0)</f>
        <v>26044654</v>
      </c>
      <c r="M55" s="21">
        <f>IFERROR(VLOOKUP(Vertailu[[#This Row],[Y-tunnus]],'1.2 Ohjaus-laskentataulu'!A:AT,COLUMN('1.2 Ohjaus-laskentataulu'!Z:Z),FALSE),0)</f>
        <v>27787791</v>
      </c>
      <c r="N55" s="21">
        <f>IFERROR(Vertailu[[#This Row],[Rahoitus pl. hark. kor. 2020 ilman alv, €]]-Vertailu[[#This Row],[Rahoitus pl. hark. kor. 2019 ilman alv, €]],0)</f>
        <v>1743137</v>
      </c>
      <c r="O55" s="46">
        <f>IFERROR(Vertailu[[#This Row],[Muutos, € 1]]/Vertailu[[#This Row],[Rahoitus pl. hark. kor. 2019 ilman alv, €]],0)</f>
        <v>6.6928783158340291E-2</v>
      </c>
      <c r="P55" s="217">
        <f>IFERROR(VLOOKUP(Vertailu[[#This Row],[Y-tunnus]],'3.2 Suoritepäätös 2019'!$A:$S,COLUMN('3.2 Suoritepäätös 2019'!Q:Q),FALSE),0)</f>
        <v>26444654</v>
      </c>
      <c r="Q55" s="243">
        <f>IFERROR(VLOOKUP(Vertailu[[#This Row],[Y-tunnus]],'1.2 Ohjaus-laskentataulu'!A:AT,COLUMN('1.2 Ohjaus-laskentataulu'!AR:AR),FALSE),0)</f>
        <v>27787791</v>
      </c>
      <c r="R55" s="21">
        <f>IFERROR(Vertailu[[#This Row],[Rahoitus ml. hark. kor. 
2020 ilman alv, €]]-Vertailu[[#This Row],[Rahoitus ml. hark. kor. 
2019 ilman alv, €]],0)</f>
        <v>1343137</v>
      </c>
      <c r="S55" s="19">
        <f>IFERROR(Vertailu[[#This Row],[Muutos, € 2]]/Vertailu[[#This Row],[Rahoitus ml. hark. kor. 
2019 ilman alv, €]],0)</f>
        <v>5.0790492475341141E-2</v>
      </c>
      <c r="T55" s="243">
        <f>IFERROR(VLOOKUP(Vertailu[[#This Row],[Y-tunnus]],'3.2 Suoritepäätös 2019'!$A:$S,COLUMN('3.2 Suoritepäätös 2019'!Q:Q),FALSE)+VLOOKUP(Vertailu[[#This Row],[Y-tunnus]],'3.2 Suoritepäätös 2019'!$A:$S,COLUMN('3.2 Suoritepäätös 2019'!R:R),FALSE),0)</f>
        <v>26444654</v>
      </c>
      <c r="U55" s="217">
        <f>IFERROR(VLOOKUP(Vertailu[[#This Row],[Y-tunnus]],'1.2 Ohjaus-laskentataulu'!A:AT,COLUMN('1.2 Ohjaus-laskentataulu'!AT:AT),FALSE),0)</f>
        <v>27787791</v>
      </c>
      <c r="V55" s="249">
        <f>IFERROR(Vertailu[[#This Row],[Rahoitus ml. hark. kor. + alv 2020, €]]-Vertailu[[#This Row],[Rahoitus ml. hark. kor. + alv 2019, €]],0)</f>
        <v>1343137</v>
      </c>
      <c r="W55" s="46">
        <f>IFERROR(Vertailu[[#This Row],[Muutos, € 3]]/Vertailu[[#This Row],[Rahoitus ml. hark. kor. + alv 2019, €]],0)</f>
        <v>5.0790492475341141E-2</v>
      </c>
    </row>
    <row r="56" spans="1:23" ht="12.75" customHeight="1" x14ac:dyDescent="0.25">
      <c r="A56" s="12" t="s">
        <v>341</v>
      </c>
      <c r="B56" s="297" t="s">
        <v>67</v>
      </c>
      <c r="C56" s="297" t="s">
        <v>238</v>
      </c>
      <c r="D56" s="297" t="s">
        <v>422</v>
      </c>
      <c r="E56" s="22">
        <f>IFERROR(VLOOKUP(Vertailu[[#This Row],[Y-tunnus]],'1.2 Ohjaus-laskentataulu'!A:AT,COLUMN('1.2 Ohjaus-laskentataulu'!L:L),FALSE)/VLOOKUP(Vertailu[[#This Row],[Y-tunnus]],'1.2 Ohjaus-laskentataulu'!A:AT,COLUMN('1.2 Ohjaus-laskentataulu'!AR:AR),FALSE),0)</f>
        <v>0.68091505111797168</v>
      </c>
      <c r="F56" s="46">
        <f>IFERROR(VLOOKUP(Vertailu[[#This Row],[Y-tunnus]],'1.2 Ohjaus-laskentataulu'!A:AT,COLUMN('1.2 Ohjaus-laskentataulu'!AO:AO),FALSE)/VLOOKUP(Vertailu[[#This Row],[Y-tunnus]],'1.2 Ohjaus-laskentataulu'!A:AT,COLUMN('1.2 Ohjaus-laskentataulu'!AR:AR),FALSE),0)</f>
        <v>0.68178324448917638</v>
      </c>
      <c r="G56" s="299">
        <f>IFERROR(VLOOKUP(Vertailu[[#This Row],[Y-tunnus]],'1.2 Ohjaus-laskentataulu'!A:AT,COLUMN('1.2 Ohjaus-laskentataulu'!AP:AP),FALSE)/VLOOKUP(Vertailu[[#This Row],[Y-tunnus]],'1.2 Ohjaus-laskentataulu'!A:AT,COLUMN('1.2 Ohjaus-laskentataulu'!AR:AR),FALSE),0)</f>
        <v>0.22626130216542281</v>
      </c>
      <c r="H56" s="22">
        <f>IFERROR(VLOOKUP(Vertailu[[#This Row],[Y-tunnus]],'1.2 Ohjaus-laskentataulu'!A:AT,COLUMN('1.2 Ohjaus-laskentataulu'!AQ:AQ),FALSE)/VLOOKUP(Vertailu[[#This Row],[Y-tunnus]],'1.2 Ohjaus-laskentataulu'!A:AT,COLUMN('1.2 Ohjaus-laskentataulu'!AR:AR),FALSE),0)</f>
        <v>9.1955453345400839E-2</v>
      </c>
      <c r="I56" s="19">
        <f>IFERROR(VLOOKUP(Vertailu[[#This Row],[Y-tunnus]],'1.2 Ohjaus-laskentataulu'!A:AT,COLUMN('1.2 Ohjaus-laskentataulu'!R:R),FALSE)/VLOOKUP(Vertailu[[#This Row],[Y-tunnus]],'1.2 Ohjaus-laskentataulu'!A:AT,COLUMN('1.2 Ohjaus-laskentataulu'!AR:AR),FALSE),0)</f>
        <v>7.501995253065924E-2</v>
      </c>
      <c r="J56" s="19">
        <f>IFERROR(VLOOKUP(Vertailu[[#This Row],[Y-tunnus]],'1.2 Ohjaus-laskentataulu'!A:AT,COLUMN('1.2 Ohjaus-laskentataulu'!U:U),FALSE)/VLOOKUP(Vertailu[[#This Row],[Y-tunnus]],'1.2 Ohjaus-laskentataulu'!A:AT,COLUMN('1.2 Ohjaus-laskentataulu'!AR:AR),FALSE),0)</f>
        <v>1.5753465186439414E-3</v>
      </c>
      <c r="K56" s="46">
        <f>IFERROR(VLOOKUP(Vertailu[[#This Row],[Y-tunnus]],'1.2 Ohjaus-laskentataulu'!A:AT,COLUMN('1.2 Ohjaus-laskentataulu'!X:X),FALSE)/VLOOKUP(Vertailu[[#This Row],[Y-tunnus]],'1.2 Ohjaus-laskentataulu'!A:AT,COLUMN('1.2 Ohjaus-laskentataulu'!AR:AR),FALSE),0)</f>
        <v>1.5360154296097658E-2</v>
      </c>
      <c r="L56" s="21">
        <f>IFERROR(VLOOKUP(Vertailu[[#This Row],[Y-tunnus]],'3.2 Suoritepäätös 2019'!$A:$S,COLUMN('3.2 Suoritepäätös 2019'!Q:Q),FALSE)-VLOOKUP(Vertailu[[#This Row],[Y-tunnus]],'3.2 Suoritepäätös 2019'!$A:$S,COLUMN('3.2 Suoritepäätös 2019'!L:L),FALSE),0)</f>
        <v>50252689</v>
      </c>
      <c r="M56" s="21">
        <f>IFERROR(VLOOKUP(Vertailu[[#This Row],[Y-tunnus]],'1.2 Ohjaus-laskentataulu'!A:AT,COLUMN('1.2 Ohjaus-laskentataulu'!Z:Z),FALSE),0)</f>
        <v>51786771</v>
      </c>
      <c r="N56" s="21">
        <f>IFERROR(Vertailu[[#This Row],[Rahoitus pl. hark. kor. 2020 ilman alv, €]]-Vertailu[[#This Row],[Rahoitus pl. hark. kor. 2019 ilman alv, €]],0)</f>
        <v>1534082</v>
      </c>
      <c r="O56" s="46">
        <f>IFERROR(Vertailu[[#This Row],[Muutos, € 1]]/Vertailu[[#This Row],[Rahoitus pl. hark. kor. 2019 ilman alv, €]],0)</f>
        <v>3.0527361431345493E-2</v>
      </c>
      <c r="P56" s="217">
        <f>IFERROR(VLOOKUP(Vertailu[[#This Row],[Y-tunnus]],'3.2 Suoritepäätös 2019'!$A:$S,COLUMN('3.2 Suoritepäätös 2019'!Q:Q),FALSE),0)</f>
        <v>50252689</v>
      </c>
      <c r="Q56" s="243">
        <f>IFERROR(VLOOKUP(Vertailu[[#This Row],[Y-tunnus]],'1.2 Ohjaus-laskentataulu'!A:AT,COLUMN('1.2 Ohjaus-laskentataulu'!AR:AR),FALSE),0)</f>
        <v>51831771</v>
      </c>
      <c r="R56" s="21">
        <f>IFERROR(Vertailu[[#This Row],[Rahoitus ml. hark. kor. 
2020 ilman alv, €]]-Vertailu[[#This Row],[Rahoitus ml. hark. kor. 
2019 ilman alv, €]],0)</f>
        <v>1579082</v>
      </c>
      <c r="S56" s="19">
        <f>IFERROR(Vertailu[[#This Row],[Muutos, € 2]]/Vertailu[[#This Row],[Rahoitus ml. hark. kor. 
2019 ilman alv, €]],0)</f>
        <v>3.1422835900383361E-2</v>
      </c>
      <c r="T56" s="243">
        <f>IFERROR(VLOOKUP(Vertailu[[#This Row],[Y-tunnus]],'3.2 Suoritepäätös 2019'!$A:$S,COLUMN('3.2 Suoritepäätös 2019'!Q:Q),FALSE)+VLOOKUP(Vertailu[[#This Row],[Y-tunnus]],'3.2 Suoritepäätös 2019'!$A:$S,COLUMN('3.2 Suoritepäätös 2019'!R:R),FALSE),0)</f>
        <v>50252689</v>
      </c>
      <c r="U56" s="217">
        <f>IFERROR(VLOOKUP(Vertailu[[#This Row],[Y-tunnus]],'1.2 Ohjaus-laskentataulu'!A:AT,COLUMN('1.2 Ohjaus-laskentataulu'!AT:AT),FALSE),0)</f>
        <v>51831771</v>
      </c>
      <c r="V56" s="249">
        <f>IFERROR(Vertailu[[#This Row],[Rahoitus ml. hark. kor. + alv 2020, €]]-Vertailu[[#This Row],[Rahoitus ml. hark. kor. + alv 2019, €]],0)</f>
        <v>1579082</v>
      </c>
      <c r="W56" s="46">
        <f>IFERROR(Vertailu[[#This Row],[Muutos, € 3]]/Vertailu[[#This Row],[Rahoitus ml. hark. kor. + alv 2019, €]],0)</f>
        <v>3.1422835900383361E-2</v>
      </c>
    </row>
    <row r="57" spans="1:23" ht="12.75" customHeight="1" x14ac:dyDescent="0.25">
      <c r="A57" s="12" t="s">
        <v>361</v>
      </c>
      <c r="B57" s="297" t="s">
        <v>68</v>
      </c>
      <c r="C57" s="297" t="s">
        <v>238</v>
      </c>
      <c r="D57" s="297" t="s">
        <v>423</v>
      </c>
      <c r="E57" s="22">
        <f>IFERROR(VLOOKUP(Vertailu[[#This Row],[Y-tunnus]],'1.2 Ohjaus-laskentataulu'!A:AT,COLUMN('1.2 Ohjaus-laskentataulu'!L:L),FALSE)/VLOOKUP(Vertailu[[#This Row],[Y-tunnus]],'1.2 Ohjaus-laskentataulu'!A:AT,COLUMN('1.2 Ohjaus-laskentataulu'!AR:AR),FALSE),0)</f>
        <v>0.75765321186452472</v>
      </c>
      <c r="F57" s="46">
        <f>IFERROR(VLOOKUP(Vertailu[[#This Row],[Y-tunnus]],'1.2 Ohjaus-laskentataulu'!A:AT,COLUMN('1.2 Ohjaus-laskentataulu'!AO:AO),FALSE)/VLOOKUP(Vertailu[[#This Row],[Y-tunnus]],'1.2 Ohjaus-laskentataulu'!A:AT,COLUMN('1.2 Ohjaus-laskentataulu'!AR:AR),FALSE),0)</f>
        <v>0.85847181087967106</v>
      </c>
      <c r="G57" s="299">
        <f>IFERROR(VLOOKUP(Vertailu[[#This Row],[Y-tunnus]],'1.2 Ohjaus-laskentataulu'!A:AT,COLUMN('1.2 Ohjaus-laskentataulu'!AP:AP),FALSE)/VLOOKUP(Vertailu[[#This Row],[Y-tunnus]],'1.2 Ohjaus-laskentataulu'!A:AT,COLUMN('1.2 Ohjaus-laskentataulu'!AR:AR),FALSE),0)</f>
        <v>8.0031244163923362E-2</v>
      </c>
      <c r="H57" s="22">
        <f>IFERROR(VLOOKUP(Vertailu[[#This Row],[Y-tunnus]],'1.2 Ohjaus-laskentataulu'!A:AT,COLUMN('1.2 Ohjaus-laskentataulu'!AQ:AQ),FALSE)/VLOOKUP(Vertailu[[#This Row],[Y-tunnus]],'1.2 Ohjaus-laskentataulu'!A:AT,COLUMN('1.2 Ohjaus-laskentataulu'!AR:AR),FALSE),0)</f>
        <v>6.1496944956405557E-2</v>
      </c>
      <c r="I57" s="19">
        <f>IFERROR(VLOOKUP(Vertailu[[#This Row],[Y-tunnus]],'1.2 Ohjaus-laskentataulu'!A:AT,COLUMN('1.2 Ohjaus-laskentataulu'!R:R),FALSE)/VLOOKUP(Vertailu[[#This Row],[Y-tunnus]],'1.2 Ohjaus-laskentataulu'!A:AT,COLUMN('1.2 Ohjaus-laskentataulu'!AR:AR),FALSE),0)</f>
        <v>4.1103262729908413E-2</v>
      </c>
      <c r="J57" s="19">
        <f>IFERROR(VLOOKUP(Vertailu[[#This Row],[Y-tunnus]],'1.2 Ohjaus-laskentataulu'!A:AT,COLUMN('1.2 Ohjaus-laskentataulu'!U:U),FALSE)/VLOOKUP(Vertailu[[#This Row],[Y-tunnus]],'1.2 Ohjaus-laskentataulu'!A:AT,COLUMN('1.2 Ohjaus-laskentataulu'!AR:AR),FALSE),0)</f>
        <v>5.4878924063911311E-3</v>
      </c>
      <c r="K57" s="46">
        <f>IFERROR(VLOOKUP(Vertailu[[#This Row],[Y-tunnus]],'1.2 Ohjaus-laskentataulu'!A:AT,COLUMN('1.2 Ohjaus-laskentataulu'!X:X),FALSE)/VLOOKUP(Vertailu[[#This Row],[Y-tunnus]],'1.2 Ohjaus-laskentataulu'!A:AT,COLUMN('1.2 Ohjaus-laskentataulu'!AR:AR),FALSE),0)</f>
        <v>1.4905789820106013E-2</v>
      </c>
      <c r="L57" s="21">
        <f>IFERROR(VLOOKUP(Vertailu[[#This Row],[Y-tunnus]],'3.2 Suoritepäätös 2019'!$A:$S,COLUMN('3.2 Suoritepäätös 2019'!Q:Q),FALSE)-VLOOKUP(Vertailu[[#This Row],[Y-tunnus]],'3.2 Suoritepäätös 2019'!$A:$S,COLUMN('3.2 Suoritepäätös 2019'!L:L),FALSE),0)</f>
        <v>1767165</v>
      </c>
      <c r="M57" s="21">
        <f>IFERROR(VLOOKUP(Vertailu[[#This Row],[Y-tunnus]],'1.2 Ohjaus-laskentataulu'!A:AT,COLUMN('1.2 Ohjaus-laskentataulu'!Z:Z),FALSE),0)</f>
        <v>1872949</v>
      </c>
      <c r="N57" s="21">
        <f>IFERROR(Vertailu[[#This Row],[Rahoitus pl. hark. kor. 2020 ilman alv, €]]-Vertailu[[#This Row],[Rahoitus pl. hark. kor. 2019 ilman alv, €]],0)</f>
        <v>105784</v>
      </c>
      <c r="O57" s="46">
        <f>IFERROR(Vertailu[[#This Row],[Muutos, € 1]]/Vertailu[[#This Row],[Rahoitus pl. hark. kor. 2019 ilman alv, €]],0)</f>
        <v>5.9860850571395424E-2</v>
      </c>
      <c r="P57" s="217">
        <f>IFERROR(VLOOKUP(Vertailu[[#This Row],[Y-tunnus]],'3.2 Suoritepäätös 2019'!$A:$S,COLUMN('3.2 Suoritepäätös 2019'!Q:Q),FALSE),0)</f>
        <v>2067165</v>
      </c>
      <c r="Q57" s="243">
        <f>IFERROR(VLOOKUP(Vertailu[[#This Row],[Y-tunnus]],'1.2 Ohjaus-laskentataulu'!A:AT,COLUMN('1.2 Ohjaus-laskentataulu'!AR:AR),FALSE),0)</f>
        <v>2082949</v>
      </c>
      <c r="R57" s="21">
        <f>IFERROR(Vertailu[[#This Row],[Rahoitus ml. hark. kor. 
2020 ilman alv, €]]-Vertailu[[#This Row],[Rahoitus ml. hark. kor. 
2019 ilman alv, €]],0)</f>
        <v>15784</v>
      </c>
      <c r="S57" s="19">
        <f>IFERROR(Vertailu[[#This Row],[Muutos, € 2]]/Vertailu[[#This Row],[Rahoitus ml. hark. kor. 
2019 ilman alv, €]],0)</f>
        <v>7.6355781952577566E-3</v>
      </c>
      <c r="T57" s="243">
        <f>IFERROR(VLOOKUP(Vertailu[[#This Row],[Y-tunnus]],'3.2 Suoritepäätös 2019'!$A:$S,COLUMN('3.2 Suoritepäätös 2019'!Q:Q),FALSE)+VLOOKUP(Vertailu[[#This Row],[Y-tunnus]],'3.2 Suoritepäätös 2019'!$A:$S,COLUMN('3.2 Suoritepäätös 2019'!R:R),FALSE),0)</f>
        <v>2182117</v>
      </c>
      <c r="U57" s="217">
        <f>IFERROR(VLOOKUP(Vertailu[[#This Row],[Y-tunnus]],'1.2 Ohjaus-laskentataulu'!A:AT,COLUMN('1.2 Ohjaus-laskentataulu'!AT:AT),FALSE),0)</f>
        <v>2376708</v>
      </c>
      <c r="V57" s="249">
        <f>IFERROR(Vertailu[[#This Row],[Rahoitus ml. hark. kor. + alv 2020, €]]-Vertailu[[#This Row],[Rahoitus ml. hark. kor. + alv 2019, €]],0)</f>
        <v>194591</v>
      </c>
      <c r="W57" s="46">
        <f>IFERROR(Vertailu[[#This Row],[Muutos, € 3]]/Vertailu[[#This Row],[Rahoitus ml. hark. kor. + alv 2019, €]],0)</f>
        <v>8.9175328362319714E-2</v>
      </c>
    </row>
    <row r="58" spans="1:23" ht="12.75" customHeight="1" x14ac:dyDescent="0.25">
      <c r="A58" s="12" t="s">
        <v>360</v>
      </c>
      <c r="B58" s="297" t="s">
        <v>69</v>
      </c>
      <c r="C58" s="297" t="s">
        <v>334</v>
      </c>
      <c r="D58" s="297" t="s">
        <v>423</v>
      </c>
      <c r="E58" s="22">
        <f>IFERROR(VLOOKUP(Vertailu[[#This Row],[Y-tunnus]],'1.2 Ohjaus-laskentataulu'!A:AT,COLUMN('1.2 Ohjaus-laskentataulu'!L:L),FALSE)/VLOOKUP(Vertailu[[#This Row],[Y-tunnus]],'1.2 Ohjaus-laskentataulu'!A:AT,COLUMN('1.2 Ohjaus-laskentataulu'!AR:AR),FALSE),0)</f>
        <v>0.8430785754877731</v>
      </c>
      <c r="F58" s="46">
        <f>IFERROR(VLOOKUP(Vertailu[[#This Row],[Y-tunnus]],'1.2 Ohjaus-laskentataulu'!A:AT,COLUMN('1.2 Ohjaus-laskentataulu'!AO:AO),FALSE)/VLOOKUP(Vertailu[[#This Row],[Y-tunnus]],'1.2 Ohjaus-laskentataulu'!A:AT,COLUMN('1.2 Ohjaus-laskentataulu'!AR:AR),FALSE),0)</f>
        <v>0.8430785754877731</v>
      </c>
      <c r="G58" s="299">
        <f>IFERROR(VLOOKUP(Vertailu[[#This Row],[Y-tunnus]],'1.2 Ohjaus-laskentataulu'!A:AT,COLUMN('1.2 Ohjaus-laskentataulu'!AP:AP),FALSE)/VLOOKUP(Vertailu[[#This Row],[Y-tunnus]],'1.2 Ohjaus-laskentataulu'!A:AT,COLUMN('1.2 Ohjaus-laskentataulu'!AR:AR),FALSE),0)</f>
        <v>0.14073663935187308</v>
      </c>
      <c r="H58" s="22">
        <f>IFERROR(VLOOKUP(Vertailu[[#This Row],[Y-tunnus]],'1.2 Ohjaus-laskentataulu'!A:AT,COLUMN('1.2 Ohjaus-laskentataulu'!AQ:AQ),FALSE)/VLOOKUP(Vertailu[[#This Row],[Y-tunnus]],'1.2 Ohjaus-laskentataulu'!A:AT,COLUMN('1.2 Ohjaus-laskentataulu'!AR:AR),FALSE),0)</f>
        <v>1.6184785160353786E-2</v>
      </c>
      <c r="I58" s="19">
        <f>IFERROR(VLOOKUP(Vertailu[[#This Row],[Y-tunnus]],'1.2 Ohjaus-laskentataulu'!A:AT,COLUMN('1.2 Ohjaus-laskentataulu'!R:R),FALSE)/VLOOKUP(Vertailu[[#This Row],[Y-tunnus]],'1.2 Ohjaus-laskentataulu'!A:AT,COLUMN('1.2 Ohjaus-laskentataulu'!AR:AR),FALSE),0)</f>
        <v>9.9734471826158095E-3</v>
      </c>
      <c r="J58" s="19">
        <f>IFERROR(VLOOKUP(Vertailu[[#This Row],[Y-tunnus]],'1.2 Ohjaus-laskentataulu'!A:AT,COLUMN('1.2 Ohjaus-laskentataulu'!U:U),FALSE)/VLOOKUP(Vertailu[[#This Row],[Y-tunnus]],'1.2 Ohjaus-laskentataulu'!A:AT,COLUMN('1.2 Ohjaus-laskentataulu'!AR:AR),FALSE),0)</f>
        <v>2.5851069241963716E-3</v>
      </c>
      <c r="K58" s="46">
        <f>IFERROR(VLOOKUP(Vertailu[[#This Row],[Y-tunnus]],'1.2 Ohjaus-laskentataulu'!A:AT,COLUMN('1.2 Ohjaus-laskentataulu'!X:X),FALSE)/VLOOKUP(Vertailu[[#This Row],[Y-tunnus]],'1.2 Ohjaus-laskentataulu'!A:AT,COLUMN('1.2 Ohjaus-laskentataulu'!AR:AR),FALSE),0)</f>
        <v>3.6262310535416036E-3</v>
      </c>
      <c r="L58" s="21">
        <f>IFERROR(VLOOKUP(Vertailu[[#This Row],[Y-tunnus]],'3.2 Suoritepäätös 2019'!$A:$S,COLUMN('3.2 Suoritepäätös 2019'!Q:Q),FALSE)-VLOOKUP(Vertailu[[#This Row],[Y-tunnus]],'3.2 Suoritepäätös 2019'!$A:$S,COLUMN('3.2 Suoritepäätös 2019'!L:L),FALSE),0)</f>
        <v>19053537</v>
      </c>
      <c r="M58" s="21">
        <f>IFERROR(VLOOKUP(Vertailu[[#This Row],[Y-tunnus]],'1.2 Ohjaus-laskentataulu'!A:AT,COLUMN('1.2 Ohjaus-laskentataulu'!Z:Z),FALSE),0)</f>
        <v>21916695</v>
      </c>
      <c r="N58" s="21">
        <f>IFERROR(Vertailu[[#This Row],[Rahoitus pl. hark. kor. 2020 ilman alv, €]]-Vertailu[[#This Row],[Rahoitus pl. hark. kor. 2019 ilman alv, €]],0)</f>
        <v>2863158</v>
      </c>
      <c r="O58" s="46">
        <f>IFERROR(Vertailu[[#This Row],[Muutos, € 1]]/Vertailu[[#This Row],[Rahoitus pl. hark. kor. 2019 ilman alv, €]],0)</f>
        <v>0.1502691075153133</v>
      </c>
      <c r="P58" s="217">
        <f>IFERROR(VLOOKUP(Vertailu[[#This Row],[Y-tunnus]],'3.2 Suoritepäätös 2019'!$A:$S,COLUMN('3.2 Suoritepäätös 2019'!Q:Q),FALSE),0)</f>
        <v>19053537</v>
      </c>
      <c r="Q58" s="243">
        <f>IFERROR(VLOOKUP(Vertailu[[#This Row],[Y-tunnus]],'1.2 Ohjaus-laskentataulu'!A:AT,COLUMN('1.2 Ohjaus-laskentataulu'!AR:AR),FALSE),0)</f>
        <v>21916695</v>
      </c>
      <c r="R58" s="21">
        <f>IFERROR(Vertailu[[#This Row],[Rahoitus ml. hark. kor. 
2020 ilman alv, €]]-Vertailu[[#This Row],[Rahoitus ml. hark. kor. 
2019 ilman alv, €]],0)</f>
        <v>2863158</v>
      </c>
      <c r="S58" s="19">
        <f>IFERROR(Vertailu[[#This Row],[Muutos, € 2]]/Vertailu[[#This Row],[Rahoitus ml. hark. kor. 
2019 ilman alv, €]],0)</f>
        <v>0.1502691075153133</v>
      </c>
      <c r="T58" s="243">
        <f>IFERROR(VLOOKUP(Vertailu[[#This Row],[Y-tunnus]],'3.2 Suoritepäätös 2019'!$A:$S,COLUMN('3.2 Suoritepäätös 2019'!Q:Q),FALSE)+VLOOKUP(Vertailu[[#This Row],[Y-tunnus]],'3.2 Suoritepäätös 2019'!$A:$S,COLUMN('3.2 Suoritepäätös 2019'!R:R),FALSE),0)</f>
        <v>20107242</v>
      </c>
      <c r="U58" s="217">
        <f>IFERROR(VLOOKUP(Vertailu[[#This Row],[Y-tunnus]],'1.2 Ohjaus-laskentataulu'!A:AT,COLUMN('1.2 Ohjaus-laskentataulu'!AT:AT),FALSE),0)</f>
        <v>22561854</v>
      </c>
      <c r="V58" s="249">
        <f>IFERROR(Vertailu[[#This Row],[Rahoitus ml. hark. kor. + alv 2020, €]]-Vertailu[[#This Row],[Rahoitus ml. hark. kor. + alv 2019, €]],0)</f>
        <v>2454612</v>
      </c>
      <c r="W58" s="46">
        <f>IFERROR(Vertailu[[#This Row],[Muutos, € 3]]/Vertailu[[#This Row],[Rahoitus ml. hark. kor. + alv 2019, €]],0)</f>
        <v>0.12207601619356846</v>
      </c>
    </row>
    <row r="59" spans="1:23" ht="12.75" customHeight="1" x14ac:dyDescent="0.25">
      <c r="A59" s="12" t="s">
        <v>359</v>
      </c>
      <c r="B59" s="297" t="s">
        <v>70</v>
      </c>
      <c r="C59" s="297" t="s">
        <v>238</v>
      </c>
      <c r="D59" s="297" t="s">
        <v>423</v>
      </c>
      <c r="E59" s="22">
        <f>IFERROR(VLOOKUP(Vertailu[[#This Row],[Y-tunnus]],'1.2 Ohjaus-laskentataulu'!A:AT,COLUMN('1.2 Ohjaus-laskentataulu'!L:L),FALSE)/VLOOKUP(Vertailu[[#This Row],[Y-tunnus]],'1.2 Ohjaus-laskentataulu'!A:AT,COLUMN('1.2 Ohjaus-laskentataulu'!AR:AR),FALSE),0)</f>
        <v>0.68503889881123436</v>
      </c>
      <c r="F59" s="46">
        <f>IFERROR(VLOOKUP(Vertailu[[#This Row],[Y-tunnus]],'1.2 Ohjaus-laskentataulu'!A:AT,COLUMN('1.2 Ohjaus-laskentataulu'!AO:AO),FALSE)/VLOOKUP(Vertailu[[#This Row],[Y-tunnus]],'1.2 Ohjaus-laskentataulu'!A:AT,COLUMN('1.2 Ohjaus-laskentataulu'!AR:AR),FALSE),0)</f>
        <v>0.68503889881123436</v>
      </c>
      <c r="G59" s="299">
        <f>IFERROR(VLOOKUP(Vertailu[[#This Row],[Y-tunnus]],'1.2 Ohjaus-laskentataulu'!A:AT,COLUMN('1.2 Ohjaus-laskentataulu'!AP:AP),FALSE)/VLOOKUP(Vertailu[[#This Row],[Y-tunnus]],'1.2 Ohjaus-laskentataulu'!A:AT,COLUMN('1.2 Ohjaus-laskentataulu'!AR:AR),FALSE),0)</f>
        <v>0.19932145849691518</v>
      </c>
      <c r="H59" s="22">
        <f>IFERROR(VLOOKUP(Vertailu[[#This Row],[Y-tunnus]],'1.2 Ohjaus-laskentataulu'!A:AT,COLUMN('1.2 Ohjaus-laskentataulu'!AQ:AQ),FALSE)/VLOOKUP(Vertailu[[#This Row],[Y-tunnus]],'1.2 Ohjaus-laskentataulu'!A:AT,COLUMN('1.2 Ohjaus-laskentataulu'!AR:AR),FALSE),0)</f>
        <v>0.11563964269185045</v>
      </c>
      <c r="I59" s="19">
        <f>IFERROR(VLOOKUP(Vertailu[[#This Row],[Y-tunnus]],'1.2 Ohjaus-laskentataulu'!A:AT,COLUMN('1.2 Ohjaus-laskentataulu'!R:R),FALSE)/VLOOKUP(Vertailu[[#This Row],[Y-tunnus]],'1.2 Ohjaus-laskentataulu'!A:AT,COLUMN('1.2 Ohjaus-laskentataulu'!AR:AR),FALSE),0)</f>
        <v>8.7025187680696281E-2</v>
      </c>
      <c r="J59" s="19">
        <f>IFERROR(VLOOKUP(Vertailu[[#This Row],[Y-tunnus]],'1.2 Ohjaus-laskentataulu'!A:AT,COLUMN('1.2 Ohjaus-laskentataulu'!U:U),FALSE)/VLOOKUP(Vertailu[[#This Row],[Y-tunnus]],'1.2 Ohjaus-laskentataulu'!A:AT,COLUMN('1.2 Ohjaus-laskentataulu'!AR:AR),FALSE),0)</f>
        <v>6.5485319370122887E-3</v>
      </c>
      <c r="K59" s="46">
        <f>IFERROR(VLOOKUP(Vertailu[[#This Row],[Y-tunnus]],'1.2 Ohjaus-laskentataulu'!A:AT,COLUMN('1.2 Ohjaus-laskentataulu'!X:X),FALSE)/VLOOKUP(Vertailu[[#This Row],[Y-tunnus]],'1.2 Ohjaus-laskentataulu'!A:AT,COLUMN('1.2 Ohjaus-laskentataulu'!AR:AR),FALSE),0)</f>
        <v>2.2065923074141888E-2</v>
      </c>
      <c r="L59" s="21">
        <f>IFERROR(VLOOKUP(Vertailu[[#This Row],[Y-tunnus]],'3.2 Suoritepäätös 2019'!$A:$S,COLUMN('3.2 Suoritepäätös 2019'!Q:Q),FALSE)-VLOOKUP(Vertailu[[#This Row],[Y-tunnus]],'3.2 Suoritepäätös 2019'!$A:$S,COLUMN('3.2 Suoritepäätös 2019'!L:L),FALSE),0)</f>
        <v>13099265</v>
      </c>
      <c r="M59" s="21">
        <f>IFERROR(VLOOKUP(Vertailu[[#This Row],[Y-tunnus]],'1.2 Ohjaus-laskentataulu'!A:AT,COLUMN('1.2 Ohjaus-laskentataulu'!Z:Z),FALSE),0)</f>
        <v>13884486</v>
      </c>
      <c r="N59" s="21">
        <f>IFERROR(Vertailu[[#This Row],[Rahoitus pl. hark. kor. 2020 ilman alv, €]]-Vertailu[[#This Row],[Rahoitus pl. hark. kor. 2019 ilman alv, €]],0)</f>
        <v>785221</v>
      </c>
      <c r="O59" s="46">
        <f>IFERROR(Vertailu[[#This Row],[Muutos, € 1]]/Vertailu[[#This Row],[Rahoitus pl. hark. kor. 2019 ilman alv, €]],0)</f>
        <v>5.9943897615629578E-2</v>
      </c>
      <c r="P59" s="217">
        <f>IFERROR(VLOOKUP(Vertailu[[#This Row],[Y-tunnus]],'3.2 Suoritepäätös 2019'!$A:$S,COLUMN('3.2 Suoritepäätös 2019'!Q:Q),FALSE),0)</f>
        <v>13099265</v>
      </c>
      <c r="Q59" s="243">
        <f>IFERROR(VLOOKUP(Vertailu[[#This Row],[Y-tunnus]],'1.2 Ohjaus-laskentataulu'!A:AT,COLUMN('1.2 Ohjaus-laskentataulu'!AR:AR),FALSE),0)</f>
        <v>13884486</v>
      </c>
      <c r="R59" s="21">
        <f>IFERROR(Vertailu[[#This Row],[Rahoitus ml. hark. kor. 
2020 ilman alv, €]]-Vertailu[[#This Row],[Rahoitus ml. hark. kor. 
2019 ilman alv, €]],0)</f>
        <v>785221</v>
      </c>
      <c r="S59" s="19">
        <f>IFERROR(Vertailu[[#This Row],[Muutos, € 2]]/Vertailu[[#This Row],[Rahoitus ml. hark. kor. 
2019 ilman alv, €]],0)</f>
        <v>5.9943897615629578E-2</v>
      </c>
      <c r="T59" s="243">
        <f>IFERROR(VLOOKUP(Vertailu[[#This Row],[Y-tunnus]],'3.2 Suoritepäätös 2019'!$A:$S,COLUMN('3.2 Suoritepäätös 2019'!Q:Q),FALSE)+VLOOKUP(Vertailu[[#This Row],[Y-tunnus]],'3.2 Suoritepäätös 2019'!$A:$S,COLUMN('3.2 Suoritepäätös 2019'!R:R),FALSE),0)</f>
        <v>13796672</v>
      </c>
      <c r="U59" s="217">
        <f>IFERROR(VLOOKUP(Vertailu[[#This Row],[Y-tunnus]],'1.2 Ohjaus-laskentataulu'!A:AT,COLUMN('1.2 Ohjaus-laskentataulu'!AT:AT),FALSE),0)</f>
        <v>14436937</v>
      </c>
      <c r="V59" s="249">
        <f>IFERROR(Vertailu[[#This Row],[Rahoitus ml. hark. kor. + alv 2020, €]]-Vertailu[[#This Row],[Rahoitus ml. hark. kor. + alv 2019, €]],0)</f>
        <v>640265</v>
      </c>
      <c r="W59" s="46">
        <f>IFERROR(Vertailu[[#This Row],[Muutos, € 3]]/Vertailu[[#This Row],[Rahoitus ml. hark. kor. + alv 2019, €]],0)</f>
        <v>4.6407206027656522E-2</v>
      </c>
    </row>
    <row r="60" spans="1:23" ht="12.75" customHeight="1" x14ac:dyDescent="0.25">
      <c r="A60" s="12" t="s">
        <v>358</v>
      </c>
      <c r="B60" s="297" t="s">
        <v>71</v>
      </c>
      <c r="C60" s="297" t="s">
        <v>238</v>
      </c>
      <c r="D60" s="297" t="s">
        <v>423</v>
      </c>
      <c r="E60" s="22">
        <f>IFERROR(VLOOKUP(Vertailu[[#This Row],[Y-tunnus]],'1.2 Ohjaus-laskentataulu'!A:AT,COLUMN('1.2 Ohjaus-laskentataulu'!L:L),FALSE)/VLOOKUP(Vertailu[[#This Row],[Y-tunnus]],'1.2 Ohjaus-laskentataulu'!A:AT,COLUMN('1.2 Ohjaus-laskentataulu'!AR:AR),FALSE),0)</f>
        <v>0.6600226205804961</v>
      </c>
      <c r="F60" s="46">
        <f>IFERROR(VLOOKUP(Vertailu[[#This Row],[Y-tunnus]],'1.2 Ohjaus-laskentataulu'!A:AT,COLUMN('1.2 Ohjaus-laskentataulu'!AO:AO),FALSE)/VLOOKUP(Vertailu[[#This Row],[Y-tunnus]],'1.2 Ohjaus-laskentataulu'!A:AT,COLUMN('1.2 Ohjaus-laskentataulu'!AR:AR),FALSE),0)</f>
        <v>0.6600226205804961</v>
      </c>
      <c r="G60" s="299">
        <f>IFERROR(VLOOKUP(Vertailu[[#This Row],[Y-tunnus]],'1.2 Ohjaus-laskentataulu'!A:AT,COLUMN('1.2 Ohjaus-laskentataulu'!AP:AP),FALSE)/VLOOKUP(Vertailu[[#This Row],[Y-tunnus]],'1.2 Ohjaus-laskentataulu'!A:AT,COLUMN('1.2 Ohjaus-laskentataulu'!AR:AR),FALSE),0)</f>
        <v>0.24225922254186341</v>
      </c>
      <c r="H60" s="22">
        <f>IFERROR(VLOOKUP(Vertailu[[#This Row],[Y-tunnus]],'1.2 Ohjaus-laskentataulu'!A:AT,COLUMN('1.2 Ohjaus-laskentataulu'!AQ:AQ),FALSE)/VLOOKUP(Vertailu[[#This Row],[Y-tunnus]],'1.2 Ohjaus-laskentataulu'!A:AT,COLUMN('1.2 Ohjaus-laskentataulu'!AR:AR),FALSE),0)</f>
        <v>9.7718156877640433E-2</v>
      </c>
      <c r="I60" s="19">
        <f>IFERROR(VLOOKUP(Vertailu[[#This Row],[Y-tunnus]],'1.2 Ohjaus-laskentataulu'!A:AT,COLUMN('1.2 Ohjaus-laskentataulu'!R:R),FALSE)/VLOOKUP(Vertailu[[#This Row],[Y-tunnus]],'1.2 Ohjaus-laskentataulu'!A:AT,COLUMN('1.2 Ohjaus-laskentataulu'!AR:AR),FALSE),0)</f>
        <v>6.6503237028345555E-2</v>
      </c>
      <c r="J60" s="19">
        <f>IFERROR(VLOOKUP(Vertailu[[#This Row],[Y-tunnus]],'1.2 Ohjaus-laskentataulu'!A:AT,COLUMN('1.2 Ohjaus-laskentataulu'!U:U),FALSE)/VLOOKUP(Vertailu[[#This Row],[Y-tunnus]],'1.2 Ohjaus-laskentataulu'!A:AT,COLUMN('1.2 Ohjaus-laskentataulu'!AR:AR),FALSE),0)</f>
        <v>6.0720070845372781E-3</v>
      </c>
      <c r="K60" s="46">
        <f>IFERROR(VLOOKUP(Vertailu[[#This Row],[Y-tunnus]],'1.2 Ohjaus-laskentataulu'!A:AT,COLUMN('1.2 Ohjaus-laskentataulu'!X:X),FALSE)/VLOOKUP(Vertailu[[#This Row],[Y-tunnus]],'1.2 Ohjaus-laskentataulu'!A:AT,COLUMN('1.2 Ohjaus-laskentataulu'!AR:AR),FALSE),0)</f>
        <v>2.5142912764757601E-2</v>
      </c>
      <c r="L60" s="21">
        <f>IFERROR(VLOOKUP(Vertailu[[#This Row],[Y-tunnus]],'3.2 Suoritepäätös 2019'!$A:$S,COLUMN('3.2 Suoritepäätös 2019'!Q:Q),FALSE)-VLOOKUP(Vertailu[[#This Row],[Y-tunnus]],'3.2 Suoritepäätös 2019'!$A:$S,COLUMN('3.2 Suoritepäätös 2019'!L:L),FALSE),0)</f>
        <v>1648635</v>
      </c>
      <c r="M60" s="21">
        <f>IFERROR(VLOOKUP(Vertailu[[#This Row],[Y-tunnus]],'1.2 Ohjaus-laskentataulu'!A:AT,COLUMN('1.2 Ohjaus-laskentataulu'!Z:Z),FALSE),0)</f>
        <v>1890314</v>
      </c>
      <c r="N60" s="21">
        <f>IFERROR(Vertailu[[#This Row],[Rahoitus pl. hark. kor. 2020 ilman alv, €]]-Vertailu[[#This Row],[Rahoitus pl. hark. kor. 2019 ilman alv, €]],0)</f>
        <v>241679</v>
      </c>
      <c r="O60" s="46">
        <f>IFERROR(Vertailu[[#This Row],[Muutos, € 1]]/Vertailu[[#This Row],[Rahoitus pl. hark. kor. 2019 ilman alv, €]],0)</f>
        <v>0.14659339392891696</v>
      </c>
      <c r="P60" s="217">
        <f>IFERROR(VLOOKUP(Vertailu[[#This Row],[Y-tunnus]],'3.2 Suoritepäätös 2019'!$A:$S,COLUMN('3.2 Suoritepäätös 2019'!Q:Q),FALSE),0)</f>
        <v>1648635</v>
      </c>
      <c r="Q60" s="243">
        <f>IFERROR(VLOOKUP(Vertailu[[#This Row],[Y-tunnus]],'1.2 Ohjaus-laskentataulu'!A:AT,COLUMN('1.2 Ohjaus-laskentataulu'!AR:AR),FALSE),0)</f>
        <v>1890314</v>
      </c>
      <c r="R60" s="21">
        <f>IFERROR(Vertailu[[#This Row],[Rahoitus ml. hark. kor. 
2020 ilman alv, €]]-Vertailu[[#This Row],[Rahoitus ml. hark. kor. 
2019 ilman alv, €]],0)</f>
        <v>241679</v>
      </c>
      <c r="S60" s="19">
        <f>IFERROR(Vertailu[[#This Row],[Muutos, € 2]]/Vertailu[[#This Row],[Rahoitus ml. hark. kor. 
2019 ilman alv, €]],0)</f>
        <v>0.14659339392891696</v>
      </c>
      <c r="T60" s="243">
        <f>IFERROR(VLOOKUP(Vertailu[[#This Row],[Y-tunnus]],'3.2 Suoritepäätös 2019'!$A:$S,COLUMN('3.2 Suoritepäätös 2019'!Q:Q),FALSE)+VLOOKUP(Vertailu[[#This Row],[Y-tunnus]],'3.2 Suoritepäätös 2019'!$A:$S,COLUMN('3.2 Suoritepäätös 2019'!R:R),FALSE),0)</f>
        <v>1735502</v>
      </c>
      <c r="U60" s="217">
        <f>IFERROR(VLOOKUP(Vertailu[[#This Row],[Y-tunnus]],'1.2 Ohjaus-laskentataulu'!A:AT,COLUMN('1.2 Ohjaus-laskentataulu'!AT:AT),FALSE),0)</f>
        <v>1905284</v>
      </c>
      <c r="V60" s="249">
        <f>IFERROR(Vertailu[[#This Row],[Rahoitus ml. hark. kor. + alv 2020, €]]-Vertailu[[#This Row],[Rahoitus ml. hark. kor. + alv 2019, €]],0)</f>
        <v>169782</v>
      </c>
      <c r="W60" s="46">
        <f>IFERROR(Vertailu[[#This Row],[Muutos, € 3]]/Vertailu[[#This Row],[Rahoitus ml. hark. kor. + alv 2019, €]],0)</f>
        <v>9.7828755023042321E-2</v>
      </c>
    </row>
    <row r="61" spans="1:23" ht="12.75" customHeight="1" x14ac:dyDescent="0.25">
      <c r="A61" s="12" t="s">
        <v>357</v>
      </c>
      <c r="B61" s="297" t="s">
        <v>72</v>
      </c>
      <c r="C61" s="297" t="s">
        <v>317</v>
      </c>
      <c r="D61" s="297" t="s">
        <v>423</v>
      </c>
      <c r="E61" s="22">
        <f>IFERROR(VLOOKUP(Vertailu[[#This Row],[Y-tunnus]],'1.2 Ohjaus-laskentataulu'!A:AT,COLUMN('1.2 Ohjaus-laskentataulu'!L:L),FALSE)/VLOOKUP(Vertailu[[#This Row],[Y-tunnus]],'1.2 Ohjaus-laskentataulu'!A:AT,COLUMN('1.2 Ohjaus-laskentataulu'!AR:AR),FALSE),0)</f>
        <v>0.61965020860387365</v>
      </c>
      <c r="F61" s="46">
        <f>IFERROR(VLOOKUP(Vertailu[[#This Row],[Y-tunnus]],'1.2 Ohjaus-laskentataulu'!A:AT,COLUMN('1.2 Ohjaus-laskentataulu'!AO:AO),FALSE)/VLOOKUP(Vertailu[[#This Row],[Y-tunnus]],'1.2 Ohjaus-laskentataulu'!A:AT,COLUMN('1.2 Ohjaus-laskentataulu'!AR:AR),FALSE),0)</f>
        <v>0.61965020860387365</v>
      </c>
      <c r="G61" s="299">
        <f>IFERROR(VLOOKUP(Vertailu[[#This Row],[Y-tunnus]],'1.2 Ohjaus-laskentataulu'!A:AT,COLUMN('1.2 Ohjaus-laskentataulu'!AP:AP),FALSE)/VLOOKUP(Vertailu[[#This Row],[Y-tunnus]],'1.2 Ohjaus-laskentataulu'!A:AT,COLUMN('1.2 Ohjaus-laskentataulu'!AR:AR),FALSE),0)</f>
        <v>0.17710607023457575</v>
      </c>
      <c r="H61" s="22">
        <f>IFERROR(VLOOKUP(Vertailu[[#This Row],[Y-tunnus]],'1.2 Ohjaus-laskentataulu'!A:AT,COLUMN('1.2 Ohjaus-laskentataulu'!AQ:AQ),FALSE)/VLOOKUP(Vertailu[[#This Row],[Y-tunnus]],'1.2 Ohjaus-laskentataulu'!A:AT,COLUMN('1.2 Ohjaus-laskentataulu'!AR:AR),FALSE),0)</f>
        <v>0.20324372116155057</v>
      </c>
      <c r="I61" s="19">
        <f>IFERROR(VLOOKUP(Vertailu[[#This Row],[Y-tunnus]],'1.2 Ohjaus-laskentataulu'!A:AT,COLUMN('1.2 Ohjaus-laskentataulu'!R:R),FALSE)/VLOOKUP(Vertailu[[#This Row],[Y-tunnus]],'1.2 Ohjaus-laskentataulu'!A:AT,COLUMN('1.2 Ohjaus-laskentataulu'!AR:AR),FALSE),0)</f>
        <v>0.12961760561434532</v>
      </c>
      <c r="J61" s="19">
        <f>IFERROR(VLOOKUP(Vertailu[[#This Row],[Y-tunnus]],'1.2 Ohjaus-laskentataulu'!A:AT,COLUMN('1.2 Ohjaus-laskentataulu'!U:U),FALSE)/VLOOKUP(Vertailu[[#This Row],[Y-tunnus]],'1.2 Ohjaus-laskentataulu'!A:AT,COLUMN('1.2 Ohjaus-laskentataulu'!AR:AR),FALSE),0)</f>
        <v>1.1811676290995497E-2</v>
      </c>
      <c r="K61" s="46">
        <f>IFERROR(VLOOKUP(Vertailu[[#This Row],[Y-tunnus]],'1.2 Ohjaus-laskentataulu'!A:AT,COLUMN('1.2 Ohjaus-laskentataulu'!X:X),FALSE)/VLOOKUP(Vertailu[[#This Row],[Y-tunnus]],'1.2 Ohjaus-laskentataulu'!A:AT,COLUMN('1.2 Ohjaus-laskentataulu'!AR:AR),FALSE),0)</f>
        <v>6.1814439256209767E-2</v>
      </c>
      <c r="L61" s="21">
        <f>IFERROR(VLOOKUP(Vertailu[[#This Row],[Y-tunnus]],'3.2 Suoritepäätös 2019'!$A:$S,COLUMN('3.2 Suoritepäätös 2019'!Q:Q),FALSE)-VLOOKUP(Vertailu[[#This Row],[Y-tunnus]],'3.2 Suoritepäätös 2019'!$A:$S,COLUMN('3.2 Suoritepäätös 2019'!L:L),FALSE),0)</f>
        <v>144282</v>
      </c>
      <c r="M61" s="21">
        <f>IFERROR(VLOOKUP(Vertailu[[#This Row],[Y-tunnus]],'1.2 Ohjaus-laskentataulu'!A:AT,COLUMN('1.2 Ohjaus-laskentataulu'!Z:Z),FALSE),0)</f>
        <v>144772</v>
      </c>
      <c r="N61" s="21">
        <f>IFERROR(Vertailu[[#This Row],[Rahoitus pl. hark. kor. 2020 ilman alv, €]]-Vertailu[[#This Row],[Rahoitus pl. hark. kor. 2019 ilman alv, €]],0)</f>
        <v>490</v>
      </c>
      <c r="O61" s="46">
        <f>IFERROR(Vertailu[[#This Row],[Muutos, € 1]]/Vertailu[[#This Row],[Rahoitus pl. hark. kor. 2019 ilman alv, €]],0)</f>
        <v>3.3961270290126279E-3</v>
      </c>
      <c r="P61" s="217">
        <f>IFERROR(VLOOKUP(Vertailu[[#This Row],[Y-tunnus]],'3.2 Suoritepäätös 2019'!$A:$S,COLUMN('3.2 Suoritepäätös 2019'!Q:Q),FALSE),0)</f>
        <v>144282</v>
      </c>
      <c r="Q61" s="243">
        <f>IFERROR(VLOOKUP(Vertailu[[#This Row],[Y-tunnus]],'1.2 Ohjaus-laskentataulu'!A:AT,COLUMN('1.2 Ohjaus-laskentataulu'!AR:AR),FALSE),0)</f>
        <v>144772</v>
      </c>
      <c r="R61" s="21">
        <f>IFERROR(Vertailu[[#This Row],[Rahoitus ml. hark. kor. 
2020 ilman alv, €]]-Vertailu[[#This Row],[Rahoitus ml. hark. kor. 
2019 ilman alv, €]],0)</f>
        <v>490</v>
      </c>
      <c r="S61" s="19">
        <f>IFERROR(Vertailu[[#This Row],[Muutos, € 2]]/Vertailu[[#This Row],[Rahoitus ml. hark. kor. 
2019 ilman alv, €]],0)</f>
        <v>3.3961270290126279E-3</v>
      </c>
      <c r="T61" s="243">
        <f>IFERROR(VLOOKUP(Vertailu[[#This Row],[Y-tunnus]],'3.2 Suoritepäätös 2019'!$A:$S,COLUMN('3.2 Suoritepäätös 2019'!Q:Q),FALSE)+VLOOKUP(Vertailu[[#This Row],[Y-tunnus]],'3.2 Suoritepäätös 2019'!$A:$S,COLUMN('3.2 Suoritepäätös 2019'!R:R),FALSE),0)</f>
        <v>151967</v>
      </c>
      <c r="U61" s="217">
        <f>IFERROR(VLOOKUP(Vertailu[[#This Row],[Y-tunnus]],'1.2 Ohjaus-laskentataulu'!A:AT,COLUMN('1.2 Ohjaus-laskentataulu'!AT:AT),FALSE),0)</f>
        <v>151680</v>
      </c>
      <c r="V61" s="249">
        <f>IFERROR(Vertailu[[#This Row],[Rahoitus ml. hark. kor. + alv 2020, €]]-Vertailu[[#This Row],[Rahoitus ml. hark. kor. + alv 2019, €]],0)</f>
        <v>-287</v>
      </c>
      <c r="W61" s="46">
        <f>IFERROR(Vertailu[[#This Row],[Muutos, € 3]]/Vertailu[[#This Row],[Rahoitus ml. hark. kor. + alv 2019, €]],0)</f>
        <v>-1.8885679127705357E-3</v>
      </c>
    </row>
    <row r="62" spans="1:23" ht="12.75" customHeight="1" x14ac:dyDescent="0.25">
      <c r="A62" s="12" t="s">
        <v>356</v>
      </c>
      <c r="B62" s="297" t="s">
        <v>154</v>
      </c>
      <c r="C62" s="297" t="s">
        <v>238</v>
      </c>
      <c r="D62" s="297" t="s">
        <v>423</v>
      </c>
      <c r="E62" s="22">
        <f>IFERROR(VLOOKUP(Vertailu[[#This Row],[Y-tunnus]],'1.2 Ohjaus-laskentataulu'!A:AT,COLUMN('1.2 Ohjaus-laskentataulu'!L:L),FALSE)/VLOOKUP(Vertailu[[#This Row],[Y-tunnus]],'1.2 Ohjaus-laskentataulu'!A:AT,COLUMN('1.2 Ohjaus-laskentataulu'!AR:AR),FALSE),0)</f>
        <v>0.62868001389089401</v>
      </c>
      <c r="F62" s="46">
        <f>IFERROR(VLOOKUP(Vertailu[[#This Row],[Y-tunnus]],'1.2 Ohjaus-laskentataulu'!A:AT,COLUMN('1.2 Ohjaus-laskentataulu'!AO:AO),FALSE)/VLOOKUP(Vertailu[[#This Row],[Y-tunnus]],'1.2 Ohjaus-laskentataulu'!A:AT,COLUMN('1.2 Ohjaus-laskentataulu'!AR:AR),FALSE),0)</f>
        <v>0.62868001389089401</v>
      </c>
      <c r="G62" s="299">
        <f>IFERROR(VLOOKUP(Vertailu[[#This Row],[Y-tunnus]],'1.2 Ohjaus-laskentataulu'!A:AT,COLUMN('1.2 Ohjaus-laskentataulu'!AP:AP),FALSE)/VLOOKUP(Vertailu[[#This Row],[Y-tunnus]],'1.2 Ohjaus-laskentataulu'!A:AT,COLUMN('1.2 Ohjaus-laskentataulu'!AR:AR),FALSE),0)</f>
        <v>0.16850903103210124</v>
      </c>
      <c r="H62" s="22">
        <f>IFERROR(VLOOKUP(Vertailu[[#This Row],[Y-tunnus]],'1.2 Ohjaus-laskentataulu'!A:AT,COLUMN('1.2 Ohjaus-laskentataulu'!AQ:AQ),FALSE)/VLOOKUP(Vertailu[[#This Row],[Y-tunnus]],'1.2 Ohjaus-laskentataulu'!A:AT,COLUMN('1.2 Ohjaus-laskentataulu'!AR:AR),FALSE),0)</f>
        <v>0.20281095507700472</v>
      </c>
      <c r="I62" s="19">
        <f>IFERROR(VLOOKUP(Vertailu[[#This Row],[Y-tunnus]],'1.2 Ohjaus-laskentataulu'!A:AT,COLUMN('1.2 Ohjaus-laskentataulu'!R:R),FALSE)/VLOOKUP(Vertailu[[#This Row],[Y-tunnus]],'1.2 Ohjaus-laskentataulu'!A:AT,COLUMN('1.2 Ohjaus-laskentataulu'!AR:AR),FALSE),0)</f>
        <v>0.12785085237803523</v>
      </c>
      <c r="J62" s="19">
        <f>IFERROR(VLOOKUP(Vertailu[[#This Row],[Y-tunnus]],'1.2 Ohjaus-laskentataulu'!A:AT,COLUMN('1.2 Ohjaus-laskentataulu'!U:U),FALSE)/VLOOKUP(Vertailu[[#This Row],[Y-tunnus]],'1.2 Ohjaus-laskentataulu'!A:AT,COLUMN('1.2 Ohjaus-laskentataulu'!AR:AR),FALSE),0)</f>
        <v>1.0749835143181561E-2</v>
      </c>
      <c r="K62" s="46">
        <f>IFERROR(VLOOKUP(Vertailu[[#This Row],[Y-tunnus]],'1.2 Ohjaus-laskentataulu'!A:AT,COLUMN('1.2 Ohjaus-laskentataulu'!X:X),FALSE)/VLOOKUP(Vertailu[[#This Row],[Y-tunnus]],'1.2 Ohjaus-laskentataulu'!A:AT,COLUMN('1.2 Ohjaus-laskentataulu'!AR:AR),FALSE),0)</f>
        <v>6.4210267555787931E-2</v>
      </c>
      <c r="L62" s="21">
        <f>IFERROR(VLOOKUP(Vertailu[[#This Row],[Y-tunnus]],'3.2 Suoritepäätös 2019'!$A:$S,COLUMN('3.2 Suoritepäätös 2019'!Q:Q),FALSE)-VLOOKUP(Vertailu[[#This Row],[Y-tunnus]],'3.2 Suoritepäätös 2019'!$A:$S,COLUMN('3.2 Suoritepäätös 2019'!L:L),FALSE),0)</f>
        <v>120201</v>
      </c>
      <c r="M62" s="21">
        <f>IFERROR(VLOOKUP(Vertailu[[#This Row],[Y-tunnus]],'1.2 Ohjaus-laskentataulu'!A:AT,COLUMN('1.2 Ohjaus-laskentataulu'!Z:Z),FALSE),0)</f>
        <v>256283</v>
      </c>
      <c r="N62" s="21">
        <f>IFERROR(Vertailu[[#This Row],[Rahoitus pl. hark. kor. 2020 ilman alv, €]]-Vertailu[[#This Row],[Rahoitus pl. hark. kor. 2019 ilman alv, €]],0)</f>
        <v>136082</v>
      </c>
      <c r="O62" s="46">
        <f>IFERROR(Vertailu[[#This Row],[Muutos, € 1]]/Vertailu[[#This Row],[Rahoitus pl. hark. kor. 2019 ilman alv, €]],0)</f>
        <v>1.1321203650551992</v>
      </c>
      <c r="P62" s="217">
        <f>IFERROR(VLOOKUP(Vertailu[[#This Row],[Y-tunnus]],'3.2 Suoritepäätös 2019'!$A:$S,COLUMN('3.2 Suoritepäätös 2019'!Q:Q),FALSE),0)</f>
        <v>335201</v>
      </c>
      <c r="Q62" s="243">
        <f>IFERROR(VLOOKUP(Vertailu[[#This Row],[Y-tunnus]],'1.2 Ohjaus-laskentataulu'!A:AT,COLUMN('1.2 Ohjaus-laskentataulu'!AR:AR),FALSE),0)</f>
        <v>256283</v>
      </c>
      <c r="R62" s="21">
        <f>IFERROR(Vertailu[[#This Row],[Rahoitus ml. hark. kor. 
2020 ilman alv, €]]-Vertailu[[#This Row],[Rahoitus ml. hark. kor. 
2019 ilman alv, €]],0)</f>
        <v>-78918</v>
      </c>
      <c r="S62" s="19">
        <f>IFERROR(Vertailu[[#This Row],[Muutos, € 2]]/Vertailu[[#This Row],[Rahoitus ml. hark. kor. 
2019 ilman alv, €]],0)</f>
        <v>-0.23543485848789233</v>
      </c>
      <c r="T62" s="243">
        <f>IFERROR(VLOOKUP(Vertailu[[#This Row],[Y-tunnus]],'3.2 Suoritepäätös 2019'!$A:$S,COLUMN('3.2 Suoritepäätös 2019'!Q:Q),FALSE)+VLOOKUP(Vertailu[[#This Row],[Y-tunnus]],'3.2 Suoritepäätös 2019'!$A:$S,COLUMN('3.2 Suoritepäätös 2019'!R:R),FALSE),0)</f>
        <v>353726</v>
      </c>
      <c r="U62" s="217">
        <f>IFERROR(VLOOKUP(Vertailu[[#This Row],[Y-tunnus]],'1.2 Ohjaus-laskentataulu'!A:AT,COLUMN('1.2 Ohjaus-laskentataulu'!AT:AT),FALSE),0)</f>
        <v>282870</v>
      </c>
      <c r="V62" s="249">
        <f>IFERROR(Vertailu[[#This Row],[Rahoitus ml. hark. kor. + alv 2020, €]]-Vertailu[[#This Row],[Rahoitus ml. hark. kor. + alv 2019, €]],0)</f>
        <v>-70856</v>
      </c>
      <c r="W62" s="46">
        <f>IFERROR(Vertailu[[#This Row],[Muutos, € 3]]/Vertailu[[#This Row],[Rahoitus ml. hark. kor. + alv 2019, €]],0)</f>
        <v>-0.2003132367991044</v>
      </c>
    </row>
    <row r="63" spans="1:23" ht="12.75" customHeight="1" x14ac:dyDescent="0.25">
      <c r="A63" s="12" t="s">
        <v>355</v>
      </c>
      <c r="B63" s="297" t="s">
        <v>171</v>
      </c>
      <c r="C63" s="297" t="s">
        <v>238</v>
      </c>
      <c r="D63" s="297" t="s">
        <v>423</v>
      </c>
      <c r="E63" s="22">
        <f>IFERROR(VLOOKUP(Vertailu[[#This Row],[Y-tunnus]],'1.2 Ohjaus-laskentataulu'!A:AT,COLUMN('1.2 Ohjaus-laskentataulu'!L:L),FALSE)/VLOOKUP(Vertailu[[#This Row],[Y-tunnus]],'1.2 Ohjaus-laskentataulu'!A:AT,COLUMN('1.2 Ohjaus-laskentataulu'!AR:AR),FALSE),0)</f>
        <v>0</v>
      </c>
      <c r="F63" s="46">
        <f>IFERROR(VLOOKUP(Vertailu[[#This Row],[Y-tunnus]],'1.2 Ohjaus-laskentataulu'!A:AT,COLUMN('1.2 Ohjaus-laskentataulu'!AO:AO),FALSE)/VLOOKUP(Vertailu[[#This Row],[Y-tunnus]],'1.2 Ohjaus-laskentataulu'!A:AT,COLUMN('1.2 Ohjaus-laskentataulu'!AR:AR),FALSE),0)</f>
        <v>0</v>
      </c>
      <c r="G63" s="299">
        <f>IFERROR(VLOOKUP(Vertailu[[#This Row],[Y-tunnus]],'1.2 Ohjaus-laskentataulu'!A:AT,COLUMN('1.2 Ohjaus-laskentataulu'!AP:AP),FALSE)/VLOOKUP(Vertailu[[#This Row],[Y-tunnus]],'1.2 Ohjaus-laskentataulu'!A:AT,COLUMN('1.2 Ohjaus-laskentataulu'!AR:AR),FALSE),0)</f>
        <v>0</v>
      </c>
      <c r="H63" s="22">
        <f>IFERROR(VLOOKUP(Vertailu[[#This Row],[Y-tunnus]],'1.2 Ohjaus-laskentataulu'!A:AT,COLUMN('1.2 Ohjaus-laskentataulu'!AQ:AQ),FALSE)/VLOOKUP(Vertailu[[#This Row],[Y-tunnus]],'1.2 Ohjaus-laskentataulu'!A:AT,COLUMN('1.2 Ohjaus-laskentataulu'!AR:AR),FALSE),0)</f>
        <v>0</v>
      </c>
      <c r="I63" s="19">
        <f>IFERROR(VLOOKUP(Vertailu[[#This Row],[Y-tunnus]],'1.2 Ohjaus-laskentataulu'!A:AT,COLUMN('1.2 Ohjaus-laskentataulu'!R:R),FALSE)/VLOOKUP(Vertailu[[#This Row],[Y-tunnus]],'1.2 Ohjaus-laskentataulu'!A:AT,COLUMN('1.2 Ohjaus-laskentataulu'!AR:AR),FALSE),0)</f>
        <v>0</v>
      </c>
      <c r="J63" s="19">
        <f>IFERROR(VLOOKUP(Vertailu[[#This Row],[Y-tunnus]],'1.2 Ohjaus-laskentataulu'!A:AT,COLUMN('1.2 Ohjaus-laskentataulu'!U:U),FALSE)/VLOOKUP(Vertailu[[#This Row],[Y-tunnus]],'1.2 Ohjaus-laskentataulu'!A:AT,COLUMN('1.2 Ohjaus-laskentataulu'!AR:AR),FALSE),0)</f>
        <v>0</v>
      </c>
      <c r="K63" s="46">
        <f>IFERROR(VLOOKUP(Vertailu[[#This Row],[Y-tunnus]],'1.2 Ohjaus-laskentataulu'!A:AT,COLUMN('1.2 Ohjaus-laskentataulu'!X:X),FALSE)/VLOOKUP(Vertailu[[#This Row],[Y-tunnus]],'1.2 Ohjaus-laskentataulu'!A:AT,COLUMN('1.2 Ohjaus-laskentataulu'!AR:AR),FALSE),0)</f>
        <v>0</v>
      </c>
      <c r="L63" s="21">
        <f>IFERROR(VLOOKUP(Vertailu[[#This Row],[Y-tunnus]],'3.2 Suoritepäätös 2019'!$A:$S,COLUMN('3.2 Suoritepäätös 2019'!Q:Q),FALSE)-VLOOKUP(Vertailu[[#This Row],[Y-tunnus]],'3.2 Suoritepäätös 2019'!$A:$S,COLUMN('3.2 Suoritepäätös 2019'!L:L),FALSE),0)</f>
        <v>51505</v>
      </c>
      <c r="M63" s="21">
        <f>IFERROR(VLOOKUP(Vertailu[[#This Row],[Y-tunnus]],'1.2 Ohjaus-laskentataulu'!A:AT,COLUMN('1.2 Ohjaus-laskentataulu'!Z:Z),FALSE),0)</f>
        <v>0</v>
      </c>
      <c r="N63" s="21">
        <f>IFERROR(Vertailu[[#This Row],[Rahoitus pl. hark. kor. 2020 ilman alv, €]]-Vertailu[[#This Row],[Rahoitus pl. hark. kor. 2019 ilman alv, €]],0)</f>
        <v>-51505</v>
      </c>
      <c r="O63" s="46">
        <f>IFERROR(Vertailu[[#This Row],[Muutos, € 1]]/Vertailu[[#This Row],[Rahoitus pl. hark. kor. 2019 ilman alv, €]],0)</f>
        <v>-1</v>
      </c>
      <c r="P63" s="217">
        <f>IFERROR(VLOOKUP(Vertailu[[#This Row],[Y-tunnus]],'3.2 Suoritepäätös 2019'!$A:$S,COLUMN('3.2 Suoritepäätös 2019'!Q:Q),FALSE),0)</f>
        <v>89005</v>
      </c>
      <c r="Q63" s="243">
        <f>IFERROR(VLOOKUP(Vertailu[[#This Row],[Y-tunnus]],'1.2 Ohjaus-laskentataulu'!A:AT,COLUMN('1.2 Ohjaus-laskentataulu'!AR:AR),FALSE),0)</f>
        <v>0</v>
      </c>
      <c r="R63" s="21">
        <f>IFERROR(Vertailu[[#This Row],[Rahoitus ml. hark. kor. 
2020 ilman alv, €]]-Vertailu[[#This Row],[Rahoitus ml. hark. kor. 
2019 ilman alv, €]],0)</f>
        <v>-89005</v>
      </c>
      <c r="S63" s="19">
        <f>IFERROR(Vertailu[[#This Row],[Muutos, € 2]]/Vertailu[[#This Row],[Rahoitus ml. hark. kor. 
2019 ilman alv, €]],0)</f>
        <v>-1</v>
      </c>
      <c r="T63" s="243">
        <f>IFERROR(VLOOKUP(Vertailu[[#This Row],[Y-tunnus]],'3.2 Suoritepäätös 2019'!$A:$S,COLUMN('3.2 Suoritepäätös 2019'!Q:Q),FALSE)+VLOOKUP(Vertailu[[#This Row],[Y-tunnus]],'3.2 Suoritepäätös 2019'!$A:$S,COLUMN('3.2 Suoritepäätös 2019'!R:R),FALSE),0)</f>
        <v>93985</v>
      </c>
      <c r="U63" s="217">
        <f>IFERROR(VLOOKUP(Vertailu[[#This Row],[Y-tunnus]],'1.2 Ohjaus-laskentataulu'!A:AT,COLUMN('1.2 Ohjaus-laskentataulu'!AT:AT),FALSE),0)</f>
        <v>42648</v>
      </c>
      <c r="V63" s="249">
        <f>IFERROR(Vertailu[[#This Row],[Rahoitus ml. hark. kor. + alv 2020, €]]-Vertailu[[#This Row],[Rahoitus ml. hark. kor. + alv 2019, €]],0)</f>
        <v>-51337</v>
      </c>
      <c r="W63" s="46">
        <f>IFERROR(Vertailu[[#This Row],[Muutos, € 3]]/Vertailu[[#This Row],[Rahoitus ml. hark. kor. + alv 2019, €]],0)</f>
        <v>-0.54622546150981544</v>
      </c>
    </row>
    <row r="64" spans="1:23" ht="12.75" customHeight="1" x14ac:dyDescent="0.25">
      <c r="A64" s="12" t="s">
        <v>354</v>
      </c>
      <c r="B64" s="297" t="s">
        <v>73</v>
      </c>
      <c r="C64" s="297" t="s">
        <v>271</v>
      </c>
      <c r="D64" s="297" t="s">
        <v>423</v>
      </c>
      <c r="E64" s="22">
        <f>IFERROR(VLOOKUP(Vertailu[[#This Row],[Y-tunnus]],'1.2 Ohjaus-laskentataulu'!A:AT,COLUMN('1.2 Ohjaus-laskentataulu'!L:L),FALSE)/VLOOKUP(Vertailu[[#This Row],[Y-tunnus]],'1.2 Ohjaus-laskentataulu'!A:AT,COLUMN('1.2 Ohjaus-laskentataulu'!AR:AR),FALSE),0)</f>
        <v>0.65271479034585234</v>
      </c>
      <c r="F64" s="46">
        <f>IFERROR(VLOOKUP(Vertailu[[#This Row],[Y-tunnus]],'1.2 Ohjaus-laskentataulu'!A:AT,COLUMN('1.2 Ohjaus-laskentataulu'!AO:AO),FALSE)/VLOOKUP(Vertailu[[#This Row],[Y-tunnus]],'1.2 Ohjaus-laskentataulu'!A:AT,COLUMN('1.2 Ohjaus-laskentataulu'!AR:AR),FALSE),0)</f>
        <v>0.65271479034585234</v>
      </c>
      <c r="G64" s="299">
        <f>IFERROR(VLOOKUP(Vertailu[[#This Row],[Y-tunnus]],'1.2 Ohjaus-laskentataulu'!A:AT,COLUMN('1.2 Ohjaus-laskentataulu'!AP:AP),FALSE)/VLOOKUP(Vertailu[[#This Row],[Y-tunnus]],'1.2 Ohjaus-laskentataulu'!A:AT,COLUMN('1.2 Ohjaus-laskentataulu'!AR:AR),FALSE),0)</f>
        <v>0.23162273784182413</v>
      </c>
      <c r="H64" s="22">
        <f>IFERROR(VLOOKUP(Vertailu[[#This Row],[Y-tunnus]],'1.2 Ohjaus-laskentataulu'!A:AT,COLUMN('1.2 Ohjaus-laskentataulu'!AQ:AQ),FALSE)/VLOOKUP(Vertailu[[#This Row],[Y-tunnus]],'1.2 Ohjaus-laskentataulu'!A:AT,COLUMN('1.2 Ohjaus-laskentataulu'!AR:AR),FALSE),0)</f>
        <v>0.11566247181232346</v>
      </c>
      <c r="I64" s="19">
        <f>IFERROR(VLOOKUP(Vertailu[[#This Row],[Y-tunnus]],'1.2 Ohjaus-laskentataulu'!A:AT,COLUMN('1.2 Ohjaus-laskentataulu'!R:R),FALSE)/VLOOKUP(Vertailu[[#This Row],[Y-tunnus]],'1.2 Ohjaus-laskentataulu'!A:AT,COLUMN('1.2 Ohjaus-laskentataulu'!AR:AR),FALSE),0)</f>
        <v>9.1872022684499566E-2</v>
      </c>
      <c r="J64" s="19">
        <f>IFERROR(VLOOKUP(Vertailu[[#This Row],[Y-tunnus]],'1.2 Ohjaus-laskentataulu'!A:AT,COLUMN('1.2 Ohjaus-laskentataulu'!U:U),FALSE)/VLOOKUP(Vertailu[[#This Row],[Y-tunnus]],'1.2 Ohjaus-laskentataulu'!A:AT,COLUMN('1.2 Ohjaus-laskentataulu'!AR:AR),FALSE),0)</f>
        <v>1.1089575898922427E-2</v>
      </c>
      <c r="K64" s="46">
        <f>IFERROR(VLOOKUP(Vertailu[[#This Row],[Y-tunnus]],'1.2 Ohjaus-laskentataulu'!A:AT,COLUMN('1.2 Ohjaus-laskentataulu'!X:X),FALSE)/VLOOKUP(Vertailu[[#This Row],[Y-tunnus]],'1.2 Ohjaus-laskentataulu'!A:AT,COLUMN('1.2 Ohjaus-laskentataulu'!AR:AR),FALSE),0)</f>
        <v>1.2700873228901481E-2</v>
      </c>
      <c r="L64" s="21">
        <f>IFERROR(VLOOKUP(Vertailu[[#This Row],[Y-tunnus]],'3.2 Suoritepäätös 2019'!$A:$S,COLUMN('3.2 Suoritepäätös 2019'!Q:Q),FALSE)-VLOOKUP(Vertailu[[#This Row],[Y-tunnus]],'3.2 Suoritepäätös 2019'!$A:$S,COLUMN('3.2 Suoritepäätös 2019'!L:L),FALSE),0)</f>
        <v>861599</v>
      </c>
      <c r="M64" s="21">
        <f>IFERROR(VLOOKUP(Vertailu[[#This Row],[Y-tunnus]],'1.2 Ohjaus-laskentataulu'!A:AT,COLUMN('1.2 Ohjaus-laskentataulu'!Z:Z),FALSE),0)</f>
        <v>997333</v>
      </c>
      <c r="N64" s="21">
        <f>IFERROR(Vertailu[[#This Row],[Rahoitus pl. hark. kor. 2020 ilman alv, €]]-Vertailu[[#This Row],[Rahoitus pl. hark. kor. 2019 ilman alv, €]],0)</f>
        <v>135734</v>
      </c>
      <c r="O64" s="46">
        <f>IFERROR(Vertailu[[#This Row],[Muutos, € 1]]/Vertailu[[#This Row],[Rahoitus pl. hark. kor. 2019 ilman alv, €]],0)</f>
        <v>0.15753732304703233</v>
      </c>
      <c r="P64" s="217">
        <f>IFERROR(VLOOKUP(Vertailu[[#This Row],[Y-tunnus]],'3.2 Suoritepäätös 2019'!$A:$S,COLUMN('3.2 Suoritepäätös 2019'!Q:Q),FALSE),0)</f>
        <v>861599</v>
      </c>
      <c r="Q64" s="243">
        <f>IFERROR(VLOOKUP(Vertailu[[#This Row],[Y-tunnus]],'1.2 Ohjaus-laskentataulu'!A:AT,COLUMN('1.2 Ohjaus-laskentataulu'!AR:AR),FALSE),0)</f>
        <v>997333</v>
      </c>
      <c r="R64" s="21">
        <f>IFERROR(Vertailu[[#This Row],[Rahoitus ml. hark. kor. 
2020 ilman alv, €]]-Vertailu[[#This Row],[Rahoitus ml. hark. kor. 
2019 ilman alv, €]],0)</f>
        <v>135734</v>
      </c>
      <c r="S64" s="19">
        <f>IFERROR(Vertailu[[#This Row],[Muutos, € 2]]/Vertailu[[#This Row],[Rahoitus ml. hark. kor. 
2019 ilman alv, €]],0)</f>
        <v>0.15753732304703233</v>
      </c>
      <c r="T64" s="243">
        <f>IFERROR(VLOOKUP(Vertailu[[#This Row],[Y-tunnus]],'3.2 Suoritepäätös 2019'!$A:$S,COLUMN('3.2 Suoritepäätös 2019'!Q:Q),FALSE)+VLOOKUP(Vertailu[[#This Row],[Y-tunnus]],'3.2 Suoritepäätös 2019'!$A:$S,COLUMN('3.2 Suoritepäätös 2019'!R:R),FALSE),0)</f>
        <v>907480</v>
      </c>
      <c r="U64" s="217">
        <f>IFERROR(VLOOKUP(Vertailu[[#This Row],[Y-tunnus]],'1.2 Ohjaus-laskentataulu'!A:AT,COLUMN('1.2 Ohjaus-laskentataulu'!AT:AT),FALSE),0)</f>
        <v>1038082</v>
      </c>
      <c r="V64" s="249">
        <f>IFERROR(Vertailu[[#This Row],[Rahoitus ml. hark. kor. + alv 2020, €]]-Vertailu[[#This Row],[Rahoitus ml. hark. kor. + alv 2019, €]],0)</f>
        <v>130602</v>
      </c>
      <c r="W64" s="46">
        <f>IFERROR(Vertailu[[#This Row],[Muutos, € 3]]/Vertailu[[#This Row],[Rahoitus ml. hark. kor. + alv 2019, €]],0)</f>
        <v>0.14391722131617227</v>
      </c>
    </row>
    <row r="65" spans="1:23" ht="12.75" customHeight="1" x14ac:dyDescent="0.25">
      <c r="A65" s="12" t="s">
        <v>353</v>
      </c>
      <c r="B65" s="297" t="s">
        <v>74</v>
      </c>
      <c r="C65" s="297" t="s">
        <v>256</v>
      </c>
      <c r="D65" s="297" t="s">
        <v>422</v>
      </c>
      <c r="E65" s="22">
        <f>IFERROR(VLOOKUP(Vertailu[[#This Row],[Y-tunnus]],'1.2 Ohjaus-laskentataulu'!A:AT,COLUMN('1.2 Ohjaus-laskentataulu'!L:L),FALSE)/VLOOKUP(Vertailu[[#This Row],[Y-tunnus]],'1.2 Ohjaus-laskentataulu'!A:AT,COLUMN('1.2 Ohjaus-laskentataulu'!AR:AR),FALSE),0)</f>
        <v>0.68823009636378352</v>
      </c>
      <c r="F65" s="46">
        <f>IFERROR(VLOOKUP(Vertailu[[#This Row],[Y-tunnus]],'1.2 Ohjaus-laskentataulu'!A:AT,COLUMN('1.2 Ohjaus-laskentataulu'!AO:AO),FALSE)/VLOOKUP(Vertailu[[#This Row],[Y-tunnus]],'1.2 Ohjaus-laskentataulu'!A:AT,COLUMN('1.2 Ohjaus-laskentataulu'!AR:AR),FALSE),0)</f>
        <v>0.69320079968675063</v>
      </c>
      <c r="G65" s="299">
        <f>IFERROR(VLOOKUP(Vertailu[[#This Row],[Y-tunnus]],'1.2 Ohjaus-laskentataulu'!A:AT,COLUMN('1.2 Ohjaus-laskentataulu'!AP:AP),FALSE)/VLOOKUP(Vertailu[[#This Row],[Y-tunnus]],'1.2 Ohjaus-laskentataulu'!A:AT,COLUMN('1.2 Ohjaus-laskentataulu'!AR:AR),FALSE),0)</f>
        <v>0.21677293382018561</v>
      </c>
      <c r="H65" s="22">
        <f>IFERROR(VLOOKUP(Vertailu[[#This Row],[Y-tunnus]],'1.2 Ohjaus-laskentataulu'!A:AT,COLUMN('1.2 Ohjaus-laskentataulu'!AQ:AQ),FALSE)/VLOOKUP(Vertailu[[#This Row],[Y-tunnus]],'1.2 Ohjaus-laskentataulu'!A:AT,COLUMN('1.2 Ohjaus-laskentataulu'!AR:AR),FALSE),0)</f>
        <v>9.0026266493063778E-2</v>
      </c>
      <c r="I65" s="19">
        <f>IFERROR(VLOOKUP(Vertailu[[#This Row],[Y-tunnus]],'1.2 Ohjaus-laskentataulu'!A:AT,COLUMN('1.2 Ohjaus-laskentataulu'!R:R),FALSE)/VLOOKUP(Vertailu[[#This Row],[Y-tunnus]],'1.2 Ohjaus-laskentataulu'!A:AT,COLUMN('1.2 Ohjaus-laskentataulu'!AR:AR),FALSE),0)</f>
        <v>7.6848110737242181E-2</v>
      </c>
      <c r="J65" s="19">
        <f>IFERROR(VLOOKUP(Vertailu[[#This Row],[Y-tunnus]],'1.2 Ohjaus-laskentataulu'!A:AT,COLUMN('1.2 Ohjaus-laskentataulu'!U:U),FALSE)/VLOOKUP(Vertailu[[#This Row],[Y-tunnus]],'1.2 Ohjaus-laskentataulu'!A:AT,COLUMN('1.2 Ohjaus-laskentataulu'!AR:AR),FALSE),0)</f>
        <v>4.3127550970348287E-3</v>
      </c>
      <c r="K65" s="46">
        <f>IFERROR(VLOOKUP(Vertailu[[#This Row],[Y-tunnus]],'1.2 Ohjaus-laskentataulu'!A:AT,COLUMN('1.2 Ohjaus-laskentataulu'!X:X),FALSE)/VLOOKUP(Vertailu[[#This Row],[Y-tunnus]],'1.2 Ohjaus-laskentataulu'!A:AT,COLUMN('1.2 Ohjaus-laskentataulu'!AR:AR),FALSE),0)</f>
        <v>8.865400658786762E-3</v>
      </c>
      <c r="L65" s="21">
        <f>IFERROR(VLOOKUP(Vertailu[[#This Row],[Y-tunnus]],'3.2 Suoritepäätös 2019'!$A:$S,COLUMN('3.2 Suoritepäätös 2019'!Q:Q),FALSE)-VLOOKUP(Vertailu[[#This Row],[Y-tunnus]],'3.2 Suoritepäätös 2019'!$A:$S,COLUMN('3.2 Suoritepäätös 2019'!L:L),FALSE),0)</f>
        <v>24092152</v>
      </c>
      <c r="M65" s="21">
        <f>IFERROR(VLOOKUP(Vertailu[[#This Row],[Y-tunnus]],'1.2 Ohjaus-laskentataulu'!A:AT,COLUMN('1.2 Ohjaus-laskentataulu'!Z:Z),FALSE),0)</f>
        <v>23020559</v>
      </c>
      <c r="N65" s="21">
        <f>IFERROR(Vertailu[[#This Row],[Rahoitus pl. hark. kor. 2020 ilman alv, €]]-Vertailu[[#This Row],[Rahoitus pl. hark. kor. 2019 ilman alv, €]],0)</f>
        <v>-1071593</v>
      </c>
      <c r="O65" s="46">
        <f>IFERROR(Vertailu[[#This Row],[Muutos, € 1]]/Vertailu[[#This Row],[Rahoitus pl. hark. kor. 2019 ilman alv, €]],0)</f>
        <v>-4.4478924091131418E-2</v>
      </c>
      <c r="P65" s="217">
        <f>IFERROR(VLOOKUP(Vertailu[[#This Row],[Y-tunnus]],'3.2 Suoritepäätös 2019'!$A:$S,COLUMN('3.2 Suoritepäätös 2019'!Q:Q),FALSE),0)</f>
        <v>24092152</v>
      </c>
      <c r="Q65" s="243">
        <f>IFERROR(VLOOKUP(Vertailu[[#This Row],[Y-tunnus]],'1.2 Ohjaus-laskentataulu'!A:AT,COLUMN('1.2 Ohjaus-laskentataulu'!AR:AR),FALSE),0)</f>
        <v>23135559</v>
      </c>
      <c r="R65" s="21">
        <f>IFERROR(Vertailu[[#This Row],[Rahoitus ml. hark. kor. 
2020 ilman alv, €]]-Vertailu[[#This Row],[Rahoitus ml. hark. kor. 
2019 ilman alv, €]],0)</f>
        <v>-956593</v>
      </c>
      <c r="S65" s="19">
        <f>IFERROR(Vertailu[[#This Row],[Muutos, € 2]]/Vertailu[[#This Row],[Rahoitus ml. hark. kor. 
2019 ilman alv, €]],0)</f>
        <v>-3.9705585453719536E-2</v>
      </c>
      <c r="T65" s="243">
        <f>IFERROR(VLOOKUP(Vertailu[[#This Row],[Y-tunnus]],'3.2 Suoritepäätös 2019'!$A:$S,COLUMN('3.2 Suoritepäätös 2019'!Q:Q),FALSE)+VLOOKUP(Vertailu[[#This Row],[Y-tunnus]],'3.2 Suoritepäätös 2019'!$A:$S,COLUMN('3.2 Suoritepäätös 2019'!R:R),FALSE),0)</f>
        <v>24092152</v>
      </c>
      <c r="U65" s="217">
        <f>IFERROR(VLOOKUP(Vertailu[[#This Row],[Y-tunnus]],'1.2 Ohjaus-laskentataulu'!A:AT,COLUMN('1.2 Ohjaus-laskentataulu'!AT:AT),FALSE),0)</f>
        <v>23135559</v>
      </c>
      <c r="V65" s="249">
        <f>IFERROR(Vertailu[[#This Row],[Rahoitus ml. hark. kor. + alv 2020, €]]-Vertailu[[#This Row],[Rahoitus ml. hark. kor. + alv 2019, €]],0)</f>
        <v>-956593</v>
      </c>
      <c r="W65" s="46">
        <f>IFERROR(Vertailu[[#This Row],[Muutos, € 3]]/Vertailu[[#This Row],[Rahoitus ml. hark. kor. + alv 2019, €]],0)</f>
        <v>-3.9705585453719536E-2</v>
      </c>
    </row>
    <row r="66" spans="1:23" ht="12.75" customHeight="1" x14ac:dyDescent="0.25">
      <c r="A66" s="12" t="s">
        <v>352</v>
      </c>
      <c r="B66" s="297" t="s">
        <v>75</v>
      </c>
      <c r="C66" s="297" t="s">
        <v>252</v>
      </c>
      <c r="D66" s="297" t="s">
        <v>422</v>
      </c>
      <c r="E66" s="22">
        <f>IFERROR(VLOOKUP(Vertailu[[#This Row],[Y-tunnus]],'1.2 Ohjaus-laskentataulu'!A:AT,COLUMN('1.2 Ohjaus-laskentataulu'!L:L),FALSE)/VLOOKUP(Vertailu[[#This Row],[Y-tunnus]],'1.2 Ohjaus-laskentataulu'!A:AT,COLUMN('1.2 Ohjaus-laskentataulu'!AR:AR),FALSE),0)</f>
        <v>0.67315346592163949</v>
      </c>
      <c r="F66" s="46">
        <f>IFERROR(VLOOKUP(Vertailu[[#This Row],[Y-tunnus]],'1.2 Ohjaus-laskentataulu'!A:AT,COLUMN('1.2 Ohjaus-laskentataulu'!AO:AO),FALSE)/VLOOKUP(Vertailu[[#This Row],[Y-tunnus]],'1.2 Ohjaus-laskentataulu'!A:AT,COLUMN('1.2 Ohjaus-laskentataulu'!AR:AR),FALSE),0)</f>
        <v>0.67351872665287649</v>
      </c>
      <c r="G66" s="299">
        <f>IFERROR(VLOOKUP(Vertailu[[#This Row],[Y-tunnus]],'1.2 Ohjaus-laskentataulu'!A:AT,COLUMN('1.2 Ohjaus-laskentataulu'!AP:AP),FALSE)/VLOOKUP(Vertailu[[#This Row],[Y-tunnus]],'1.2 Ohjaus-laskentataulu'!A:AT,COLUMN('1.2 Ohjaus-laskentataulu'!AR:AR),FALSE),0)</f>
        <v>0.23714279030014332</v>
      </c>
      <c r="H66" s="22">
        <f>IFERROR(VLOOKUP(Vertailu[[#This Row],[Y-tunnus]],'1.2 Ohjaus-laskentataulu'!A:AT,COLUMN('1.2 Ohjaus-laskentataulu'!AQ:AQ),FALSE)/VLOOKUP(Vertailu[[#This Row],[Y-tunnus]],'1.2 Ohjaus-laskentataulu'!A:AT,COLUMN('1.2 Ohjaus-laskentataulu'!AR:AR),FALSE),0)</f>
        <v>8.933848304698018E-2</v>
      </c>
      <c r="I66" s="19">
        <f>IFERROR(VLOOKUP(Vertailu[[#This Row],[Y-tunnus]],'1.2 Ohjaus-laskentataulu'!A:AT,COLUMN('1.2 Ohjaus-laskentataulu'!R:R),FALSE)/VLOOKUP(Vertailu[[#This Row],[Y-tunnus]],'1.2 Ohjaus-laskentataulu'!A:AT,COLUMN('1.2 Ohjaus-laskentataulu'!AR:AR),FALSE),0)</f>
        <v>8.3031854735368879E-2</v>
      </c>
      <c r="J66" s="19">
        <f>IFERROR(VLOOKUP(Vertailu[[#This Row],[Y-tunnus]],'1.2 Ohjaus-laskentataulu'!A:AT,COLUMN('1.2 Ohjaus-laskentataulu'!U:U),FALSE)/VLOOKUP(Vertailu[[#This Row],[Y-tunnus]],'1.2 Ohjaus-laskentataulu'!A:AT,COLUMN('1.2 Ohjaus-laskentataulu'!AR:AR),FALSE),0)</f>
        <v>3.0659255258572E-3</v>
      </c>
      <c r="K66" s="46">
        <f>IFERROR(VLOOKUP(Vertailu[[#This Row],[Y-tunnus]],'1.2 Ohjaus-laskentataulu'!A:AT,COLUMN('1.2 Ohjaus-laskentataulu'!X:X),FALSE)/VLOOKUP(Vertailu[[#This Row],[Y-tunnus]],'1.2 Ohjaus-laskentataulu'!A:AT,COLUMN('1.2 Ohjaus-laskentataulu'!AR:AR),FALSE),0)</f>
        <v>3.2407027857541083E-3</v>
      </c>
      <c r="L66" s="21">
        <f>IFERROR(VLOOKUP(Vertailu[[#This Row],[Y-tunnus]],'3.2 Suoritepäätös 2019'!$A:$S,COLUMN('3.2 Suoritepäätös 2019'!Q:Q),FALSE)-VLOOKUP(Vertailu[[#This Row],[Y-tunnus]],'3.2 Suoritepäätös 2019'!$A:$S,COLUMN('3.2 Suoritepäätös 2019'!L:L),FALSE),0)</f>
        <v>53644296</v>
      </c>
      <c r="M66" s="21">
        <f>IFERROR(VLOOKUP(Vertailu[[#This Row],[Y-tunnus]],'1.2 Ohjaus-laskentataulu'!A:AT,COLUMN('1.2 Ohjaus-laskentataulu'!Z:Z),FALSE),0)</f>
        <v>54735407</v>
      </c>
      <c r="N66" s="21">
        <f>IFERROR(Vertailu[[#This Row],[Rahoitus pl. hark. kor. 2020 ilman alv, €]]-Vertailu[[#This Row],[Rahoitus pl. hark. kor. 2019 ilman alv, €]],0)</f>
        <v>1091111</v>
      </c>
      <c r="O66" s="46">
        <f>IFERROR(Vertailu[[#This Row],[Muutos, € 1]]/Vertailu[[#This Row],[Rahoitus pl. hark. kor. 2019 ilman alv, €]],0)</f>
        <v>2.0339739382543114E-2</v>
      </c>
      <c r="P66" s="217">
        <f>IFERROR(VLOOKUP(Vertailu[[#This Row],[Y-tunnus]],'3.2 Suoritepäätös 2019'!$A:$S,COLUMN('3.2 Suoritepäätös 2019'!Q:Q),FALSE),0)</f>
        <v>53644296</v>
      </c>
      <c r="Q66" s="243">
        <f>IFERROR(VLOOKUP(Vertailu[[#This Row],[Y-tunnus]],'1.2 Ohjaus-laskentataulu'!A:AT,COLUMN('1.2 Ohjaus-laskentataulu'!AR:AR),FALSE),0)</f>
        <v>54755407</v>
      </c>
      <c r="R66" s="21">
        <f>IFERROR(Vertailu[[#This Row],[Rahoitus ml. hark. kor. 
2020 ilman alv, €]]-Vertailu[[#This Row],[Rahoitus ml. hark. kor. 
2019 ilman alv, €]],0)</f>
        <v>1111111</v>
      </c>
      <c r="S66" s="19">
        <f>IFERROR(Vertailu[[#This Row],[Muutos, € 2]]/Vertailu[[#This Row],[Rahoitus ml. hark. kor. 
2019 ilman alv, €]],0)</f>
        <v>2.0712565600637205E-2</v>
      </c>
      <c r="T66" s="243">
        <f>IFERROR(VLOOKUP(Vertailu[[#This Row],[Y-tunnus]],'3.2 Suoritepäätös 2019'!$A:$S,COLUMN('3.2 Suoritepäätös 2019'!Q:Q),FALSE)+VLOOKUP(Vertailu[[#This Row],[Y-tunnus]],'3.2 Suoritepäätös 2019'!$A:$S,COLUMN('3.2 Suoritepäätös 2019'!R:R),FALSE),0)</f>
        <v>53644296</v>
      </c>
      <c r="U66" s="217">
        <f>IFERROR(VLOOKUP(Vertailu[[#This Row],[Y-tunnus]],'1.2 Ohjaus-laskentataulu'!A:AT,COLUMN('1.2 Ohjaus-laskentataulu'!AT:AT),FALSE),0)</f>
        <v>54755407</v>
      </c>
      <c r="V66" s="249">
        <f>IFERROR(Vertailu[[#This Row],[Rahoitus ml. hark. kor. + alv 2020, €]]-Vertailu[[#This Row],[Rahoitus ml. hark. kor. + alv 2019, €]],0)</f>
        <v>1111111</v>
      </c>
      <c r="W66" s="46">
        <f>IFERROR(Vertailu[[#This Row],[Muutos, € 3]]/Vertailu[[#This Row],[Rahoitus ml. hark. kor. + alv 2019, €]],0)</f>
        <v>2.0712565600637205E-2</v>
      </c>
    </row>
    <row r="67" spans="1:23" ht="12.75" customHeight="1" x14ac:dyDescent="0.25">
      <c r="A67" s="12" t="s">
        <v>351</v>
      </c>
      <c r="B67" s="297" t="s">
        <v>76</v>
      </c>
      <c r="C67" s="297" t="s">
        <v>334</v>
      </c>
      <c r="D67" s="297" t="s">
        <v>422</v>
      </c>
      <c r="E67" s="22">
        <f>IFERROR(VLOOKUP(Vertailu[[#This Row],[Y-tunnus]],'1.2 Ohjaus-laskentataulu'!A:AT,COLUMN('1.2 Ohjaus-laskentataulu'!L:L),FALSE)/VLOOKUP(Vertailu[[#This Row],[Y-tunnus]],'1.2 Ohjaus-laskentataulu'!A:AT,COLUMN('1.2 Ohjaus-laskentataulu'!AR:AR),FALSE),0)</f>
        <v>0.65880512577402139</v>
      </c>
      <c r="F67" s="46">
        <f>IFERROR(VLOOKUP(Vertailu[[#This Row],[Y-tunnus]],'1.2 Ohjaus-laskentataulu'!A:AT,COLUMN('1.2 Ohjaus-laskentataulu'!AO:AO),FALSE)/VLOOKUP(Vertailu[[#This Row],[Y-tunnus]],'1.2 Ohjaus-laskentataulu'!A:AT,COLUMN('1.2 Ohjaus-laskentataulu'!AR:AR),FALSE),0)</f>
        <v>0.65880512577402139</v>
      </c>
      <c r="G67" s="299">
        <f>IFERROR(VLOOKUP(Vertailu[[#This Row],[Y-tunnus]],'1.2 Ohjaus-laskentataulu'!A:AT,COLUMN('1.2 Ohjaus-laskentataulu'!AP:AP),FALSE)/VLOOKUP(Vertailu[[#This Row],[Y-tunnus]],'1.2 Ohjaus-laskentataulu'!A:AT,COLUMN('1.2 Ohjaus-laskentataulu'!AR:AR),FALSE),0)</f>
        <v>0.21943455704582052</v>
      </c>
      <c r="H67" s="22">
        <f>IFERROR(VLOOKUP(Vertailu[[#This Row],[Y-tunnus]],'1.2 Ohjaus-laskentataulu'!A:AT,COLUMN('1.2 Ohjaus-laskentataulu'!AQ:AQ),FALSE)/VLOOKUP(Vertailu[[#This Row],[Y-tunnus]],'1.2 Ohjaus-laskentataulu'!A:AT,COLUMN('1.2 Ohjaus-laskentataulu'!AR:AR),FALSE),0)</f>
        <v>0.12176031718015813</v>
      </c>
      <c r="I67" s="19">
        <f>IFERROR(VLOOKUP(Vertailu[[#This Row],[Y-tunnus]],'1.2 Ohjaus-laskentataulu'!A:AT,COLUMN('1.2 Ohjaus-laskentataulu'!R:R),FALSE)/VLOOKUP(Vertailu[[#This Row],[Y-tunnus]],'1.2 Ohjaus-laskentataulu'!A:AT,COLUMN('1.2 Ohjaus-laskentataulu'!AR:AR),FALSE),0)</f>
        <v>9.0336719224818965E-2</v>
      </c>
      <c r="J67" s="19">
        <f>IFERROR(VLOOKUP(Vertailu[[#This Row],[Y-tunnus]],'1.2 Ohjaus-laskentataulu'!A:AT,COLUMN('1.2 Ohjaus-laskentataulu'!U:U),FALSE)/VLOOKUP(Vertailu[[#This Row],[Y-tunnus]],'1.2 Ohjaus-laskentataulu'!A:AT,COLUMN('1.2 Ohjaus-laskentataulu'!AR:AR),FALSE),0)</f>
        <v>7.6711660248463863E-3</v>
      </c>
      <c r="K67" s="46">
        <f>IFERROR(VLOOKUP(Vertailu[[#This Row],[Y-tunnus]],'1.2 Ohjaus-laskentataulu'!A:AT,COLUMN('1.2 Ohjaus-laskentataulu'!X:X),FALSE)/VLOOKUP(Vertailu[[#This Row],[Y-tunnus]],'1.2 Ohjaus-laskentataulu'!A:AT,COLUMN('1.2 Ohjaus-laskentataulu'!AR:AR),FALSE),0)</f>
        <v>2.3752431930492767E-2</v>
      </c>
      <c r="L67" s="21">
        <f>IFERROR(VLOOKUP(Vertailu[[#This Row],[Y-tunnus]],'3.2 Suoritepäätös 2019'!$A:$S,COLUMN('3.2 Suoritepäätös 2019'!Q:Q),FALSE)-VLOOKUP(Vertailu[[#This Row],[Y-tunnus]],'3.2 Suoritepäätös 2019'!$A:$S,COLUMN('3.2 Suoritepäätös 2019'!L:L),FALSE),0)</f>
        <v>19988635</v>
      </c>
      <c r="M67" s="21">
        <f>IFERROR(VLOOKUP(Vertailu[[#This Row],[Y-tunnus]],'1.2 Ohjaus-laskentataulu'!A:AT,COLUMN('1.2 Ohjaus-laskentataulu'!Z:Z),FALSE),0)</f>
        <v>21286073</v>
      </c>
      <c r="N67" s="21">
        <f>IFERROR(Vertailu[[#This Row],[Rahoitus pl. hark. kor. 2020 ilman alv, €]]-Vertailu[[#This Row],[Rahoitus pl. hark. kor. 2019 ilman alv, €]],0)</f>
        <v>1297438</v>
      </c>
      <c r="O67" s="46">
        <f>IFERROR(Vertailu[[#This Row],[Muutos, € 1]]/Vertailu[[#This Row],[Rahoitus pl. hark. kor. 2019 ilman alv, €]],0)</f>
        <v>6.4908784416744816E-2</v>
      </c>
      <c r="P67" s="217">
        <f>IFERROR(VLOOKUP(Vertailu[[#This Row],[Y-tunnus]],'3.2 Suoritepäätös 2019'!$A:$S,COLUMN('3.2 Suoritepäätös 2019'!Q:Q),FALSE),0)</f>
        <v>19988635</v>
      </c>
      <c r="Q67" s="243">
        <f>IFERROR(VLOOKUP(Vertailu[[#This Row],[Y-tunnus]],'1.2 Ohjaus-laskentataulu'!A:AT,COLUMN('1.2 Ohjaus-laskentataulu'!AR:AR),FALSE),0)</f>
        <v>21286073</v>
      </c>
      <c r="R67" s="21">
        <f>IFERROR(Vertailu[[#This Row],[Rahoitus ml. hark. kor. 
2020 ilman alv, €]]-Vertailu[[#This Row],[Rahoitus ml. hark. kor. 
2019 ilman alv, €]],0)</f>
        <v>1297438</v>
      </c>
      <c r="S67" s="19">
        <f>IFERROR(Vertailu[[#This Row],[Muutos, € 2]]/Vertailu[[#This Row],[Rahoitus ml. hark. kor. 
2019 ilman alv, €]],0)</f>
        <v>6.4908784416744816E-2</v>
      </c>
      <c r="T67" s="243">
        <f>IFERROR(VLOOKUP(Vertailu[[#This Row],[Y-tunnus]],'3.2 Suoritepäätös 2019'!$A:$S,COLUMN('3.2 Suoritepäätös 2019'!Q:Q),FALSE)+VLOOKUP(Vertailu[[#This Row],[Y-tunnus]],'3.2 Suoritepäätös 2019'!$A:$S,COLUMN('3.2 Suoritepäätös 2019'!R:R),FALSE),0)</f>
        <v>19988635</v>
      </c>
      <c r="U67" s="217">
        <f>IFERROR(VLOOKUP(Vertailu[[#This Row],[Y-tunnus]],'1.2 Ohjaus-laskentataulu'!A:AT,COLUMN('1.2 Ohjaus-laskentataulu'!AT:AT),FALSE),0)</f>
        <v>21286073</v>
      </c>
      <c r="V67" s="249">
        <f>IFERROR(Vertailu[[#This Row],[Rahoitus ml. hark. kor. + alv 2020, €]]-Vertailu[[#This Row],[Rahoitus ml. hark. kor. + alv 2019, €]],0)</f>
        <v>1297438</v>
      </c>
      <c r="W67" s="46">
        <f>IFERROR(Vertailu[[#This Row],[Muutos, € 3]]/Vertailu[[#This Row],[Rahoitus ml. hark. kor. + alv 2019, €]],0)</f>
        <v>6.4908784416744816E-2</v>
      </c>
    </row>
    <row r="68" spans="1:23" ht="12.75" customHeight="1" x14ac:dyDescent="0.25">
      <c r="A68" s="12" t="s">
        <v>350</v>
      </c>
      <c r="B68" s="297" t="s">
        <v>77</v>
      </c>
      <c r="C68" s="297" t="s">
        <v>256</v>
      </c>
      <c r="D68" s="297" t="s">
        <v>423</v>
      </c>
      <c r="E68" s="22">
        <f>IFERROR(VLOOKUP(Vertailu[[#This Row],[Y-tunnus]],'1.2 Ohjaus-laskentataulu'!A:AT,COLUMN('1.2 Ohjaus-laskentataulu'!L:L),FALSE)/VLOOKUP(Vertailu[[#This Row],[Y-tunnus]],'1.2 Ohjaus-laskentataulu'!A:AT,COLUMN('1.2 Ohjaus-laskentataulu'!AR:AR),FALSE),0)</f>
        <v>0.56519706182506757</v>
      </c>
      <c r="F68" s="46">
        <f>IFERROR(VLOOKUP(Vertailu[[#This Row],[Y-tunnus]],'1.2 Ohjaus-laskentataulu'!A:AT,COLUMN('1.2 Ohjaus-laskentataulu'!AO:AO),FALSE)/VLOOKUP(Vertailu[[#This Row],[Y-tunnus]],'1.2 Ohjaus-laskentataulu'!A:AT,COLUMN('1.2 Ohjaus-laskentataulu'!AR:AR),FALSE),0)</f>
        <v>0.58459863956136915</v>
      </c>
      <c r="G68" s="299">
        <f>IFERROR(VLOOKUP(Vertailu[[#This Row],[Y-tunnus]],'1.2 Ohjaus-laskentataulu'!A:AT,COLUMN('1.2 Ohjaus-laskentataulu'!AP:AP),FALSE)/VLOOKUP(Vertailu[[#This Row],[Y-tunnus]],'1.2 Ohjaus-laskentataulu'!A:AT,COLUMN('1.2 Ohjaus-laskentataulu'!AR:AR),FALSE),0)</f>
        <v>0.24190236350019984</v>
      </c>
      <c r="H68" s="22">
        <f>IFERROR(VLOOKUP(Vertailu[[#This Row],[Y-tunnus]],'1.2 Ohjaus-laskentataulu'!A:AT,COLUMN('1.2 Ohjaus-laskentataulu'!AQ:AQ),FALSE)/VLOOKUP(Vertailu[[#This Row],[Y-tunnus]],'1.2 Ohjaus-laskentataulu'!A:AT,COLUMN('1.2 Ohjaus-laskentataulu'!AR:AR),FALSE),0)</f>
        <v>0.17349899693843104</v>
      </c>
      <c r="I68" s="19">
        <f>IFERROR(VLOOKUP(Vertailu[[#This Row],[Y-tunnus]],'1.2 Ohjaus-laskentataulu'!A:AT,COLUMN('1.2 Ohjaus-laskentataulu'!R:R),FALSE)/VLOOKUP(Vertailu[[#This Row],[Y-tunnus]],'1.2 Ohjaus-laskentataulu'!A:AT,COLUMN('1.2 Ohjaus-laskentataulu'!AR:AR),FALSE),0)</f>
        <v>9.3947871840938099E-2</v>
      </c>
      <c r="J68" s="19">
        <f>IFERROR(VLOOKUP(Vertailu[[#This Row],[Y-tunnus]],'1.2 Ohjaus-laskentataulu'!A:AT,COLUMN('1.2 Ohjaus-laskentataulu'!U:U),FALSE)/VLOOKUP(Vertailu[[#This Row],[Y-tunnus]],'1.2 Ohjaus-laskentataulu'!A:AT,COLUMN('1.2 Ohjaus-laskentataulu'!AR:AR),FALSE),0)</f>
        <v>1.702604855826876E-2</v>
      </c>
      <c r="K68" s="46">
        <f>IFERROR(VLOOKUP(Vertailu[[#This Row],[Y-tunnus]],'1.2 Ohjaus-laskentataulu'!A:AT,COLUMN('1.2 Ohjaus-laskentataulu'!X:X),FALSE)/VLOOKUP(Vertailu[[#This Row],[Y-tunnus]],'1.2 Ohjaus-laskentataulu'!A:AT,COLUMN('1.2 Ohjaus-laskentataulu'!AR:AR),FALSE),0)</f>
        <v>6.2525076539224164E-2</v>
      </c>
      <c r="L68" s="21">
        <f>IFERROR(VLOOKUP(Vertailu[[#This Row],[Y-tunnus]],'3.2 Suoritepäätös 2019'!$A:$S,COLUMN('3.2 Suoritepäätös 2019'!Q:Q),FALSE)-VLOOKUP(Vertailu[[#This Row],[Y-tunnus]],'3.2 Suoritepäätös 2019'!$A:$S,COLUMN('3.2 Suoritepäätös 2019'!L:L),FALSE),0)</f>
        <v>1590903</v>
      </c>
      <c r="M68" s="21">
        <f>IFERROR(VLOOKUP(Vertailu[[#This Row],[Y-tunnus]],'1.2 Ohjaus-laskentataulu'!A:AT,COLUMN('1.2 Ohjaus-laskentataulu'!Z:Z),FALSE),0)</f>
        <v>2527110</v>
      </c>
      <c r="N68" s="21">
        <f>IFERROR(Vertailu[[#This Row],[Rahoitus pl. hark. kor. 2020 ilman alv, €]]-Vertailu[[#This Row],[Rahoitus pl. hark. kor. 2019 ilman alv, €]],0)</f>
        <v>936207</v>
      </c>
      <c r="O68" s="46">
        <f>IFERROR(Vertailu[[#This Row],[Muutos, € 1]]/Vertailu[[#This Row],[Rahoitus pl. hark. kor. 2019 ilman alv, €]],0)</f>
        <v>0.58847522444800215</v>
      </c>
      <c r="P68" s="217">
        <f>IFERROR(VLOOKUP(Vertailu[[#This Row],[Y-tunnus]],'3.2 Suoritepäätös 2019'!$A:$S,COLUMN('3.2 Suoritepäätös 2019'!Q:Q),FALSE),0)</f>
        <v>1590903</v>
      </c>
      <c r="Q68" s="243">
        <f>IFERROR(VLOOKUP(Vertailu[[#This Row],[Y-tunnus]],'1.2 Ohjaus-laskentataulu'!A:AT,COLUMN('1.2 Ohjaus-laskentataulu'!AR:AR),FALSE),0)</f>
        <v>2577110</v>
      </c>
      <c r="R68" s="21">
        <f>IFERROR(Vertailu[[#This Row],[Rahoitus ml. hark. kor. 
2020 ilman alv, €]]-Vertailu[[#This Row],[Rahoitus ml. hark. kor. 
2019 ilman alv, €]],0)</f>
        <v>986207</v>
      </c>
      <c r="S68" s="19">
        <f>IFERROR(Vertailu[[#This Row],[Muutos, € 2]]/Vertailu[[#This Row],[Rahoitus ml. hark. kor. 
2019 ilman alv, €]],0)</f>
        <v>0.61990391620356489</v>
      </c>
      <c r="T68" s="243">
        <f>IFERROR(VLOOKUP(Vertailu[[#This Row],[Y-tunnus]],'3.2 Suoritepäätös 2019'!$A:$S,COLUMN('3.2 Suoritepäätös 2019'!Q:Q),FALSE)+VLOOKUP(Vertailu[[#This Row],[Y-tunnus]],'3.2 Suoritepäätös 2019'!$A:$S,COLUMN('3.2 Suoritepäätös 2019'!R:R),FALSE),0)</f>
        <v>1672144</v>
      </c>
      <c r="U68" s="217">
        <f>IFERROR(VLOOKUP(Vertailu[[#This Row],[Y-tunnus]],'1.2 Ohjaus-laskentataulu'!A:AT,COLUMN('1.2 Ohjaus-laskentataulu'!AT:AT),FALSE),0)</f>
        <v>2722514</v>
      </c>
      <c r="V68" s="249">
        <f>IFERROR(Vertailu[[#This Row],[Rahoitus ml. hark. kor. + alv 2020, €]]-Vertailu[[#This Row],[Rahoitus ml. hark. kor. + alv 2019, €]],0)</f>
        <v>1050370</v>
      </c>
      <c r="W68" s="46">
        <f>IFERROR(Vertailu[[#This Row],[Muutos, € 3]]/Vertailu[[#This Row],[Rahoitus ml. hark. kor. + alv 2019, €]],0)</f>
        <v>0.62815762278846798</v>
      </c>
    </row>
    <row r="69" spans="1:23" ht="12.75" customHeight="1" x14ac:dyDescent="0.25">
      <c r="A69" s="12" t="s">
        <v>349</v>
      </c>
      <c r="B69" s="297" t="s">
        <v>78</v>
      </c>
      <c r="C69" s="297" t="s">
        <v>256</v>
      </c>
      <c r="D69" s="297" t="s">
        <v>424</v>
      </c>
      <c r="E69" s="22">
        <f>IFERROR(VLOOKUP(Vertailu[[#This Row],[Y-tunnus]],'1.2 Ohjaus-laskentataulu'!A:AT,COLUMN('1.2 Ohjaus-laskentataulu'!L:L),FALSE)/VLOOKUP(Vertailu[[#This Row],[Y-tunnus]],'1.2 Ohjaus-laskentataulu'!A:AT,COLUMN('1.2 Ohjaus-laskentataulu'!AR:AR),FALSE),0)</f>
        <v>0.66035161166502931</v>
      </c>
      <c r="F69" s="46">
        <f>IFERROR(VLOOKUP(Vertailu[[#This Row],[Y-tunnus]],'1.2 Ohjaus-laskentataulu'!A:AT,COLUMN('1.2 Ohjaus-laskentataulu'!AO:AO),FALSE)/VLOOKUP(Vertailu[[#This Row],[Y-tunnus]],'1.2 Ohjaus-laskentataulu'!A:AT,COLUMN('1.2 Ohjaus-laskentataulu'!AR:AR),FALSE),0)</f>
        <v>0.66739779641141339</v>
      </c>
      <c r="G69" s="299">
        <f>IFERROR(VLOOKUP(Vertailu[[#This Row],[Y-tunnus]],'1.2 Ohjaus-laskentataulu'!A:AT,COLUMN('1.2 Ohjaus-laskentataulu'!AP:AP),FALSE)/VLOOKUP(Vertailu[[#This Row],[Y-tunnus]],'1.2 Ohjaus-laskentataulu'!A:AT,COLUMN('1.2 Ohjaus-laskentataulu'!AR:AR),FALSE),0)</f>
        <v>0.22946120819872917</v>
      </c>
      <c r="H69" s="22">
        <f>IFERROR(VLOOKUP(Vertailu[[#This Row],[Y-tunnus]],'1.2 Ohjaus-laskentataulu'!A:AT,COLUMN('1.2 Ohjaus-laskentataulu'!AQ:AQ),FALSE)/VLOOKUP(Vertailu[[#This Row],[Y-tunnus]],'1.2 Ohjaus-laskentataulu'!A:AT,COLUMN('1.2 Ohjaus-laskentataulu'!AR:AR),FALSE),0)</f>
        <v>0.10314099538985748</v>
      </c>
      <c r="I69" s="19">
        <f>IFERROR(VLOOKUP(Vertailu[[#This Row],[Y-tunnus]],'1.2 Ohjaus-laskentataulu'!A:AT,COLUMN('1.2 Ohjaus-laskentataulu'!R:R),FALSE)/VLOOKUP(Vertailu[[#This Row],[Y-tunnus]],'1.2 Ohjaus-laskentataulu'!A:AT,COLUMN('1.2 Ohjaus-laskentataulu'!AR:AR),FALSE),0)</f>
        <v>7.6312118504144308E-2</v>
      </c>
      <c r="J69" s="19">
        <f>IFERROR(VLOOKUP(Vertailu[[#This Row],[Y-tunnus]],'1.2 Ohjaus-laskentataulu'!A:AT,COLUMN('1.2 Ohjaus-laskentataulu'!U:U),FALSE)/VLOOKUP(Vertailu[[#This Row],[Y-tunnus]],'1.2 Ohjaus-laskentataulu'!A:AT,COLUMN('1.2 Ohjaus-laskentataulu'!AR:AR),FALSE),0)</f>
        <v>5.5372883216005548E-3</v>
      </c>
      <c r="K69" s="46">
        <f>IFERROR(VLOOKUP(Vertailu[[#This Row],[Y-tunnus]],'1.2 Ohjaus-laskentataulu'!A:AT,COLUMN('1.2 Ohjaus-laskentataulu'!X:X),FALSE)/VLOOKUP(Vertailu[[#This Row],[Y-tunnus]],'1.2 Ohjaus-laskentataulu'!A:AT,COLUMN('1.2 Ohjaus-laskentataulu'!AR:AR),FALSE),0)</f>
        <v>2.1291588564112618E-2</v>
      </c>
      <c r="L69" s="21">
        <f>IFERROR(VLOOKUP(Vertailu[[#This Row],[Y-tunnus]],'3.2 Suoritepäätös 2019'!$A:$S,COLUMN('3.2 Suoritepäätös 2019'!Q:Q),FALSE)-VLOOKUP(Vertailu[[#This Row],[Y-tunnus]],'3.2 Suoritepäätös 2019'!$A:$S,COLUMN('3.2 Suoritepäätös 2019'!L:L),FALSE),0)</f>
        <v>21536061</v>
      </c>
      <c r="M69" s="21">
        <f>IFERROR(VLOOKUP(Vertailu[[#This Row],[Y-tunnus]],'1.2 Ohjaus-laskentataulu'!A:AT,COLUMN('1.2 Ohjaus-laskentataulu'!Z:Z),FALSE),0)</f>
        <v>22547324</v>
      </c>
      <c r="N69" s="21">
        <f>IFERROR(Vertailu[[#This Row],[Rahoitus pl. hark. kor. 2020 ilman alv, €]]-Vertailu[[#This Row],[Rahoitus pl. hark. kor. 2019 ilman alv, €]],0)</f>
        <v>1011263</v>
      </c>
      <c r="O69" s="46">
        <f>IFERROR(Vertailu[[#This Row],[Muutos, € 1]]/Vertailu[[#This Row],[Rahoitus pl. hark. kor. 2019 ilman alv, €]],0)</f>
        <v>4.6956729923824048E-2</v>
      </c>
      <c r="P69" s="217">
        <f>IFERROR(VLOOKUP(Vertailu[[#This Row],[Y-tunnus]],'3.2 Suoritepäätös 2019'!$A:$S,COLUMN('3.2 Suoritepäätös 2019'!Q:Q),FALSE),0)</f>
        <v>21626061</v>
      </c>
      <c r="Q69" s="243">
        <f>IFERROR(VLOOKUP(Vertailu[[#This Row],[Y-tunnus]],'1.2 Ohjaus-laskentataulu'!A:AT,COLUMN('1.2 Ohjaus-laskentataulu'!AR:AR),FALSE),0)</f>
        <v>22707324</v>
      </c>
      <c r="R69" s="21">
        <f>IFERROR(Vertailu[[#This Row],[Rahoitus ml. hark. kor. 
2020 ilman alv, €]]-Vertailu[[#This Row],[Rahoitus ml. hark. kor. 
2019 ilman alv, €]],0)</f>
        <v>1081263</v>
      </c>
      <c r="S69" s="19">
        <f>IFERROR(Vertailu[[#This Row],[Muutos, € 2]]/Vertailu[[#This Row],[Rahoitus ml. hark. kor. 
2019 ilman alv, €]],0)</f>
        <v>4.9998148067741048E-2</v>
      </c>
      <c r="T69" s="243">
        <f>IFERROR(VLOOKUP(Vertailu[[#This Row],[Y-tunnus]],'3.2 Suoritepäätös 2019'!$A:$S,COLUMN('3.2 Suoritepäätös 2019'!Q:Q),FALSE)+VLOOKUP(Vertailu[[#This Row],[Y-tunnus]],'3.2 Suoritepäätös 2019'!$A:$S,COLUMN('3.2 Suoritepäätös 2019'!R:R),FALSE),0)</f>
        <v>21626061</v>
      </c>
      <c r="U69" s="217">
        <f>IFERROR(VLOOKUP(Vertailu[[#This Row],[Y-tunnus]],'1.2 Ohjaus-laskentataulu'!A:AT,COLUMN('1.2 Ohjaus-laskentataulu'!AT:AT),FALSE),0)</f>
        <v>22707324</v>
      </c>
      <c r="V69" s="249">
        <f>IFERROR(Vertailu[[#This Row],[Rahoitus ml. hark. kor. + alv 2020, €]]-Vertailu[[#This Row],[Rahoitus ml. hark. kor. + alv 2019, €]],0)</f>
        <v>1081263</v>
      </c>
      <c r="W69" s="46">
        <f>IFERROR(Vertailu[[#This Row],[Muutos, € 3]]/Vertailu[[#This Row],[Rahoitus ml. hark. kor. + alv 2019, €]],0)</f>
        <v>4.9998148067741048E-2</v>
      </c>
    </row>
    <row r="70" spans="1:23" ht="12.75" customHeight="1" x14ac:dyDescent="0.25">
      <c r="A70" s="12" t="s">
        <v>345</v>
      </c>
      <c r="B70" s="297" t="s">
        <v>79</v>
      </c>
      <c r="C70" s="297" t="s">
        <v>246</v>
      </c>
      <c r="D70" s="297" t="s">
        <v>423</v>
      </c>
      <c r="E70" s="22">
        <f>IFERROR(VLOOKUP(Vertailu[[#This Row],[Y-tunnus]],'1.2 Ohjaus-laskentataulu'!A:AT,COLUMN('1.2 Ohjaus-laskentataulu'!L:L),FALSE)/VLOOKUP(Vertailu[[#This Row],[Y-tunnus]],'1.2 Ohjaus-laskentataulu'!A:AT,COLUMN('1.2 Ohjaus-laskentataulu'!AR:AR),FALSE),0)</f>
        <v>0.60289503137188405</v>
      </c>
      <c r="F70" s="46">
        <f>IFERROR(VLOOKUP(Vertailu[[#This Row],[Y-tunnus]],'1.2 Ohjaus-laskentataulu'!A:AT,COLUMN('1.2 Ohjaus-laskentataulu'!AO:AO),FALSE)/VLOOKUP(Vertailu[[#This Row],[Y-tunnus]],'1.2 Ohjaus-laskentataulu'!A:AT,COLUMN('1.2 Ohjaus-laskentataulu'!AR:AR),FALSE),0)</f>
        <v>0.60289503137188405</v>
      </c>
      <c r="G70" s="299">
        <f>IFERROR(VLOOKUP(Vertailu[[#This Row],[Y-tunnus]],'1.2 Ohjaus-laskentataulu'!A:AT,COLUMN('1.2 Ohjaus-laskentataulu'!AP:AP),FALSE)/VLOOKUP(Vertailu[[#This Row],[Y-tunnus]],'1.2 Ohjaus-laskentataulu'!A:AT,COLUMN('1.2 Ohjaus-laskentataulu'!AR:AR),FALSE),0)</f>
        <v>0.22007936238765474</v>
      </c>
      <c r="H70" s="22">
        <f>IFERROR(VLOOKUP(Vertailu[[#This Row],[Y-tunnus]],'1.2 Ohjaus-laskentataulu'!A:AT,COLUMN('1.2 Ohjaus-laskentataulu'!AQ:AQ),FALSE)/VLOOKUP(Vertailu[[#This Row],[Y-tunnus]],'1.2 Ohjaus-laskentataulu'!A:AT,COLUMN('1.2 Ohjaus-laskentataulu'!AR:AR),FALSE),0)</f>
        <v>0.17702560624046126</v>
      </c>
      <c r="I70" s="19">
        <f>IFERROR(VLOOKUP(Vertailu[[#This Row],[Y-tunnus]],'1.2 Ohjaus-laskentataulu'!A:AT,COLUMN('1.2 Ohjaus-laskentataulu'!R:R),FALSE)/VLOOKUP(Vertailu[[#This Row],[Y-tunnus]],'1.2 Ohjaus-laskentataulu'!A:AT,COLUMN('1.2 Ohjaus-laskentataulu'!AR:AR),FALSE),0)</f>
        <v>0.10978463625572325</v>
      </c>
      <c r="J70" s="19">
        <f>IFERROR(VLOOKUP(Vertailu[[#This Row],[Y-tunnus]],'1.2 Ohjaus-laskentataulu'!A:AT,COLUMN('1.2 Ohjaus-laskentataulu'!U:U),FALSE)/VLOOKUP(Vertailu[[#This Row],[Y-tunnus]],'1.2 Ohjaus-laskentataulu'!A:AT,COLUMN('1.2 Ohjaus-laskentataulu'!AR:AR),FALSE),0)</f>
        <v>1.5731388841783957E-2</v>
      </c>
      <c r="K70" s="46">
        <f>IFERROR(VLOOKUP(Vertailu[[#This Row],[Y-tunnus]],'1.2 Ohjaus-laskentataulu'!A:AT,COLUMN('1.2 Ohjaus-laskentataulu'!X:X),FALSE)/VLOOKUP(Vertailu[[#This Row],[Y-tunnus]],'1.2 Ohjaus-laskentataulu'!A:AT,COLUMN('1.2 Ohjaus-laskentataulu'!AR:AR),FALSE),0)</f>
        <v>5.1509581142954043E-2</v>
      </c>
      <c r="L70" s="21">
        <f>IFERROR(VLOOKUP(Vertailu[[#This Row],[Y-tunnus]],'3.2 Suoritepäätös 2019'!$A:$S,COLUMN('3.2 Suoritepäätös 2019'!Q:Q),FALSE)-VLOOKUP(Vertailu[[#This Row],[Y-tunnus]],'3.2 Suoritepäätös 2019'!$A:$S,COLUMN('3.2 Suoritepäätös 2019'!L:L),FALSE),0)</f>
        <v>812877</v>
      </c>
      <c r="M70" s="21">
        <f>IFERROR(VLOOKUP(Vertailu[[#This Row],[Y-tunnus]],'1.2 Ohjaus-laskentataulu'!A:AT,COLUMN('1.2 Ohjaus-laskentataulu'!Z:Z),FALSE),0)</f>
        <v>737125</v>
      </c>
      <c r="N70" s="21">
        <f>IFERROR(Vertailu[[#This Row],[Rahoitus pl. hark. kor. 2020 ilman alv, €]]-Vertailu[[#This Row],[Rahoitus pl. hark. kor. 2019 ilman alv, €]],0)</f>
        <v>-75752</v>
      </c>
      <c r="O70" s="46">
        <f>IFERROR(Vertailu[[#This Row],[Muutos, € 1]]/Vertailu[[#This Row],[Rahoitus pl. hark. kor. 2019 ilman alv, €]],0)</f>
        <v>-9.3189990613586071E-2</v>
      </c>
      <c r="P70" s="217">
        <f>IFERROR(VLOOKUP(Vertailu[[#This Row],[Y-tunnus]],'3.2 Suoritepäätös 2019'!$A:$S,COLUMN('3.2 Suoritepäätös 2019'!Q:Q),FALSE),0)</f>
        <v>812877</v>
      </c>
      <c r="Q70" s="243">
        <f>IFERROR(VLOOKUP(Vertailu[[#This Row],[Y-tunnus]],'1.2 Ohjaus-laskentataulu'!A:AT,COLUMN('1.2 Ohjaus-laskentataulu'!AR:AR),FALSE),0)</f>
        <v>737125</v>
      </c>
      <c r="R70" s="21">
        <f>IFERROR(Vertailu[[#This Row],[Rahoitus ml. hark. kor. 
2020 ilman alv, €]]-Vertailu[[#This Row],[Rahoitus ml. hark. kor. 
2019 ilman alv, €]],0)</f>
        <v>-75752</v>
      </c>
      <c r="S70" s="19">
        <f>IFERROR(Vertailu[[#This Row],[Muutos, € 2]]/Vertailu[[#This Row],[Rahoitus ml. hark. kor. 
2019 ilman alv, €]],0)</f>
        <v>-9.3189990613586071E-2</v>
      </c>
      <c r="T70" s="243">
        <f>IFERROR(VLOOKUP(Vertailu[[#This Row],[Y-tunnus]],'3.2 Suoritepäätös 2019'!$A:$S,COLUMN('3.2 Suoritepäätös 2019'!Q:Q),FALSE)+VLOOKUP(Vertailu[[#This Row],[Y-tunnus]],'3.2 Suoritepäätös 2019'!$A:$S,COLUMN('3.2 Suoritepäätös 2019'!R:R),FALSE),0)</f>
        <v>857111</v>
      </c>
      <c r="U70" s="217">
        <f>IFERROR(VLOOKUP(Vertailu[[#This Row],[Y-tunnus]],'1.2 Ohjaus-laskentataulu'!A:AT,COLUMN('1.2 Ohjaus-laskentataulu'!AT:AT),FALSE),0)</f>
        <v>764609</v>
      </c>
      <c r="V70" s="249">
        <f>IFERROR(Vertailu[[#This Row],[Rahoitus ml. hark. kor. + alv 2020, €]]-Vertailu[[#This Row],[Rahoitus ml. hark. kor. + alv 2019, €]],0)</f>
        <v>-92502</v>
      </c>
      <c r="W70" s="46">
        <f>IFERROR(Vertailu[[#This Row],[Muutos, € 3]]/Vertailu[[#This Row],[Rahoitus ml. hark. kor. + alv 2019, €]],0)</f>
        <v>-0.10792301113858065</v>
      </c>
    </row>
    <row r="71" spans="1:23" ht="12.75" customHeight="1" x14ac:dyDescent="0.25">
      <c r="A71" s="12" t="s">
        <v>344</v>
      </c>
      <c r="B71" s="297" t="s">
        <v>80</v>
      </c>
      <c r="C71" s="297" t="s">
        <v>242</v>
      </c>
      <c r="D71" s="297" t="s">
        <v>423</v>
      </c>
      <c r="E71" s="22">
        <f>IFERROR(VLOOKUP(Vertailu[[#This Row],[Y-tunnus]],'1.2 Ohjaus-laskentataulu'!A:AT,COLUMN('1.2 Ohjaus-laskentataulu'!L:L),FALSE)/VLOOKUP(Vertailu[[#This Row],[Y-tunnus]],'1.2 Ohjaus-laskentataulu'!A:AT,COLUMN('1.2 Ohjaus-laskentataulu'!AR:AR),FALSE),0)</f>
        <v>0.6086741266450425</v>
      </c>
      <c r="F71" s="46">
        <f>IFERROR(VLOOKUP(Vertailu[[#This Row],[Y-tunnus]],'1.2 Ohjaus-laskentataulu'!A:AT,COLUMN('1.2 Ohjaus-laskentataulu'!AO:AO),FALSE)/VLOOKUP(Vertailu[[#This Row],[Y-tunnus]],'1.2 Ohjaus-laskentataulu'!A:AT,COLUMN('1.2 Ohjaus-laskentataulu'!AR:AR),FALSE),0)</f>
        <v>0.6086741266450425</v>
      </c>
      <c r="G71" s="299">
        <f>IFERROR(VLOOKUP(Vertailu[[#This Row],[Y-tunnus]],'1.2 Ohjaus-laskentataulu'!A:AT,COLUMN('1.2 Ohjaus-laskentataulu'!AP:AP),FALSE)/VLOOKUP(Vertailu[[#This Row],[Y-tunnus]],'1.2 Ohjaus-laskentataulu'!A:AT,COLUMN('1.2 Ohjaus-laskentataulu'!AR:AR),FALSE),0)</f>
        <v>0.28911593893841842</v>
      </c>
      <c r="H71" s="22">
        <f>IFERROR(VLOOKUP(Vertailu[[#This Row],[Y-tunnus]],'1.2 Ohjaus-laskentataulu'!A:AT,COLUMN('1.2 Ohjaus-laskentataulu'!AQ:AQ),FALSE)/VLOOKUP(Vertailu[[#This Row],[Y-tunnus]],'1.2 Ohjaus-laskentataulu'!A:AT,COLUMN('1.2 Ohjaus-laskentataulu'!AR:AR),FALSE),0)</f>
        <v>0.10220993441653915</v>
      </c>
      <c r="I71" s="19">
        <f>IFERROR(VLOOKUP(Vertailu[[#This Row],[Y-tunnus]],'1.2 Ohjaus-laskentataulu'!A:AT,COLUMN('1.2 Ohjaus-laskentataulu'!R:R),FALSE)/VLOOKUP(Vertailu[[#This Row],[Y-tunnus]],'1.2 Ohjaus-laskentataulu'!A:AT,COLUMN('1.2 Ohjaus-laskentataulu'!AR:AR),FALSE),0)</f>
        <v>9.1046155342638976E-2</v>
      </c>
      <c r="J71" s="19">
        <f>IFERROR(VLOOKUP(Vertailu[[#This Row],[Y-tunnus]],'1.2 Ohjaus-laskentataulu'!A:AT,COLUMN('1.2 Ohjaus-laskentataulu'!U:U),FALSE)/VLOOKUP(Vertailu[[#This Row],[Y-tunnus]],'1.2 Ohjaus-laskentataulu'!A:AT,COLUMN('1.2 Ohjaus-laskentataulu'!AR:AR),FALSE),0)</f>
        <v>3.8098017281909115E-3</v>
      </c>
      <c r="K71" s="46">
        <f>IFERROR(VLOOKUP(Vertailu[[#This Row],[Y-tunnus]],'1.2 Ohjaus-laskentataulu'!A:AT,COLUMN('1.2 Ohjaus-laskentataulu'!X:X),FALSE)/VLOOKUP(Vertailu[[#This Row],[Y-tunnus]],'1.2 Ohjaus-laskentataulu'!A:AT,COLUMN('1.2 Ohjaus-laskentataulu'!AR:AR),FALSE),0)</f>
        <v>7.3539773457092653E-3</v>
      </c>
      <c r="L71" s="21">
        <f>IFERROR(VLOOKUP(Vertailu[[#This Row],[Y-tunnus]],'3.2 Suoritepäätös 2019'!$A:$S,COLUMN('3.2 Suoritepäätös 2019'!Q:Q),FALSE)-VLOOKUP(Vertailu[[#This Row],[Y-tunnus]],'3.2 Suoritepäätös 2019'!$A:$S,COLUMN('3.2 Suoritepäätös 2019'!L:L),FALSE),0)</f>
        <v>721310</v>
      </c>
      <c r="M71" s="21">
        <f>IFERROR(VLOOKUP(Vertailu[[#This Row],[Y-tunnus]],'1.2 Ohjaus-laskentataulu'!A:AT,COLUMN('1.2 Ohjaus-laskentataulu'!Z:Z),FALSE),0)</f>
        <v>801879</v>
      </c>
      <c r="N71" s="21">
        <f>IFERROR(Vertailu[[#This Row],[Rahoitus pl. hark. kor. 2020 ilman alv, €]]-Vertailu[[#This Row],[Rahoitus pl. hark. kor. 2019 ilman alv, €]],0)</f>
        <v>80569</v>
      </c>
      <c r="O71" s="46">
        <f>IFERROR(Vertailu[[#This Row],[Muutos, € 1]]/Vertailu[[#This Row],[Rahoitus pl. hark. kor. 2019 ilman alv, €]],0)</f>
        <v>0.11169816029169151</v>
      </c>
      <c r="P71" s="217">
        <f>IFERROR(VLOOKUP(Vertailu[[#This Row],[Y-tunnus]],'3.2 Suoritepäätös 2019'!$A:$S,COLUMN('3.2 Suoritepäätös 2019'!Q:Q),FALSE),0)</f>
        <v>721310</v>
      </c>
      <c r="Q71" s="243">
        <f>IFERROR(VLOOKUP(Vertailu[[#This Row],[Y-tunnus]],'1.2 Ohjaus-laskentataulu'!A:AT,COLUMN('1.2 Ohjaus-laskentataulu'!AR:AR),FALSE),0)</f>
        <v>801879</v>
      </c>
      <c r="R71" s="21">
        <f>IFERROR(Vertailu[[#This Row],[Rahoitus ml. hark. kor. 
2020 ilman alv, €]]-Vertailu[[#This Row],[Rahoitus ml. hark. kor. 
2019 ilman alv, €]],0)</f>
        <v>80569</v>
      </c>
      <c r="S71" s="19">
        <f>IFERROR(Vertailu[[#This Row],[Muutos, € 2]]/Vertailu[[#This Row],[Rahoitus ml. hark. kor. 
2019 ilman alv, €]],0)</f>
        <v>0.11169816029169151</v>
      </c>
      <c r="T71" s="243">
        <f>IFERROR(VLOOKUP(Vertailu[[#This Row],[Y-tunnus]],'3.2 Suoritepäätös 2019'!$A:$S,COLUMN('3.2 Suoritepäätös 2019'!Q:Q),FALSE)+VLOOKUP(Vertailu[[#This Row],[Y-tunnus]],'3.2 Suoritepäätös 2019'!$A:$S,COLUMN('3.2 Suoritepäätös 2019'!R:R),FALSE),0)</f>
        <v>759323</v>
      </c>
      <c r="U71" s="217">
        <f>IFERROR(VLOOKUP(Vertailu[[#This Row],[Y-tunnus]],'1.2 Ohjaus-laskentataulu'!A:AT,COLUMN('1.2 Ohjaus-laskentataulu'!AT:AT),FALSE),0)</f>
        <v>815228</v>
      </c>
      <c r="V71" s="249">
        <f>IFERROR(Vertailu[[#This Row],[Rahoitus ml. hark. kor. + alv 2020, €]]-Vertailu[[#This Row],[Rahoitus ml. hark. kor. + alv 2019, €]],0)</f>
        <v>55905</v>
      </c>
      <c r="W71" s="46">
        <f>IFERROR(Vertailu[[#This Row],[Muutos, € 3]]/Vertailu[[#This Row],[Rahoitus ml. hark. kor. + alv 2019, €]],0)</f>
        <v>7.3624794718453151E-2</v>
      </c>
    </row>
    <row r="72" spans="1:23" ht="12.75" customHeight="1" x14ac:dyDescent="0.25">
      <c r="A72" s="12" t="s">
        <v>343</v>
      </c>
      <c r="B72" s="297" t="s">
        <v>81</v>
      </c>
      <c r="C72" s="297" t="s">
        <v>242</v>
      </c>
      <c r="D72" s="297" t="s">
        <v>423</v>
      </c>
      <c r="E72" s="22">
        <f>IFERROR(VLOOKUP(Vertailu[[#This Row],[Y-tunnus]],'1.2 Ohjaus-laskentataulu'!A:AT,COLUMN('1.2 Ohjaus-laskentataulu'!L:L),FALSE)/VLOOKUP(Vertailu[[#This Row],[Y-tunnus]],'1.2 Ohjaus-laskentataulu'!A:AT,COLUMN('1.2 Ohjaus-laskentataulu'!AR:AR),FALSE),0)</f>
        <v>0.59034814197359353</v>
      </c>
      <c r="F72" s="46">
        <f>IFERROR(VLOOKUP(Vertailu[[#This Row],[Y-tunnus]],'1.2 Ohjaus-laskentataulu'!A:AT,COLUMN('1.2 Ohjaus-laskentataulu'!AO:AO),FALSE)/VLOOKUP(Vertailu[[#This Row],[Y-tunnus]],'1.2 Ohjaus-laskentataulu'!A:AT,COLUMN('1.2 Ohjaus-laskentataulu'!AR:AR),FALSE),0)</f>
        <v>0.59034814197359353</v>
      </c>
      <c r="G72" s="299">
        <f>IFERROR(VLOOKUP(Vertailu[[#This Row],[Y-tunnus]],'1.2 Ohjaus-laskentataulu'!A:AT,COLUMN('1.2 Ohjaus-laskentataulu'!AP:AP),FALSE)/VLOOKUP(Vertailu[[#This Row],[Y-tunnus]],'1.2 Ohjaus-laskentataulu'!A:AT,COLUMN('1.2 Ohjaus-laskentataulu'!AR:AR),FALSE),0)</f>
        <v>0.28696757329710926</v>
      </c>
      <c r="H72" s="22">
        <f>IFERROR(VLOOKUP(Vertailu[[#This Row],[Y-tunnus]],'1.2 Ohjaus-laskentataulu'!A:AT,COLUMN('1.2 Ohjaus-laskentataulu'!AQ:AQ),FALSE)/VLOOKUP(Vertailu[[#This Row],[Y-tunnus]],'1.2 Ohjaus-laskentataulu'!A:AT,COLUMN('1.2 Ohjaus-laskentataulu'!AR:AR),FALSE),0)</f>
        <v>0.12268428472929724</v>
      </c>
      <c r="I72" s="19">
        <f>IFERROR(VLOOKUP(Vertailu[[#This Row],[Y-tunnus]],'1.2 Ohjaus-laskentataulu'!A:AT,COLUMN('1.2 Ohjaus-laskentataulu'!R:R),FALSE)/VLOOKUP(Vertailu[[#This Row],[Y-tunnus]],'1.2 Ohjaus-laskentataulu'!A:AT,COLUMN('1.2 Ohjaus-laskentataulu'!AR:AR),FALSE),0)</f>
        <v>7.0983709466621386E-2</v>
      </c>
      <c r="J72" s="19">
        <f>IFERROR(VLOOKUP(Vertailu[[#This Row],[Y-tunnus]],'1.2 Ohjaus-laskentataulu'!A:AT,COLUMN('1.2 Ohjaus-laskentataulu'!U:U),FALSE)/VLOOKUP(Vertailu[[#This Row],[Y-tunnus]],'1.2 Ohjaus-laskentataulu'!A:AT,COLUMN('1.2 Ohjaus-laskentataulu'!AR:AR),FALSE),0)</f>
        <v>8.6536383563335494E-3</v>
      </c>
      <c r="K72" s="46">
        <f>IFERROR(VLOOKUP(Vertailu[[#This Row],[Y-tunnus]],'1.2 Ohjaus-laskentataulu'!A:AT,COLUMN('1.2 Ohjaus-laskentataulu'!X:X),FALSE)/VLOOKUP(Vertailu[[#This Row],[Y-tunnus]],'1.2 Ohjaus-laskentataulu'!A:AT,COLUMN('1.2 Ohjaus-laskentataulu'!AR:AR),FALSE),0)</f>
        <v>4.3046936906342294E-2</v>
      </c>
      <c r="L72" s="21">
        <f>IFERROR(VLOOKUP(Vertailu[[#This Row],[Y-tunnus]],'3.2 Suoritepäätös 2019'!$A:$S,COLUMN('3.2 Suoritepäätös 2019'!Q:Q),FALSE)-VLOOKUP(Vertailu[[#This Row],[Y-tunnus]],'3.2 Suoritepäätös 2019'!$A:$S,COLUMN('3.2 Suoritepäätös 2019'!L:L),FALSE),0)</f>
        <v>872914</v>
      </c>
      <c r="M72" s="21">
        <f>IFERROR(VLOOKUP(Vertailu[[#This Row],[Y-tunnus]],'1.2 Ohjaus-laskentataulu'!A:AT,COLUMN('1.2 Ohjaus-laskentataulu'!Z:Z),FALSE),0)</f>
        <v>971730</v>
      </c>
      <c r="N72" s="21">
        <f>IFERROR(Vertailu[[#This Row],[Rahoitus pl. hark. kor. 2020 ilman alv, €]]-Vertailu[[#This Row],[Rahoitus pl. hark. kor. 2019 ilman alv, €]],0)</f>
        <v>98816</v>
      </c>
      <c r="O72" s="46">
        <f>IFERROR(Vertailu[[#This Row],[Muutos, € 1]]/Vertailu[[#This Row],[Rahoitus pl. hark. kor. 2019 ilman alv, €]],0)</f>
        <v>0.11320244605997842</v>
      </c>
      <c r="P72" s="217">
        <f>IFERROR(VLOOKUP(Vertailu[[#This Row],[Y-tunnus]],'3.2 Suoritepäätös 2019'!$A:$S,COLUMN('3.2 Suoritepäätös 2019'!Q:Q),FALSE),0)</f>
        <v>872914</v>
      </c>
      <c r="Q72" s="243">
        <f>IFERROR(VLOOKUP(Vertailu[[#This Row],[Y-tunnus]],'1.2 Ohjaus-laskentataulu'!A:AT,COLUMN('1.2 Ohjaus-laskentataulu'!AR:AR),FALSE),0)</f>
        <v>971730</v>
      </c>
      <c r="R72" s="21">
        <f>IFERROR(Vertailu[[#This Row],[Rahoitus ml. hark. kor. 
2020 ilman alv, €]]-Vertailu[[#This Row],[Rahoitus ml. hark. kor. 
2019 ilman alv, €]],0)</f>
        <v>98816</v>
      </c>
      <c r="S72" s="19">
        <f>IFERROR(Vertailu[[#This Row],[Muutos, € 2]]/Vertailu[[#This Row],[Rahoitus ml. hark. kor. 
2019 ilman alv, €]],0)</f>
        <v>0.11320244605997842</v>
      </c>
      <c r="T72" s="243">
        <f>IFERROR(VLOOKUP(Vertailu[[#This Row],[Y-tunnus]],'3.2 Suoritepäätös 2019'!$A:$S,COLUMN('3.2 Suoritepäätös 2019'!Q:Q),FALSE)+VLOOKUP(Vertailu[[#This Row],[Y-tunnus]],'3.2 Suoritepäätös 2019'!$A:$S,COLUMN('3.2 Suoritepäätös 2019'!R:R),FALSE),0)</f>
        <v>918978</v>
      </c>
      <c r="U72" s="217">
        <f>IFERROR(VLOOKUP(Vertailu[[#This Row],[Y-tunnus]],'1.2 Ohjaus-laskentataulu'!A:AT,COLUMN('1.2 Ohjaus-laskentataulu'!AT:AT),FALSE),0)</f>
        <v>1028990</v>
      </c>
      <c r="V72" s="249">
        <f>IFERROR(Vertailu[[#This Row],[Rahoitus ml. hark. kor. + alv 2020, €]]-Vertailu[[#This Row],[Rahoitus ml. hark. kor. + alv 2019, €]],0)</f>
        <v>110012</v>
      </c>
      <c r="W72" s="46">
        <f>IFERROR(Vertailu[[#This Row],[Muutos, € 3]]/Vertailu[[#This Row],[Rahoitus ml. hark. kor. + alv 2019, €]],0)</f>
        <v>0.11971124444763639</v>
      </c>
    </row>
    <row r="73" spans="1:23" ht="12.75" customHeight="1" x14ac:dyDescent="0.25">
      <c r="A73" s="12" t="s">
        <v>342</v>
      </c>
      <c r="B73" s="297" t="s">
        <v>82</v>
      </c>
      <c r="C73" s="297" t="s">
        <v>271</v>
      </c>
      <c r="D73" s="297" t="s">
        <v>423</v>
      </c>
      <c r="E73" s="22">
        <f>IFERROR(VLOOKUP(Vertailu[[#This Row],[Y-tunnus]],'1.2 Ohjaus-laskentataulu'!A:AT,COLUMN('1.2 Ohjaus-laskentataulu'!L:L),FALSE)/VLOOKUP(Vertailu[[#This Row],[Y-tunnus]],'1.2 Ohjaus-laskentataulu'!A:AT,COLUMN('1.2 Ohjaus-laskentataulu'!AR:AR),FALSE),0)</f>
        <v>0.62354094631286772</v>
      </c>
      <c r="F73" s="46">
        <f>IFERROR(VLOOKUP(Vertailu[[#This Row],[Y-tunnus]],'1.2 Ohjaus-laskentataulu'!A:AT,COLUMN('1.2 Ohjaus-laskentataulu'!AO:AO),FALSE)/VLOOKUP(Vertailu[[#This Row],[Y-tunnus]],'1.2 Ohjaus-laskentataulu'!A:AT,COLUMN('1.2 Ohjaus-laskentataulu'!AR:AR),FALSE),0)</f>
        <v>0.62354094631286772</v>
      </c>
      <c r="G73" s="299">
        <f>IFERROR(VLOOKUP(Vertailu[[#This Row],[Y-tunnus]],'1.2 Ohjaus-laskentataulu'!A:AT,COLUMN('1.2 Ohjaus-laskentataulu'!AP:AP),FALSE)/VLOOKUP(Vertailu[[#This Row],[Y-tunnus]],'1.2 Ohjaus-laskentataulu'!A:AT,COLUMN('1.2 Ohjaus-laskentataulu'!AR:AR),FALSE),0)</f>
        <v>0.25171859689109327</v>
      </c>
      <c r="H73" s="22">
        <f>IFERROR(VLOOKUP(Vertailu[[#This Row],[Y-tunnus]],'1.2 Ohjaus-laskentataulu'!A:AT,COLUMN('1.2 Ohjaus-laskentataulu'!AQ:AQ),FALSE)/VLOOKUP(Vertailu[[#This Row],[Y-tunnus]],'1.2 Ohjaus-laskentataulu'!A:AT,COLUMN('1.2 Ohjaus-laskentataulu'!AR:AR),FALSE),0)</f>
        <v>0.12474045679603897</v>
      </c>
      <c r="I73" s="19">
        <f>IFERROR(VLOOKUP(Vertailu[[#This Row],[Y-tunnus]],'1.2 Ohjaus-laskentataulu'!A:AT,COLUMN('1.2 Ohjaus-laskentataulu'!R:R),FALSE)/VLOOKUP(Vertailu[[#This Row],[Y-tunnus]],'1.2 Ohjaus-laskentataulu'!A:AT,COLUMN('1.2 Ohjaus-laskentataulu'!AR:AR),FALSE),0)</f>
        <v>7.8195888749314726E-2</v>
      </c>
      <c r="J73" s="19">
        <f>IFERROR(VLOOKUP(Vertailu[[#This Row],[Y-tunnus]],'1.2 Ohjaus-laskentataulu'!A:AT,COLUMN('1.2 Ohjaus-laskentataulu'!U:U),FALSE)/VLOOKUP(Vertailu[[#This Row],[Y-tunnus]],'1.2 Ohjaus-laskentataulu'!A:AT,COLUMN('1.2 Ohjaus-laskentataulu'!AR:AR),FALSE),0)</f>
        <v>7.2645117566056709E-3</v>
      </c>
      <c r="K73" s="46">
        <f>IFERROR(VLOOKUP(Vertailu[[#This Row],[Y-tunnus]],'1.2 Ohjaus-laskentataulu'!A:AT,COLUMN('1.2 Ohjaus-laskentataulu'!X:X),FALSE)/VLOOKUP(Vertailu[[#This Row],[Y-tunnus]],'1.2 Ohjaus-laskentataulu'!A:AT,COLUMN('1.2 Ohjaus-laskentataulu'!AR:AR),FALSE),0)</f>
        <v>3.9280056290118583E-2</v>
      </c>
      <c r="L73" s="21">
        <f>IFERROR(VLOOKUP(Vertailu[[#This Row],[Y-tunnus]],'3.2 Suoritepäätös 2019'!$A:$S,COLUMN('3.2 Suoritepäätös 2019'!Q:Q),FALSE)-VLOOKUP(Vertailu[[#This Row],[Y-tunnus]],'3.2 Suoritepäätös 2019'!$A:$S,COLUMN('3.2 Suoritepäätös 2019'!L:L),FALSE),0)</f>
        <v>1666987</v>
      </c>
      <c r="M73" s="21">
        <f>IFERROR(VLOOKUP(Vertailu[[#This Row],[Y-tunnus]],'1.2 Ohjaus-laskentataulu'!A:AT,COLUMN('1.2 Ohjaus-laskentataulu'!Z:Z),FALSE),0)</f>
        <v>1853256</v>
      </c>
      <c r="N73" s="21">
        <f>IFERROR(Vertailu[[#This Row],[Rahoitus pl. hark. kor. 2020 ilman alv, €]]-Vertailu[[#This Row],[Rahoitus pl. hark. kor. 2019 ilman alv, €]],0)</f>
        <v>186269</v>
      </c>
      <c r="O73" s="46">
        <f>IFERROR(Vertailu[[#This Row],[Muutos, € 1]]/Vertailu[[#This Row],[Rahoitus pl. hark. kor. 2019 ilman alv, €]],0)</f>
        <v>0.11173992358668663</v>
      </c>
      <c r="P73" s="217">
        <f>IFERROR(VLOOKUP(Vertailu[[#This Row],[Y-tunnus]],'3.2 Suoritepäätös 2019'!$A:$S,COLUMN('3.2 Suoritepäätös 2019'!Q:Q),FALSE),0)</f>
        <v>1666987</v>
      </c>
      <c r="Q73" s="243">
        <f>IFERROR(VLOOKUP(Vertailu[[#This Row],[Y-tunnus]],'1.2 Ohjaus-laskentataulu'!A:AT,COLUMN('1.2 Ohjaus-laskentataulu'!AR:AR),FALSE),0)</f>
        <v>1853256</v>
      </c>
      <c r="R73" s="21">
        <f>IFERROR(Vertailu[[#This Row],[Rahoitus ml. hark. kor. 
2020 ilman alv, €]]-Vertailu[[#This Row],[Rahoitus ml. hark. kor. 
2019 ilman alv, €]],0)</f>
        <v>186269</v>
      </c>
      <c r="S73" s="19">
        <f>IFERROR(Vertailu[[#This Row],[Muutos, € 2]]/Vertailu[[#This Row],[Rahoitus ml. hark. kor. 
2019 ilman alv, €]],0)</f>
        <v>0.11173992358668663</v>
      </c>
      <c r="T73" s="243">
        <f>IFERROR(VLOOKUP(Vertailu[[#This Row],[Y-tunnus]],'3.2 Suoritepäätös 2019'!$A:$S,COLUMN('3.2 Suoritepäätös 2019'!Q:Q),FALSE)+VLOOKUP(Vertailu[[#This Row],[Y-tunnus]],'3.2 Suoritepäätös 2019'!$A:$S,COLUMN('3.2 Suoritepäätös 2019'!R:R),FALSE),0)</f>
        <v>1752985</v>
      </c>
      <c r="U73" s="217">
        <f>IFERROR(VLOOKUP(Vertailu[[#This Row],[Y-tunnus]],'1.2 Ohjaus-laskentataulu'!A:AT,COLUMN('1.2 Ohjaus-laskentataulu'!AT:AT),FALSE),0)</f>
        <v>1995977</v>
      </c>
      <c r="V73" s="249">
        <f>IFERROR(Vertailu[[#This Row],[Rahoitus ml. hark. kor. + alv 2020, €]]-Vertailu[[#This Row],[Rahoitus ml. hark. kor. + alv 2019, €]],0)</f>
        <v>242992</v>
      </c>
      <c r="W73" s="46">
        <f>IFERROR(Vertailu[[#This Row],[Muutos, € 3]]/Vertailu[[#This Row],[Rahoitus ml. hark. kor. + alv 2019, €]],0)</f>
        <v>0.13861613191213845</v>
      </c>
    </row>
    <row r="74" spans="1:23" ht="12.75" customHeight="1" x14ac:dyDescent="0.25">
      <c r="A74" s="12" t="s">
        <v>340</v>
      </c>
      <c r="B74" s="297" t="s">
        <v>172</v>
      </c>
      <c r="C74" s="297" t="s">
        <v>244</v>
      </c>
      <c r="D74" s="297" t="s">
        <v>422</v>
      </c>
      <c r="E74" s="22">
        <f>IFERROR(VLOOKUP(Vertailu[[#This Row],[Y-tunnus]],'1.2 Ohjaus-laskentataulu'!A:AT,COLUMN('1.2 Ohjaus-laskentataulu'!L:L),FALSE)/VLOOKUP(Vertailu[[#This Row],[Y-tunnus]],'1.2 Ohjaus-laskentataulu'!A:AT,COLUMN('1.2 Ohjaus-laskentataulu'!AR:AR),FALSE),0)</f>
        <v>0.7039229733666087</v>
      </c>
      <c r="F74" s="46">
        <f>IFERROR(VLOOKUP(Vertailu[[#This Row],[Y-tunnus]],'1.2 Ohjaus-laskentataulu'!A:AT,COLUMN('1.2 Ohjaus-laskentataulu'!AO:AO),FALSE)/VLOOKUP(Vertailu[[#This Row],[Y-tunnus]],'1.2 Ohjaus-laskentataulu'!A:AT,COLUMN('1.2 Ohjaus-laskentataulu'!AR:AR),FALSE),0)</f>
        <v>0.90074082238370035</v>
      </c>
      <c r="G74" s="299">
        <f>IFERROR(VLOOKUP(Vertailu[[#This Row],[Y-tunnus]],'1.2 Ohjaus-laskentataulu'!A:AT,COLUMN('1.2 Ohjaus-laskentataulu'!AP:AP),FALSE)/VLOOKUP(Vertailu[[#This Row],[Y-tunnus]],'1.2 Ohjaus-laskentataulu'!A:AT,COLUMN('1.2 Ohjaus-laskentataulu'!AR:AR),FALSE),0)</f>
        <v>0</v>
      </c>
      <c r="H74" s="22">
        <f>IFERROR(VLOOKUP(Vertailu[[#This Row],[Y-tunnus]],'1.2 Ohjaus-laskentataulu'!A:AT,COLUMN('1.2 Ohjaus-laskentataulu'!AQ:AQ),FALSE)/VLOOKUP(Vertailu[[#This Row],[Y-tunnus]],'1.2 Ohjaus-laskentataulu'!A:AT,COLUMN('1.2 Ohjaus-laskentataulu'!AR:AR),FALSE),0)</f>
        <v>9.9259177616299668E-2</v>
      </c>
      <c r="I74" s="19">
        <f>IFERROR(VLOOKUP(Vertailu[[#This Row],[Y-tunnus]],'1.2 Ohjaus-laskentataulu'!A:AT,COLUMN('1.2 Ohjaus-laskentataulu'!R:R),FALSE)/VLOOKUP(Vertailu[[#This Row],[Y-tunnus]],'1.2 Ohjaus-laskentataulu'!A:AT,COLUMN('1.2 Ohjaus-laskentataulu'!AR:AR),FALSE),0)</f>
        <v>9.9259177616299668E-2</v>
      </c>
      <c r="J74" s="19">
        <f>IFERROR(VLOOKUP(Vertailu[[#This Row],[Y-tunnus]],'1.2 Ohjaus-laskentataulu'!A:AT,COLUMN('1.2 Ohjaus-laskentataulu'!U:U),FALSE)/VLOOKUP(Vertailu[[#This Row],[Y-tunnus]],'1.2 Ohjaus-laskentataulu'!A:AT,COLUMN('1.2 Ohjaus-laskentataulu'!AR:AR),FALSE),0)</f>
        <v>0</v>
      </c>
      <c r="K74" s="46">
        <f>IFERROR(VLOOKUP(Vertailu[[#This Row],[Y-tunnus]],'1.2 Ohjaus-laskentataulu'!A:AT,COLUMN('1.2 Ohjaus-laskentataulu'!X:X),FALSE)/VLOOKUP(Vertailu[[#This Row],[Y-tunnus]],'1.2 Ohjaus-laskentataulu'!A:AT,COLUMN('1.2 Ohjaus-laskentataulu'!AR:AR),FALSE),0)</f>
        <v>0</v>
      </c>
      <c r="L74" s="21">
        <f>IFERROR(VLOOKUP(Vertailu[[#This Row],[Y-tunnus]],'3.2 Suoritepäätös 2019'!$A:$S,COLUMN('3.2 Suoritepäätös 2019'!Q:Q),FALSE)-VLOOKUP(Vertailu[[#This Row],[Y-tunnus]],'3.2 Suoritepäätös 2019'!$A:$S,COLUMN('3.2 Suoritepäätös 2019'!L:L),FALSE),0)</f>
        <v>293203</v>
      </c>
      <c r="M74" s="21">
        <f>IFERROR(VLOOKUP(Vertailu[[#This Row],[Y-tunnus]],'1.2 Ohjaus-laskentataulu'!A:AT,COLUMN('1.2 Ohjaus-laskentataulu'!Z:Z),FALSE),0)</f>
        <v>204042</v>
      </c>
      <c r="N74" s="21">
        <f>IFERROR(Vertailu[[#This Row],[Rahoitus pl. hark. kor. 2020 ilman alv, €]]-Vertailu[[#This Row],[Rahoitus pl. hark. kor. 2019 ilman alv, €]],0)</f>
        <v>-89161</v>
      </c>
      <c r="O74" s="46">
        <f>IFERROR(Vertailu[[#This Row],[Muutos, € 1]]/Vertailu[[#This Row],[Rahoitus pl. hark. kor. 2019 ilman alv, €]],0)</f>
        <v>-0.30409306862480945</v>
      </c>
      <c r="P74" s="217">
        <f>IFERROR(VLOOKUP(Vertailu[[#This Row],[Y-tunnus]],'3.2 Suoritepäätös 2019'!$A:$S,COLUMN('3.2 Suoritepäätös 2019'!Q:Q),FALSE),0)</f>
        <v>293203</v>
      </c>
      <c r="Q74" s="243">
        <f>IFERROR(VLOOKUP(Vertailu[[#This Row],[Y-tunnus]],'1.2 Ohjaus-laskentataulu'!A:AT,COLUMN('1.2 Ohjaus-laskentataulu'!AR:AR),FALSE),0)</f>
        <v>254042</v>
      </c>
      <c r="R74" s="21">
        <f>IFERROR(Vertailu[[#This Row],[Rahoitus ml. hark. kor. 
2020 ilman alv, €]]-Vertailu[[#This Row],[Rahoitus ml. hark. kor. 
2019 ilman alv, €]],0)</f>
        <v>-39161</v>
      </c>
      <c r="S74" s="19">
        <f>IFERROR(Vertailu[[#This Row],[Muutos, € 2]]/Vertailu[[#This Row],[Rahoitus ml. hark. kor. 
2019 ilman alv, €]],0)</f>
        <v>-0.13356275345068092</v>
      </c>
      <c r="T74" s="243">
        <f>IFERROR(VLOOKUP(Vertailu[[#This Row],[Y-tunnus]],'3.2 Suoritepäätös 2019'!$A:$S,COLUMN('3.2 Suoritepäätös 2019'!Q:Q),FALSE)+VLOOKUP(Vertailu[[#This Row],[Y-tunnus]],'3.2 Suoritepäätös 2019'!$A:$S,COLUMN('3.2 Suoritepäätös 2019'!R:R),FALSE),0)</f>
        <v>293203</v>
      </c>
      <c r="U74" s="217">
        <f>IFERROR(VLOOKUP(Vertailu[[#This Row],[Y-tunnus]],'1.2 Ohjaus-laskentataulu'!A:AT,COLUMN('1.2 Ohjaus-laskentataulu'!AT:AT),FALSE),0)</f>
        <v>254042</v>
      </c>
      <c r="V74" s="249">
        <f>IFERROR(Vertailu[[#This Row],[Rahoitus ml. hark. kor. + alv 2020, €]]-Vertailu[[#This Row],[Rahoitus ml. hark. kor. + alv 2019, €]],0)</f>
        <v>-39161</v>
      </c>
      <c r="W74" s="46">
        <f>IFERROR(Vertailu[[#This Row],[Muutos, € 3]]/Vertailu[[#This Row],[Rahoitus ml. hark. kor. + alv 2019, €]],0)</f>
        <v>-0.13356275345068092</v>
      </c>
    </row>
    <row r="75" spans="1:23" ht="12.75" customHeight="1" x14ac:dyDescent="0.25">
      <c r="A75" s="12" t="s">
        <v>384</v>
      </c>
      <c r="B75" s="297" t="s">
        <v>83</v>
      </c>
      <c r="C75" s="297" t="s">
        <v>238</v>
      </c>
      <c r="D75" s="297" t="s">
        <v>423</v>
      </c>
      <c r="E75" s="22">
        <f>IFERROR(VLOOKUP(Vertailu[[#This Row],[Y-tunnus]],'1.2 Ohjaus-laskentataulu'!A:AT,COLUMN('1.2 Ohjaus-laskentataulu'!L:L),FALSE)/VLOOKUP(Vertailu[[#This Row],[Y-tunnus]],'1.2 Ohjaus-laskentataulu'!A:AT,COLUMN('1.2 Ohjaus-laskentataulu'!AR:AR),FALSE),0)</f>
        <v>0.50533014728877523</v>
      </c>
      <c r="F75" s="46">
        <f>IFERROR(VLOOKUP(Vertailu[[#This Row],[Y-tunnus]],'1.2 Ohjaus-laskentataulu'!A:AT,COLUMN('1.2 Ohjaus-laskentataulu'!AO:AO),FALSE)/VLOOKUP(Vertailu[[#This Row],[Y-tunnus]],'1.2 Ohjaus-laskentataulu'!A:AT,COLUMN('1.2 Ohjaus-laskentataulu'!AR:AR),FALSE),0)</f>
        <v>0.50533014728877523</v>
      </c>
      <c r="G75" s="299">
        <f>IFERROR(VLOOKUP(Vertailu[[#This Row],[Y-tunnus]],'1.2 Ohjaus-laskentataulu'!A:AT,COLUMN('1.2 Ohjaus-laskentataulu'!AP:AP),FALSE)/VLOOKUP(Vertailu[[#This Row],[Y-tunnus]],'1.2 Ohjaus-laskentataulu'!A:AT,COLUMN('1.2 Ohjaus-laskentataulu'!AR:AR),FALSE),0)</f>
        <v>0.22416981172176964</v>
      </c>
      <c r="H75" s="22">
        <f>IFERROR(VLOOKUP(Vertailu[[#This Row],[Y-tunnus]],'1.2 Ohjaus-laskentataulu'!A:AT,COLUMN('1.2 Ohjaus-laskentataulu'!AQ:AQ),FALSE)/VLOOKUP(Vertailu[[#This Row],[Y-tunnus]],'1.2 Ohjaus-laskentataulu'!A:AT,COLUMN('1.2 Ohjaus-laskentataulu'!AR:AR),FALSE),0)</f>
        <v>0.27050004098945507</v>
      </c>
      <c r="I75" s="19">
        <f>IFERROR(VLOOKUP(Vertailu[[#This Row],[Y-tunnus]],'1.2 Ohjaus-laskentataulu'!A:AT,COLUMN('1.2 Ohjaus-laskentataulu'!R:R),FALSE)/VLOOKUP(Vertailu[[#This Row],[Y-tunnus]],'1.2 Ohjaus-laskentataulu'!A:AT,COLUMN('1.2 Ohjaus-laskentataulu'!AR:AR),FALSE),0)</f>
        <v>0.20653827352415191</v>
      </c>
      <c r="J75" s="19">
        <f>IFERROR(VLOOKUP(Vertailu[[#This Row],[Y-tunnus]],'1.2 Ohjaus-laskentataulu'!A:AT,COLUMN('1.2 Ohjaus-laskentataulu'!U:U),FALSE)/VLOOKUP(Vertailu[[#This Row],[Y-tunnus]],'1.2 Ohjaus-laskentataulu'!A:AT,COLUMN('1.2 Ohjaus-laskentataulu'!AR:AR),FALSE),0)</f>
        <v>0</v>
      </c>
      <c r="K75" s="46">
        <f>IFERROR(VLOOKUP(Vertailu[[#This Row],[Y-tunnus]],'1.2 Ohjaus-laskentataulu'!A:AT,COLUMN('1.2 Ohjaus-laskentataulu'!X:X),FALSE)/VLOOKUP(Vertailu[[#This Row],[Y-tunnus]],'1.2 Ohjaus-laskentataulu'!A:AT,COLUMN('1.2 Ohjaus-laskentataulu'!AR:AR),FALSE),0)</f>
        <v>6.3961767465303188E-2</v>
      </c>
      <c r="L75" s="21">
        <f>IFERROR(VLOOKUP(Vertailu[[#This Row],[Y-tunnus]],'3.2 Suoritepäätös 2019'!$A:$S,COLUMN('3.2 Suoritepäätös 2019'!Q:Q),FALSE)-VLOOKUP(Vertailu[[#This Row],[Y-tunnus]],'3.2 Suoritepäätös 2019'!$A:$S,COLUMN('3.2 Suoritepäätös 2019'!L:L),FALSE),0)</f>
        <v>274287</v>
      </c>
      <c r="M75" s="21">
        <f>IFERROR(VLOOKUP(Vertailu[[#This Row],[Y-tunnus]],'1.2 Ohjaus-laskentataulu'!A:AT,COLUMN('1.2 Ohjaus-laskentataulu'!Z:Z),FALSE),0)</f>
        <v>329353</v>
      </c>
      <c r="N75" s="21">
        <f>IFERROR(Vertailu[[#This Row],[Rahoitus pl. hark. kor. 2020 ilman alv, €]]-Vertailu[[#This Row],[Rahoitus pl. hark. kor. 2019 ilman alv, €]],0)</f>
        <v>55066</v>
      </c>
      <c r="O75" s="46">
        <f>IFERROR(Vertailu[[#This Row],[Muutos, € 1]]/Vertailu[[#This Row],[Rahoitus pl. hark. kor. 2019 ilman alv, €]],0)</f>
        <v>0.20076051726840863</v>
      </c>
      <c r="P75" s="217">
        <f>IFERROR(VLOOKUP(Vertailu[[#This Row],[Y-tunnus]],'3.2 Suoritepäätös 2019'!$A:$S,COLUMN('3.2 Suoritepäätös 2019'!Q:Q),FALSE),0)</f>
        <v>274287</v>
      </c>
      <c r="Q75" s="243">
        <f>IFERROR(VLOOKUP(Vertailu[[#This Row],[Y-tunnus]],'1.2 Ohjaus-laskentataulu'!A:AT,COLUMN('1.2 Ohjaus-laskentataulu'!AR:AR),FALSE),0)</f>
        <v>329353</v>
      </c>
      <c r="R75" s="21">
        <f>IFERROR(Vertailu[[#This Row],[Rahoitus ml. hark. kor. 
2020 ilman alv, €]]-Vertailu[[#This Row],[Rahoitus ml. hark. kor. 
2019 ilman alv, €]],0)</f>
        <v>55066</v>
      </c>
      <c r="S75" s="19">
        <f>IFERROR(Vertailu[[#This Row],[Muutos, € 2]]/Vertailu[[#This Row],[Rahoitus ml. hark. kor. 
2019 ilman alv, €]],0)</f>
        <v>0.20076051726840863</v>
      </c>
      <c r="T75" s="243">
        <f>IFERROR(VLOOKUP(Vertailu[[#This Row],[Y-tunnus]],'3.2 Suoritepäätös 2019'!$A:$S,COLUMN('3.2 Suoritepäätös 2019'!Q:Q),FALSE)+VLOOKUP(Vertailu[[#This Row],[Y-tunnus]],'3.2 Suoritepäätös 2019'!$A:$S,COLUMN('3.2 Suoritepäätös 2019'!R:R),FALSE),0)</f>
        <v>288513</v>
      </c>
      <c r="U75" s="217">
        <f>IFERROR(VLOOKUP(Vertailu[[#This Row],[Y-tunnus]],'1.2 Ohjaus-laskentataulu'!A:AT,COLUMN('1.2 Ohjaus-laskentataulu'!AT:AT),FALSE),0)</f>
        <v>329353</v>
      </c>
      <c r="V75" s="249">
        <f>IFERROR(Vertailu[[#This Row],[Rahoitus ml. hark. kor. + alv 2020, €]]-Vertailu[[#This Row],[Rahoitus ml. hark. kor. + alv 2019, €]],0)</f>
        <v>40840</v>
      </c>
      <c r="W75" s="46">
        <f>IFERROR(Vertailu[[#This Row],[Muutos, € 3]]/Vertailu[[#This Row],[Rahoitus ml. hark. kor. + alv 2019, €]],0)</f>
        <v>0.14155341353769155</v>
      </c>
    </row>
    <row r="76" spans="1:23" ht="12.75" customHeight="1" x14ac:dyDescent="0.25">
      <c r="A76" s="12" t="s">
        <v>338</v>
      </c>
      <c r="B76" s="297" t="s">
        <v>84</v>
      </c>
      <c r="C76" s="297" t="s">
        <v>252</v>
      </c>
      <c r="D76" s="297" t="s">
        <v>423</v>
      </c>
      <c r="E76" s="22">
        <f>IFERROR(VLOOKUP(Vertailu[[#This Row],[Y-tunnus]],'1.2 Ohjaus-laskentataulu'!A:AT,COLUMN('1.2 Ohjaus-laskentataulu'!L:L),FALSE)/VLOOKUP(Vertailu[[#This Row],[Y-tunnus]],'1.2 Ohjaus-laskentataulu'!A:AT,COLUMN('1.2 Ohjaus-laskentataulu'!AR:AR),FALSE),0)</f>
        <v>0.47058140480033445</v>
      </c>
      <c r="F76" s="46">
        <f>IFERROR(VLOOKUP(Vertailu[[#This Row],[Y-tunnus]],'1.2 Ohjaus-laskentataulu'!A:AT,COLUMN('1.2 Ohjaus-laskentataulu'!AO:AO),FALSE)/VLOOKUP(Vertailu[[#This Row],[Y-tunnus]],'1.2 Ohjaus-laskentataulu'!A:AT,COLUMN('1.2 Ohjaus-laskentataulu'!AR:AR),FALSE),0)</f>
        <v>0.47058140480033445</v>
      </c>
      <c r="G76" s="299">
        <f>IFERROR(VLOOKUP(Vertailu[[#This Row],[Y-tunnus]],'1.2 Ohjaus-laskentataulu'!A:AT,COLUMN('1.2 Ohjaus-laskentataulu'!AP:AP),FALSE)/VLOOKUP(Vertailu[[#This Row],[Y-tunnus]],'1.2 Ohjaus-laskentataulu'!A:AT,COLUMN('1.2 Ohjaus-laskentataulu'!AR:AR),FALSE),0)</f>
        <v>0.21386685864907859</v>
      </c>
      <c r="H76" s="22">
        <f>IFERROR(VLOOKUP(Vertailu[[#This Row],[Y-tunnus]],'1.2 Ohjaus-laskentataulu'!A:AT,COLUMN('1.2 Ohjaus-laskentataulu'!AQ:AQ),FALSE)/VLOOKUP(Vertailu[[#This Row],[Y-tunnus]],'1.2 Ohjaus-laskentataulu'!A:AT,COLUMN('1.2 Ohjaus-laskentataulu'!AR:AR),FALSE),0)</f>
        <v>0.31555173655058699</v>
      </c>
      <c r="I76" s="19">
        <f>IFERROR(VLOOKUP(Vertailu[[#This Row],[Y-tunnus]],'1.2 Ohjaus-laskentataulu'!A:AT,COLUMN('1.2 Ohjaus-laskentataulu'!R:R),FALSE)/VLOOKUP(Vertailu[[#This Row],[Y-tunnus]],'1.2 Ohjaus-laskentataulu'!A:AT,COLUMN('1.2 Ohjaus-laskentataulu'!AR:AR),FALSE),0)</f>
        <v>0.25393157530084343</v>
      </c>
      <c r="J76" s="19">
        <f>IFERROR(VLOOKUP(Vertailu[[#This Row],[Y-tunnus]],'1.2 Ohjaus-laskentataulu'!A:AT,COLUMN('1.2 Ohjaus-laskentataulu'!U:U),FALSE)/VLOOKUP(Vertailu[[#This Row],[Y-tunnus]],'1.2 Ohjaus-laskentataulu'!A:AT,COLUMN('1.2 Ohjaus-laskentataulu'!AR:AR),FALSE),0)</f>
        <v>1.5052814516347535E-2</v>
      </c>
      <c r="K76" s="46">
        <f>IFERROR(VLOOKUP(Vertailu[[#This Row],[Y-tunnus]],'1.2 Ohjaus-laskentataulu'!A:AT,COLUMN('1.2 Ohjaus-laskentataulu'!X:X),FALSE)/VLOOKUP(Vertailu[[#This Row],[Y-tunnus]],'1.2 Ohjaus-laskentataulu'!A:AT,COLUMN('1.2 Ohjaus-laskentataulu'!AR:AR),FALSE),0)</f>
        <v>4.6567346733396034E-2</v>
      </c>
      <c r="L76" s="21">
        <f>IFERROR(VLOOKUP(Vertailu[[#This Row],[Y-tunnus]],'3.2 Suoritepäätös 2019'!$A:$S,COLUMN('3.2 Suoritepäätös 2019'!Q:Q),FALSE)-VLOOKUP(Vertailu[[#This Row],[Y-tunnus]],'3.2 Suoritepäätös 2019'!$A:$S,COLUMN('3.2 Suoritepäätös 2019'!L:L),FALSE),0)</f>
        <v>207065</v>
      </c>
      <c r="M76" s="21">
        <f>IFERROR(VLOOKUP(Vertailu[[#This Row],[Y-tunnus]],'1.2 Ohjaus-laskentataulu'!A:AT,COLUMN('1.2 Ohjaus-laskentataulu'!Z:Z),FALSE),0)</f>
        <v>258357</v>
      </c>
      <c r="N76" s="21">
        <f>IFERROR(Vertailu[[#This Row],[Rahoitus pl. hark. kor. 2020 ilman alv, €]]-Vertailu[[#This Row],[Rahoitus pl. hark. kor. 2019 ilman alv, €]],0)</f>
        <v>51292</v>
      </c>
      <c r="O76" s="46">
        <f>IFERROR(Vertailu[[#This Row],[Muutos, € 1]]/Vertailu[[#This Row],[Rahoitus pl. hark. kor. 2019 ilman alv, €]],0)</f>
        <v>0.2477096563880907</v>
      </c>
      <c r="P76" s="217">
        <f>IFERROR(VLOOKUP(Vertailu[[#This Row],[Y-tunnus]],'3.2 Suoritepäätös 2019'!$A:$S,COLUMN('3.2 Suoritepäätös 2019'!Q:Q),FALSE),0)</f>
        <v>207065</v>
      </c>
      <c r="Q76" s="243">
        <f>IFERROR(VLOOKUP(Vertailu[[#This Row],[Y-tunnus]],'1.2 Ohjaus-laskentataulu'!A:AT,COLUMN('1.2 Ohjaus-laskentataulu'!AR:AR),FALSE),0)</f>
        <v>258357</v>
      </c>
      <c r="R76" s="21">
        <f>IFERROR(Vertailu[[#This Row],[Rahoitus ml. hark. kor. 
2020 ilman alv, €]]-Vertailu[[#This Row],[Rahoitus ml. hark. kor. 
2019 ilman alv, €]],0)</f>
        <v>51292</v>
      </c>
      <c r="S76" s="19">
        <f>IFERROR(Vertailu[[#This Row],[Muutos, € 2]]/Vertailu[[#This Row],[Rahoitus ml. hark. kor. 
2019 ilman alv, €]],0)</f>
        <v>0.2477096563880907</v>
      </c>
      <c r="T76" s="243">
        <f>IFERROR(VLOOKUP(Vertailu[[#This Row],[Y-tunnus]],'3.2 Suoritepäätös 2019'!$A:$S,COLUMN('3.2 Suoritepäätös 2019'!Q:Q),FALSE)+VLOOKUP(Vertailu[[#This Row],[Y-tunnus]],'3.2 Suoritepäätös 2019'!$A:$S,COLUMN('3.2 Suoritepäätös 2019'!R:R),FALSE),0)</f>
        <v>217860</v>
      </c>
      <c r="U76" s="217">
        <f>IFERROR(VLOOKUP(Vertailu[[#This Row],[Y-tunnus]],'1.2 Ohjaus-laskentataulu'!A:AT,COLUMN('1.2 Ohjaus-laskentataulu'!AT:AT),FALSE),0)</f>
        <v>259653</v>
      </c>
      <c r="V76" s="249">
        <f>IFERROR(Vertailu[[#This Row],[Rahoitus ml. hark. kor. + alv 2020, €]]-Vertailu[[#This Row],[Rahoitus ml. hark. kor. + alv 2019, €]],0)</f>
        <v>41793</v>
      </c>
      <c r="W76" s="46">
        <f>IFERROR(Vertailu[[#This Row],[Muutos, € 3]]/Vertailu[[#This Row],[Rahoitus ml. hark. kor. + alv 2019, €]],0)</f>
        <v>0.19183420545304325</v>
      </c>
    </row>
    <row r="77" spans="1:23" ht="12.75" customHeight="1" x14ac:dyDescent="0.25">
      <c r="A77" s="12" t="s">
        <v>337</v>
      </c>
      <c r="B77" s="297" t="s">
        <v>85</v>
      </c>
      <c r="C77" s="297" t="s">
        <v>252</v>
      </c>
      <c r="D77" s="297" t="s">
        <v>423</v>
      </c>
      <c r="E77" s="22">
        <f>IFERROR(VLOOKUP(Vertailu[[#This Row],[Y-tunnus]],'1.2 Ohjaus-laskentataulu'!A:AT,COLUMN('1.2 Ohjaus-laskentataulu'!L:L),FALSE)/VLOOKUP(Vertailu[[#This Row],[Y-tunnus]],'1.2 Ohjaus-laskentataulu'!A:AT,COLUMN('1.2 Ohjaus-laskentataulu'!AR:AR),FALSE),0)</f>
        <v>0.62540626735100147</v>
      </c>
      <c r="F77" s="46">
        <f>IFERROR(VLOOKUP(Vertailu[[#This Row],[Y-tunnus]],'1.2 Ohjaus-laskentataulu'!A:AT,COLUMN('1.2 Ohjaus-laskentataulu'!AO:AO),FALSE)/VLOOKUP(Vertailu[[#This Row],[Y-tunnus]],'1.2 Ohjaus-laskentataulu'!A:AT,COLUMN('1.2 Ohjaus-laskentataulu'!AR:AR),FALSE),0)</f>
        <v>0.62540626735100147</v>
      </c>
      <c r="G77" s="299">
        <f>IFERROR(VLOOKUP(Vertailu[[#This Row],[Y-tunnus]],'1.2 Ohjaus-laskentataulu'!A:AT,COLUMN('1.2 Ohjaus-laskentataulu'!AP:AP),FALSE)/VLOOKUP(Vertailu[[#This Row],[Y-tunnus]],'1.2 Ohjaus-laskentataulu'!A:AT,COLUMN('1.2 Ohjaus-laskentataulu'!AR:AR),FALSE),0)</f>
        <v>0.26355748005904417</v>
      </c>
      <c r="H77" s="22">
        <f>IFERROR(VLOOKUP(Vertailu[[#This Row],[Y-tunnus]],'1.2 Ohjaus-laskentataulu'!A:AT,COLUMN('1.2 Ohjaus-laskentataulu'!AQ:AQ),FALSE)/VLOOKUP(Vertailu[[#This Row],[Y-tunnus]],'1.2 Ohjaus-laskentataulu'!A:AT,COLUMN('1.2 Ohjaus-laskentataulu'!AR:AR),FALSE),0)</f>
        <v>0.11103625258995437</v>
      </c>
      <c r="I77" s="19">
        <f>IFERROR(VLOOKUP(Vertailu[[#This Row],[Y-tunnus]],'1.2 Ohjaus-laskentataulu'!A:AT,COLUMN('1.2 Ohjaus-laskentataulu'!R:R),FALSE)/VLOOKUP(Vertailu[[#This Row],[Y-tunnus]],'1.2 Ohjaus-laskentataulu'!A:AT,COLUMN('1.2 Ohjaus-laskentataulu'!AR:AR),FALSE),0)</f>
        <v>8.8222648050593822E-2</v>
      </c>
      <c r="J77" s="19">
        <f>IFERROR(VLOOKUP(Vertailu[[#This Row],[Y-tunnus]],'1.2 Ohjaus-laskentataulu'!A:AT,COLUMN('1.2 Ohjaus-laskentataulu'!U:U),FALSE)/VLOOKUP(Vertailu[[#This Row],[Y-tunnus]],'1.2 Ohjaus-laskentataulu'!A:AT,COLUMN('1.2 Ohjaus-laskentataulu'!AR:AR),FALSE),0)</f>
        <v>4.8447381606922793E-3</v>
      </c>
      <c r="K77" s="46">
        <f>IFERROR(VLOOKUP(Vertailu[[#This Row],[Y-tunnus]],'1.2 Ohjaus-laskentataulu'!A:AT,COLUMN('1.2 Ohjaus-laskentataulu'!X:X),FALSE)/VLOOKUP(Vertailu[[#This Row],[Y-tunnus]],'1.2 Ohjaus-laskentataulu'!A:AT,COLUMN('1.2 Ohjaus-laskentataulu'!AR:AR),FALSE),0)</f>
        <v>1.7968866378668256E-2</v>
      </c>
      <c r="L77" s="21">
        <f>IFERROR(VLOOKUP(Vertailu[[#This Row],[Y-tunnus]],'3.2 Suoritepäätös 2019'!$A:$S,COLUMN('3.2 Suoritepäätös 2019'!Q:Q),FALSE)-VLOOKUP(Vertailu[[#This Row],[Y-tunnus]],'3.2 Suoritepäätös 2019'!$A:$S,COLUMN('3.2 Suoritepäätös 2019'!L:L),FALSE),0)</f>
        <v>557931</v>
      </c>
      <c r="M77" s="21">
        <f>IFERROR(VLOOKUP(Vertailu[[#This Row],[Y-tunnus]],'1.2 Ohjaus-laskentataulu'!A:AT,COLUMN('1.2 Ohjaus-laskentataulu'!Z:Z),FALSE),0)</f>
        <v>590744</v>
      </c>
      <c r="N77" s="21">
        <f>IFERROR(Vertailu[[#This Row],[Rahoitus pl. hark. kor. 2020 ilman alv, €]]-Vertailu[[#This Row],[Rahoitus pl. hark. kor. 2019 ilman alv, €]],0)</f>
        <v>32813</v>
      </c>
      <c r="O77" s="46">
        <f>IFERROR(Vertailu[[#This Row],[Muutos, € 1]]/Vertailu[[#This Row],[Rahoitus pl. hark. kor. 2019 ilman alv, €]],0)</f>
        <v>5.8811931941404938E-2</v>
      </c>
      <c r="P77" s="217">
        <f>IFERROR(VLOOKUP(Vertailu[[#This Row],[Y-tunnus]],'3.2 Suoritepäätös 2019'!$A:$S,COLUMN('3.2 Suoritepäätös 2019'!Q:Q),FALSE),0)</f>
        <v>557931</v>
      </c>
      <c r="Q77" s="243">
        <f>IFERROR(VLOOKUP(Vertailu[[#This Row],[Y-tunnus]],'1.2 Ohjaus-laskentataulu'!A:AT,COLUMN('1.2 Ohjaus-laskentataulu'!AR:AR),FALSE),0)</f>
        <v>590744</v>
      </c>
      <c r="R77" s="21">
        <f>IFERROR(Vertailu[[#This Row],[Rahoitus ml. hark. kor. 
2020 ilman alv, €]]-Vertailu[[#This Row],[Rahoitus ml. hark. kor. 
2019 ilman alv, €]],0)</f>
        <v>32813</v>
      </c>
      <c r="S77" s="19">
        <f>IFERROR(Vertailu[[#This Row],[Muutos, € 2]]/Vertailu[[#This Row],[Rahoitus ml. hark. kor. 
2019 ilman alv, €]],0)</f>
        <v>5.8811931941404938E-2</v>
      </c>
      <c r="T77" s="243">
        <f>IFERROR(VLOOKUP(Vertailu[[#This Row],[Y-tunnus]],'3.2 Suoritepäätös 2019'!$A:$S,COLUMN('3.2 Suoritepäätös 2019'!Q:Q),FALSE)+VLOOKUP(Vertailu[[#This Row],[Y-tunnus]],'3.2 Suoritepäätös 2019'!$A:$S,COLUMN('3.2 Suoritepäätös 2019'!R:R),FALSE),0)</f>
        <v>586841</v>
      </c>
      <c r="U77" s="217">
        <f>IFERROR(VLOOKUP(Vertailu[[#This Row],[Y-tunnus]],'1.2 Ohjaus-laskentataulu'!A:AT,COLUMN('1.2 Ohjaus-laskentataulu'!AT:AT),FALSE),0)</f>
        <v>601993</v>
      </c>
      <c r="V77" s="249">
        <f>IFERROR(Vertailu[[#This Row],[Rahoitus ml. hark. kor. + alv 2020, €]]-Vertailu[[#This Row],[Rahoitus ml. hark. kor. + alv 2019, €]],0)</f>
        <v>15152</v>
      </c>
      <c r="W77" s="46">
        <f>IFERROR(Vertailu[[#This Row],[Muutos, € 3]]/Vertailu[[#This Row],[Rahoitus ml. hark. kor. + alv 2019, €]],0)</f>
        <v>2.581960019835015E-2</v>
      </c>
    </row>
    <row r="78" spans="1:23" ht="12.75" customHeight="1" x14ac:dyDescent="0.25">
      <c r="A78" s="12" t="s">
        <v>335</v>
      </c>
      <c r="B78" s="297" t="s">
        <v>86</v>
      </c>
      <c r="C78" s="297" t="s">
        <v>334</v>
      </c>
      <c r="D78" s="297" t="s">
        <v>422</v>
      </c>
      <c r="E78" s="22">
        <f>IFERROR(VLOOKUP(Vertailu[[#This Row],[Y-tunnus]],'1.2 Ohjaus-laskentataulu'!A:AT,COLUMN('1.2 Ohjaus-laskentataulu'!L:L),FALSE)/VLOOKUP(Vertailu[[#This Row],[Y-tunnus]],'1.2 Ohjaus-laskentataulu'!A:AT,COLUMN('1.2 Ohjaus-laskentataulu'!AR:AR),FALSE),0)</f>
        <v>0.64230989465158261</v>
      </c>
      <c r="F78" s="46">
        <f>IFERROR(VLOOKUP(Vertailu[[#This Row],[Y-tunnus]],'1.2 Ohjaus-laskentataulu'!A:AT,COLUMN('1.2 Ohjaus-laskentataulu'!AO:AO),FALSE)/VLOOKUP(Vertailu[[#This Row],[Y-tunnus]],'1.2 Ohjaus-laskentataulu'!A:AT,COLUMN('1.2 Ohjaus-laskentataulu'!AR:AR),FALSE),0)</f>
        <v>0.65811499287422504</v>
      </c>
      <c r="G78" s="299">
        <f>IFERROR(VLOOKUP(Vertailu[[#This Row],[Y-tunnus]],'1.2 Ohjaus-laskentataulu'!A:AT,COLUMN('1.2 Ohjaus-laskentataulu'!AP:AP),FALSE)/VLOOKUP(Vertailu[[#This Row],[Y-tunnus]],'1.2 Ohjaus-laskentataulu'!A:AT,COLUMN('1.2 Ohjaus-laskentataulu'!AR:AR),FALSE),0)</f>
        <v>0.20380488215765249</v>
      </c>
      <c r="H78" s="22">
        <f>IFERROR(VLOOKUP(Vertailu[[#This Row],[Y-tunnus]],'1.2 Ohjaus-laskentataulu'!A:AT,COLUMN('1.2 Ohjaus-laskentataulu'!AQ:AQ),FALSE)/VLOOKUP(Vertailu[[#This Row],[Y-tunnus]],'1.2 Ohjaus-laskentataulu'!A:AT,COLUMN('1.2 Ohjaus-laskentataulu'!AR:AR),FALSE),0)</f>
        <v>0.13808012496812253</v>
      </c>
      <c r="I78" s="19">
        <f>IFERROR(VLOOKUP(Vertailu[[#This Row],[Y-tunnus]],'1.2 Ohjaus-laskentataulu'!A:AT,COLUMN('1.2 Ohjaus-laskentataulu'!R:R),FALSE)/VLOOKUP(Vertailu[[#This Row],[Y-tunnus]],'1.2 Ohjaus-laskentataulu'!A:AT,COLUMN('1.2 Ohjaus-laskentataulu'!AR:AR),FALSE),0)</f>
        <v>9.7971155323859013E-2</v>
      </c>
      <c r="J78" s="19">
        <f>IFERROR(VLOOKUP(Vertailu[[#This Row],[Y-tunnus]],'1.2 Ohjaus-laskentataulu'!A:AT,COLUMN('1.2 Ohjaus-laskentataulu'!U:U),FALSE)/VLOOKUP(Vertailu[[#This Row],[Y-tunnus]],'1.2 Ohjaus-laskentataulu'!A:AT,COLUMN('1.2 Ohjaus-laskentataulu'!AR:AR),FALSE),0)</f>
        <v>8.4715326473362874E-3</v>
      </c>
      <c r="K78" s="46">
        <f>IFERROR(VLOOKUP(Vertailu[[#This Row],[Y-tunnus]],'1.2 Ohjaus-laskentataulu'!A:AT,COLUMN('1.2 Ohjaus-laskentataulu'!X:X),FALSE)/VLOOKUP(Vertailu[[#This Row],[Y-tunnus]],'1.2 Ohjaus-laskentataulu'!A:AT,COLUMN('1.2 Ohjaus-laskentataulu'!AR:AR),FALSE),0)</f>
        <v>3.1637436996927212E-2</v>
      </c>
      <c r="L78" s="21">
        <f>IFERROR(VLOOKUP(Vertailu[[#This Row],[Y-tunnus]],'3.2 Suoritepäätös 2019'!$A:$S,COLUMN('3.2 Suoritepäätös 2019'!Q:Q),FALSE)-VLOOKUP(Vertailu[[#This Row],[Y-tunnus]],'3.2 Suoritepäätös 2019'!$A:$S,COLUMN('3.2 Suoritepäätös 2019'!L:L),FALSE),0)</f>
        <v>10220545</v>
      </c>
      <c r="M78" s="21">
        <f>IFERROR(VLOOKUP(Vertailu[[#This Row],[Y-tunnus]],'1.2 Ohjaus-laskentataulu'!A:AT,COLUMN('1.2 Ohjaus-laskentataulu'!Z:Z),FALSE),0)</f>
        <v>10586023</v>
      </c>
      <c r="N78" s="21">
        <f>IFERROR(Vertailu[[#This Row],[Rahoitus pl. hark. kor. 2020 ilman alv, €]]-Vertailu[[#This Row],[Rahoitus pl. hark. kor. 2019 ilman alv, €]],0)</f>
        <v>365478</v>
      </c>
      <c r="O78" s="46">
        <f>IFERROR(Vertailu[[#This Row],[Muutos, € 1]]/Vertailu[[#This Row],[Rahoitus pl. hark. kor. 2019 ilman alv, €]],0)</f>
        <v>3.575914983007266E-2</v>
      </c>
      <c r="P78" s="217">
        <f>IFERROR(VLOOKUP(Vertailu[[#This Row],[Y-tunnus]],'3.2 Suoritepäätös 2019'!$A:$S,COLUMN('3.2 Suoritepäätös 2019'!Q:Q),FALSE),0)</f>
        <v>10310545</v>
      </c>
      <c r="Q78" s="243">
        <f>IFERROR(VLOOKUP(Vertailu[[#This Row],[Y-tunnus]],'1.2 Ohjaus-laskentataulu'!A:AT,COLUMN('1.2 Ohjaus-laskentataulu'!AR:AR),FALSE),0)</f>
        <v>10756023</v>
      </c>
      <c r="R78" s="21">
        <f>IFERROR(Vertailu[[#This Row],[Rahoitus ml. hark. kor. 
2020 ilman alv, €]]-Vertailu[[#This Row],[Rahoitus ml. hark. kor. 
2019 ilman alv, €]],0)</f>
        <v>445478</v>
      </c>
      <c r="S78" s="19">
        <f>IFERROR(Vertailu[[#This Row],[Muutos, € 2]]/Vertailu[[#This Row],[Rahoitus ml. hark. kor. 
2019 ilman alv, €]],0)</f>
        <v>4.3206057487746766E-2</v>
      </c>
      <c r="T78" s="243">
        <f>IFERROR(VLOOKUP(Vertailu[[#This Row],[Y-tunnus]],'3.2 Suoritepäätös 2019'!$A:$S,COLUMN('3.2 Suoritepäätös 2019'!Q:Q),FALSE)+VLOOKUP(Vertailu[[#This Row],[Y-tunnus]],'3.2 Suoritepäätös 2019'!$A:$S,COLUMN('3.2 Suoritepäätös 2019'!R:R),FALSE),0)</f>
        <v>10310545</v>
      </c>
      <c r="U78" s="217">
        <f>IFERROR(VLOOKUP(Vertailu[[#This Row],[Y-tunnus]],'1.2 Ohjaus-laskentataulu'!A:AT,COLUMN('1.2 Ohjaus-laskentataulu'!AT:AT),FALSE),0)</f>
        <v>10756023</v>
      </c>
      <c r="V78" s="249">
        <f>IFERROR(Vertailu[[#This Row],[Rahoitus ml. hark. kor. + alv 2020, €]]-Vertailu[[#This Row],[Rahoitus ml. hark. kor. + alv 2019, €]],0)</f>
        <v>445478</v>
      </c>
      <c r="W78" s="46">
        <f>IFERROR(Vertailu[[#This Row],[Muutos, € 3]]/Vertailu[[#This Row],[Rahoitus ml. hark. kor. + alv 2019, €]],0)</f>
        <v>4.3206057487746766E-2</v>
      </c>
    </row>
    <row r="79" spans="1:23" ht="12.75" customHeight="1" x14ac:dyDescent="0.25">
      <c r="A79" s="12" t="s">
        <v>333</v>
      </c>
      <c r="B79" s="297" t="s">
        <v>87</v>
      </c>
      <c r="C79" s="297" t="s">
        <v>254</v>
      </c>
      <c r="D79" s="297" t="s">
        <v>422</v>
      </c>
      <c r="E79" s="22">
        <f>IFERROR(VLOOKUP(Vertailu[[#This Row],[Y-tunnus]],'1.2 Ohjaus-laskentataulu'!A:AT,COLUMN('1.2 Ohjaus-laskentataulu'!L:L),FALSE)/VLOOKUP(Vertailu[[#This Row],[Y-tunnus]],'1.2 Ohjaus-laskentataulu'!A:AT,COLUMN('1.2 Ohjaus-laskentataulu'!AR:AR),FALSE),0)</f>
        <v>0.65174387066551853</v>
      </c>
      <c r="F79" s="46">
        <f>IFERROR(VLOOKUP(Vertailu[[#This Row],[Y-tunnus]],'1.2 Ohjaus-laskentataulu'!A:AT,COLUMN('1.2 Ohjaus-laskentataulu'!AO:AO),FALSE)/VLOOKUP(Vertailu[[#This Row],[Y-tunnus]],'1.2 Ohjaus-laskentataulu'!A:AT,COLUMN('1.2 Ohjaus-laskentataulu'!AR:AR),FALSE),0)</f>
        <v>0.65531343838729783</v>
      </c>
      <c r="G79" s="299">
        <f>IFERROR(VLOOKUP(Vertailu[[#This Row],[Y-tunnus]],'1.2 Ohjaus-laskentataulu'!A:AT,COLUMN('1.2 Ohjaus-laskentataulu'!AP:AP),FALSE)/VLOOKUP(Vertailu[[#This Row],[Y-tunnus]],'1.2 Ohjaus-laskentataulu'!A:AT,COLUMN('1.2 Ohjaus-laskentataulu'!AR:AR),FALSE),0)</f>
        <v>0.22592204611429351</v>
      </c>
      <c r="H79" s="22">
        <f>IFERROR(VLOOKUP(Vertailu[[#This Row],[Y-tunnus]],'1.2 Ohjaus-laskentataulu'!A:AT,COLUMN('1.2 Ohjaus-laskentataulu'!AQ:AQ),FALSE)/VLOOKUP(Vertailu[[#This Row],[Y-tunnus]],'1.2 Ohjaus-laskentataulu'!A:AT,COLUMN('1.2 Ohjaus-laskentataulu'!AR:AR),FALSE),0)</f>
        <v>0.11876451549840862</v>
      </c>
      <c r="I79" s="19">
        <f>IFERROR(VLOOKUP(Vertailu[[#This Row],[Y-tunnus]],'1.2 Ohjaus-laskentataulu'!A:AT,COLUMN('1.2 Ohjaus-laskentataulu'!R:R),FALSE)/VLOOKUP(Vertailu[[#This Row],[Y-tunnus]],'1.2 Ohjaus-laskentataulu'!A:AT,COLUMN('1.2 Ohjaus-laskentataulu'!AR:AR),FALSE),0)</f>
        <v>8.5709188031620184E-2</v>
      </c>
      <c r="J79" s="19">
        <f>IFERROR(VLOOKUP(Vertailu[[#This Row],[Y-tunnus]],'1.2 Ohjaus-laskentataulu'!A:AT,COLUMN('1.2 Ohjaus-laskentataulu'!U:U),FALSE)/VLOOKUP(Vertailu[[#This Row],[Y-tunnus]],'1.2 Ohjaus-laskentataulu'!A:AT,COLUMN('1.2 Ohjaus-laskentataulu'!AR:AR),FALSE),0)</f>
        <v>8.4124597427126975E-3</v>
      </c>
      <c r="K79" s="46">
        <f>IFERROR(VLOOKUP(Vertailu[[#This Row],[Y-tunnus]],'1.2 Ohjaus-laskentataulu'!A:AT,COLUMN('1.2 Ohjaus-laskentataulu'!X:X),FALSE)/VLOOKUP(Vertailu[[#This Row],[Y-tunnus]],'1.2 Ohjaus-laskentataulu'!A:AT,COLUMN('1.2 Ohjaus-laskentataulu'!AR:AR),FALSE),0)</f>
        <v>2.4642867724075746E-2</v>
      </c>
      <c r="L79" s="21">
        <f>IFERROR(VLOOKUP(Vertailu[[#This Row],[Y-tunnus]],'3.2 Suoritepäätös 2019'!$A:$S,COLUMN('3.2 Suoritepäätös 2019'!Q:Q),FALSE)-VLOOKUP(Vertailu[[#This Row],[Y-tunnus]],'3.2 Suoritepäätös 2019'!$A:$S,COLUMN('3.2 Suoritepäätös 2019'!L:L),FALSE),0)</f>
        <v>15691105</v>
      </c>
      <c r="M79" s="21">
        <f>IFERROR(VLOOKUP(Vertailu[[#This Row],[Y-tunnus]],'1.2 Ohjaus-laskentataulu'!A:AT,COLUMN('1.2 Ohjaus-laskentataulu'!Z:Z),FALSE),0)</f>
        <v>16748758</v>
      </c>
      <c r="N79" s="21">
        <f>IFERROR(Vertailu[[#This Row],[Rahoitus pl. hark. kor. 2020 ilman alv, €]]-Vertailu[[#This Row],[Rahoitus pl. hark. kor. 2019 ilman alv, €]],0)</f>
        <v>1057653</v>
      </c>
      <c r="O79" s="46">
        <f>IFERROR(Vertailu[[#This Row],[Muutos, € 1]]/Vertailu[[#This Row],[Rahoitus pl. hark. kor. 2019 ilman alv, €]],0)</f>
        <v>6.7404621917959248E-2</v>
      </c>
      <c r="P79" s="217">
        <f>IFERROR(VLOOKUP(Vertailu[[#This Row],[Y-tunnus]],'3.2 Suoritepäätös 2019'!$A:$S,COLUMN('3.2 Suoritepäätös 2019'!Q:Q),FALSE),0)</f>
        <v>15691105</v>
      </c>
      <c r="Q79" s="243">
        <f>IFERROR(VLOOKUP(Vertailu[[#This Row],[Y-tunnus]],'1.2 Ohjaus-laskentataulu'!A:AT,COLUMN('1.2 Ohjaus-laskentataulu'!AR:AR),FALSE),0)</f>
        <v>16808758</v>
      </c>
      <c r="R79" s="21">
        <f>IFERROR(Vertailu[[#This Row],[Rahoitus ml. hark. kor. 
2020 ilman alv, €]]-Vertailu[[#This Row],[Rahoitus ml. hark. kor. 
2019 ilman alv, €]],0)</f>
        <v>1117653</v>
      </c>
      <c r="S79" s="19">
        <f>IFERROR(Vertailu[[#This Row],[Muutos, € 2]]/Vertailu[[#This Row],[Rahoitus ml. hark. kor. 
2019 ilman alv, €]],0)</f>
        <v>7.122844439572612E-2</v>
      </c>
      <c r="T79" s="243">
        <f>IFERROR(VLOOKUP(Vertailu[[#This Row],[Y-tunnus]],'3.2 Suoritepäätös 2019'!$A:$S,COLUMN('3.2 Suoritepäätös 2019'!Q:Q),FALSE)+VLOOKUP(Vertailu[[#This Row],[Y-tunnus]],'3.2 Suoritepäätös 2019'!$A:$S,COLUMN('3.2 Suoritepäätös 2019'!R:R),FALSE),0)</f>
        <v>15691105</v>
      </c>
      <c r="U79" s="217">
        <f>IFERROR(VLOOKUP(Vertailu[[#This Row],[Y-tunnus]],'1.2 Ohjaus-laskentataulu'!A:AT,COLUMN('1.2 Ohjaus-laskentataulu'!AT:AT),FALSE),0)</f>
        <v>16808758</v>
      </c>
      <c r="V79" s="249">
        <f>IFERROR(Vertailu[[#This Row],[Rahoitus ml. hark. kor. + alv 2020, €]]-Vertailu[[#This Row],[Rahoitus ml. hark. kor. + alv 2019, €]],0)</f>
        <v>1117653</v>
      </c>
      <c r="W79" s="46">
        <f>IFERROR(Vertailu[[#This Row],[Muutos, € 3]]/Vertailu[[#This Row],[Rahoitus ml. hark. kor. + alv 2019, €]],0)</f>
        <v>7.122844439572612E-2</v>
      </c>
    </row>
    <row r="80" spans="1:23" ht="12.75" customHeight="1" x14ac:dyDescent="0.25">
      <c r="A80" s="12" t="s">
        <v>332</v>
      </c>
      <c r="B80" s="297" t="s">
        <v>88</v>
      </c>
      <c r="C80" s="297" t="s">
        <v>238</v>
      </c>
      <c r="D80" s="297" t="s">
        <v>422</v>
      </c>
      <c r="E80" s="22">
        <f>IFERROR(VLOOKUP(Vertailu[[#This Row],[Y-tunnus]],'1.2 Ohjaus-laskentataulu'!A:AT,COLUMN('1.2 Ohjaus-laskentataulu'!L:L),FALSE)/VLOOKUP(Vertailu[[#This Row],[Y-tunnus]],'1.2 Ohjaus-laskentataulu'!A:AT,COLUMN('1.2 Ohjaus-laskentataulu'!AR:AR),FALSE),0)</f>
        <v>0.70792860701127502</v>
      </c>
      <c r="F80" s="46">
        <f>IFERROR(VLOOKUP(Vertailu[[#This Row],[Y-tunnus]],'1.2 Ohjaus-laskentataulu'!A:AT,COLUMN('1.2 Ohjaus-laskentataulu'!AO:AO),FALSE)/VLOOKUP(Vertailu[[#This Row],[Y-tunnus]],'1.2 Ohjaus-laskentataulu'!A:AT,COLUMN('1.2 Ohjaus-laskentataulu'!AR:AR),FALSE),0)</f>
        <v>0.70792860701127502</v>
      </c>
      <c r="G80" s="299">
        <f>IFERROR(VLOOKUP(Vertailu[[#This Row],[Y-tunnus]],'1.2 Ohjaus-laskentataulu'!A:AT,COLUMN('1.2 Ohjaus-laskentataulu'!AP:AP),FALSE)/VLOOKUP(Vertailu[[#This Row],[Y-tunnus]],'1.2 Ohjaus-laskentataulu'!A:AT,COLUMN('1.2 Ohjaus-laskentataulu'!AR:AR),FALSE),0)</f>
        <v>0.20688115149243855</v>
      </c>
      <c r="H80" s="22">
        <f>IFERROR(VLOOKUP(Vertailu[[#This Row],[Y-tunnus]],'1.2 Ohjaus-laskentataulu'!A:AT,COLUMN('1.2 Ohjaus-laskentataulu'!AQ:AQ),FALSE)/VLOOKUP(Vertailu[[#This Row],[Y-tunnus]],'1.2 Ohjaus-laskentataulu'!A:AT,COLUMN('1.2 Ohjaus-laskentataulu'!AR:AR),FALSE),0)</f>
        <v>8.5190241496286456E-2</v>
      </c>
      <c r="I80" s="19">
        <f>IFERROR(VLOOKUP(Vertailu[[#This Row],[Y-tunnus]],'1.2 Ohjaus-laskentataulu'!A:AT,COLUMN('1.2 Ohjaus-laskentataulu'!R:R),FALSE)/VLOOKUP(Vertailu[[#This Row],[Y-tunnus]],'1.2 Ohjaus-laskentataulu'!A:AT,COLUMN('1.2 Ohjaus-laskentataulu'!AR:AR),FALSE),0)</f>
        <v>6.4744420579195758E-2</v>
      </c>
      <c r="J80" s="19">
        <f>IFERROR(VLOOKUP(Vertailu[[#This Row],[Y-tunnus]],'1.2 Ohjaus-laskentataulu'!A:AT,COLUMN('1.2 Ohjaus-laskentataulu'!U:U),FALSE)/VLOOKUP(Vertailu[[#This Row],[Y-tunnus]],'1.2 Ohjaus-laskentataulu'!A:AT,COLUMN('1.2 Ohjaus-laskentataulu'!AR:AR),FALSE),0)</f>
        <v>4.5283124412190774E-3</v>
      </c>
      <c r="K80" s="46">
        <f>IFERROR(VLOOKUP(Vertailu[[#This Row],[Y-tunnus]],'1.2 Ohjaus-laskentataulu'!A:AT,COLUMN('1.2 Ohjaus-laskentataulu'!X:X),FALSE)/VLOOKUP(Vertailu[[#This Row],[Y-tunnus]],'1.2 Ohjaus-laskentataulu'!A:AT,COLUMN('1.2 Ohjaus-laskentataulu'!AR:AR),FALSE),0)</f>
        <v>1.5917508475871624E-2</v>
      </c>
      <c r="L80" s="21">
        <f>IFERROR(VLOOKUP(Vertailu[[#This Row],[Y-tunnus]],'3.2 Suoritepäätös 2019'!$A:$S,COLUMN('3.2 Suoritepäätös 2019'!Q:Q),FALSE)-VLOOKUP(Vertailu[[#This Row],[Y-tunnus]],'3.2 Suoritepäätös 2019'!$A:$S,COLUMN('3.2 Suoritepäätös 2019'!L:L),FALSE),0)</f>
        <v>24024781</v>
      </c>
      <c r="M80" s="21">
        <f>IFERROR(VLOOKUP(Vertailu[[#This Row],[Y-tunnus]],'1.2 Ohjaus-laskentataulu'!A:AT,COLUMN('1.2 Ohjaus-laskentataulu'!Z:Z),FALSE),0)</f>
        <v>25528053</v>
      </c>
      <c r="N80" s="21">
        <f>IFERROR(Vertailu[[#This Row],[Rahoitus pl. hark. kor. 2020 ilman alv, €]]-Vertailu[[#This Row],[Rahoitus pl. hark. kor. 2019 ilman alv, €]],0)</f>
        <v>1503272</v>
      </c>
      <c r="O80" s="46">
        <f>IFERROR(Vertailu[[#This Row],[Muutos, € 1]]/Vertailu[[#This Row],[Rahoitus pl. hark. kor. 2019 ilman alv, €]],0)</f>
        <v>6.2571725419682284E-2</v>
      </c>
      <c r="P80" s="217">
        <f>IFERROR(VLOOKUP(Vertailu[[#This Row],[Y-tunnus]],'3.2 Suoritepäätös 2019'!$A:$S,COLUMN('3.2 Suoritepäätös 2019'!Q:Q),FALSE),0)</f>
        <v>24024781</v>
      </c>
      <c r="Q80" s="243">
        <f>IFERROR(VLOOKUP(Vertailu[[#This Row],[Y-tunnus]],'1.2 Ohjaus-laskentataulu'!A:AT,COLUMN('1.2 Ohjaus-laskentataulu'!AR:AR),FALSE),0)</f>
        <v>25528053</v>
      </c>
      <c r="R80" s="21">
        <f>IFERROR(Vertailu[[#This Row],[Rahoitus ml. hark. kor. 
2020 ilman alv, €]]-Vertailu[[#This Row],[Rahoitus ml. hark. kor. 
2019 ilman alv, €]],0)</f>
        <v>1503272</v>
      </c>
      <c r="S80" s="19">
        <f>IFERROR(Vertailu[[#This Row],[Muutos, € 2]]/Vertailu[[#This Row],[Rahoitus ml. hark. kor. 
2019 ilman alv, €]],0)</f>
        <v>6.2571725419682284E-2</v>
      </c>
      <c r="T80" s="243">
        <f>IFERROR(VLOOKUP(Vertailu[[#This Row],[Y-tunnus]],'3.2 Suoritepäätös 2019'!$A:$S,COLUMN('3.2 Suoritepäätös 2019'!Q:Q),FALSE)+VLOOKUP(Vertailu[[#This Row],[Y-tunnus]],'3.2 Suoritepäätös 2019'!$A:$S,COLUMN('3.2 Suoritepäätös 2019'!R:R),FALSE),0)</f>
        <v>24024781</v>
      </c>
      <c r="U80" s="217">
        <f>IFERROR(VLOOKUP(Vertailu[[#This Row],[Y-tunnus]],'1.2 Ohjaus-laskentataulu'!A:AT,COLUMN('1.2 Ohjaus-laskentataulu'!AT:AT),FALSE),0)</f>
        <v>25528053</v>
      </c>
      <c r="V80" s="249">
        <f>IFERROR(Vertailu[[#This Row],[Rahoitus ml. hark. kor. + alv 2020, €]]-Vertailu[[#This Row],[Rahoitus ml. hark. kor. + alv 2019, €]],0)</f>
        <v>1503272</v>
      </c>
      <c r="W80" s="46">
        <f>IFERROR(Vertailu[[#This Row],[Muutos, € 3]]/Vertailu[[#This Row],[Rahoitus ml. hark. kor. + alv 2019, €]],0)</f>
        <v>6.2571725419682284E-2</v>
      </c>
    </row>
    <row r="81" spans="1:23" ht="12.75" customHeight="1" x14ac:dyDescent="0.25">
      <c r="A81" s="12" t="s">
        <v>331</v>
      </c>
      <c r="B81" s="297" t="s">
        <v>89</v>
      </c>
      <c r="C81" s="297" t="s">
        <v>287</v>
      </c>
      <c r="D81" s="297" t="s">
        <v>423</v>
      </c>
      <c r="E81" s="22">
        <f>IFERROR(VLOOKUP(Vertailu[[#This Row],[Y-tunnus]],'1.2 Ohjaus-laskentataulu'!A:AT,COLUMN('1.2 Ohjaus-laskentataulu'!L:L),FALSE)/VLOOKUP(Vertailu[[#This Row],[Y-tunnus]],'1.2 Ohjaus-laskentataulu'!A:AT,COLUMN('1.2 Ohjaus-laskentataulu'!AR:AR),FALSE),0)</f>
        <v>0.67771611261701059</v>
      </c>
      <c r="F81" s="46">
        <f>IFERROR(VLOOKUP(Vertailu[[#This Row],[Y-tunnus]],'1.2 Ohjaus-laskentataulu'!A:AT,COLUMN('1.2 Ohjaus-laskentataulu'!AO:AO),FALSE)/VLOOKUP(Vertailu[[#This Row],[Y-tunnus]],'1.2 Ohjaus-laskentataulu'!A:AT,COLUMN('1.2 Ohjaus-laskentataulu'!AR:AR),FALSE),0)</f>
        <v>0.67878109588434854</v>
      </c>
      <c r="G81" s="299">
        <f>IFERROR(VLOOKUP(Vertailu[[#This Row],[Y-tunnus]],'1.2 Ohjaus-laskentataulu'!A:AT,COLUMN('1.2 Ohjaus-laskentataulu'!AP:AP),FALSE)/VLOOKUP(Vertailu[[#This Row],[Y-tunnus]],'1.2 Ohjaus-laskentataulu'!A:AT,COLUMN('1.2 Ohjaus-laskentataulu'!AR:AR),FALSE),0)</f>
        <v>0.19787673102676101</v>
      </c>
      <c r="H81" s="22">
        <f>IFERROR(VLOOKUP(Vertailu[[#This Row],[Y-tunnus]],'1.2 Ohjaus-laskentataulu'!A:AT,COLUMN('1.2 Ohjaus-laskentataulu'!AQ:AQ),FALSE)/VLOOKUP(Vertailu[[#This Row],[Y-tunnus]],'1.2 Ohjaus-laskentataulu'!A:AT,COLUMN('1.2 Ohjaus-laskentataulu'!AR:AR),FALSE),0)</f>
        <v>0.12334217308889049</v>
      </c>
      <c r="I81" s="19">
        <f>IFERROR(VLOOKUP(Vertailu[[#This Row],[Y-tunnus]],'1.2 Ohjaus-laskentataulu'!A:AT,COLUMN('1.2 Ohjaus-laskentataulu'!R:R),FALSE)/VLOOKUP(Vertailu[[#This Row],[Y-tunnus]],'1.2 Ohjaus-laskentataulu'!A:AT,COLUMN('1.2 Ohjaus-laskentataulu'!AR:AR),FALSE),0)</f>
        <v>9.364296104634369E-2</v>
      </c>
      <c r="J81" s="19">
        <f>IFERROR(VLOOKUP(Vertailu[[#This Row],[Y-tunnus]],'1.2 Ohjaus-laskentataulu'!A:AT,COLUMN('1.2 Ohjaus-laskentataulu'!U:U),FALSE)/VLOOKUP(Vertailu[[#This Row],[Y-tunnus]],'1.2 Ohjaus-laskentataulu'!A:AT,COLUMN('1.2 Ohjaus-laskentataulu'!AR:AR),FALSE),0)</f>
        <v>6.2722781187236247E-3</v>
      </c>
      <c r="K81" s="46">
        <f>IFERROR(VLOOKUP(Vertailu[[#This Row],[Y-tunnus]],'1.2 Ohjaus-laskentataulu'!A:AT,COLUMN('1.2 Ohjaus-laskentataulu'!X:X),FALSE)/VLOOKUP(Vertailu[[#This Row],[Y-tunnus]],'1.2 Ohjaus-laskentataulu'!A:AT,COLUMN('1.2 Ohjaus-laskentataulu'!AR:AR),FALSE),0)</f>
        <v>2.3426933923823168E-2</v>
      </c>
      <c r="L81" s="21">
        <f>IFERROR(VLOOKUP(Vertailu[[#This Row],[Y-tunnus]],'3.2 Suoritepäätös 2019'!$A:$S,COLUMN('3.2 Suoritepäätös 2019'!Q:Q),FALSE)-VLOOKUP(Vertailu[[#This Row],[Y-tunnus]],'3.2 Suoritepäätös 2019'!$A:$S,COLUMN('3.2 Suoritepäätös 2019'!L:L),FALSE),0)</f>
        <v>44379042</v>
      </c>
      <c r="M81" s="21">
        <f>IFERROR(VLOOKUP(Vertailu[[#This Row],[Y-tunnus]],'1.2 Ohjaus-laskentataulu'!A:AT,COLUMN('1.2 Ohjaus-laskentataulu'!Z:Z),FALSE),0)</f>
        <v>42209185</v>
      </c>
      <c r="N81" s="21">
        <f>IFERROR(Vertailu[[#This Row],[Rahoitus pl. hark. kor. 2020 ilman alv, €]]-Vertailu[[#This Row],[Rahoitus pl. hark. kor. 2019 ilman alv, €]],0)</f>
        <v>-2169857</v>
      </c>
      <c r="O81" s="46">
        <f>IFERROR(Vertailu[[#This Row],[Muutos, € 1]]/Vertailu[[#This Row],[Rahoitus pl. hark. kor. 2019 ilman alv, €]],0)</f>
        <v>-4.8893732316258653E-2</v>
      </c>
      <c r="P81" s="217">
        <f>IFERROR(VLOOKUP(Vertailu[[#This Row],[Y-tunnus]],'3.2 Suoritepäätös 2019'!$A:$S,COLUMN('3.2 Suoritepäätös 2019'!Q:Q),FALSE),0)</f>
        <v>44439042</v>
      </c>
      <c r="Q81" s="243">
        <f>IFERROR(VLOOKUP(Vertailu[[#This Row],[Y-tunnus]],'1.2 Ohjaus-laskentataulu'!A:AT,COLUMN('1.2 Ohjaus-laskentataulu'!AR:AR),FALSE),0)</f>
        <v>42254185</v>
      </c>
      <c r="R81" s="21">
        <f>IFERROR(Vertailu[[#This Row],[Rahoitus ml. hark. kor. 
2020 ilman alv, €]]-Vertailu[[#This Row],[Rahoitus ml. hark. kor. 
2019 ilman alv, €]],0)</f>
        <v>-2184857</v>
      </c>
      <c r="S81" s="19">
        <f>IFERROR(Vertailu[[#This Row],[Muutos, € 2]]/Vertailu[[#This Row],[Rahoitus ml. hark. kor. 
2019 ilman alv, €]],0)</f>
        <v>-4.9165258783031372E-2</v>
      </c>
      <c r="T81" s="243">
        <f>IFERROR(VLOOKUP(Vertailu[[#This Row],[Y-tunnus]],'3.2 Suoritepäätös 2019'!$A:$S,COLUMN('3.2 Suoritepäätös 2019'!Q:Q),FALSE)+VLOOKUP(Vertailu[[#This Row],[Y-tunnus]],'3.2 Suoritepäätös 2019'!$A:$S,COLUMN('3.2 Suoritepäätös 2019'!R:R),FALSE),0)</f>
        <v>46801719</v>
      </c>
      <c r="U81" s="217">
        <f>IFERROR(VLOOKUP(Vertailu[[#This Row],[Y-tunnus]],'1.2 Ohjaus-laskentataulu'!A:AT,COLUMN('1.2 Ohjaus-laskentataulu'!AT:AT),FALSE),0)</f>
        <v>45346648</v>
      </c>
      <c r="V81" s="249">
        <f>IFERROR(Vertailu[[#This Row],[Rahoitus ml. hark. kor. + alv 2020, €]]-Vertailu[[#This Row],[Rahoitus ml. hark. kor. + alv 2019, €]],0)</f>
        <v>-1455071</v>
      </c>
      <c r="W81" s="46">
        <f>IFERROR(Vertailu[[#This Row],[Muutos, € 3]]/Vertailu[[#This Row],[Rahoitus ml. hark. kor. + alv 2019, €]],0)</f>
        <v>-3.1090118719784631E-2</v>
      </c>
    </row>
    <row r="82" spans="1:23" ht="12.75" customHeight="1" x14ac:dyDescent="0.25">
      <c r="A82" s="12" t="s">
        <v>329</v>
      </c>
      <c r="B82" s="297" t="s">
        <v>90</v>
      </c>
      <c r="C82" s="297" t="s">
        <v>238</v>
      </c>
      <c r="D82" s="297" t="s">
        <v>423</v>
      </c>
      <c r="E82" s="22">
        <f>IFERROR(VLOOKUP(Vertailu[[#This Row],[Y-tunnus]],'1.2 Ohjaus-laskentataulu'!A:AT,COLUMN('1.2 Ohjaus-laskentataulu'!L:L),FALSE)/VLOOKUP(Vertailu[[#This Row],[Y-tunnus]],'1.2 Ohjaus-laskentataulu'!A:AT,COLUMN('1.2 Ohjaus-laskentataulu'!AR:AR),FALSE),0)</f>
        <v>0.67106322152264863</v>
      </c>
      <c r="F82" s="46">
        <f>IFERROR(VLOOKUP(Vertailu[[#This Row],[Y-tunnus]],'1.2 Ohjaus-laskentataulu'!A:AT,COLUMN('1.2 Ohjaus-laskentataulu'!AO:AO),FALSE)/VLOOKUP(Vertailu[[#This Row],[Y-tunnus]],'1.2 Ohjaus-laskentataulu'!A:AT,COLUMN('1.2 Ohjaus-laskentataulu'!AR:AR),FALSE),0)</f>
        <v>0.67106322152264863</v>
      </c>
      <c r="G82" s="299">
        <f>IFERROR(VLOOKUP(Vertailu[[#This Row],[Y-tunnus]],'1.2 Ohjaus-laskentataulu'!A:AT,COLUMN('1.2 Ohjaus-laskentataulu'!AP:AP),FALSE)/VLOOKUP(Vertailu[[#This Row],[Y-tunnus]],'1.2 Ohjaus-laskentataulu'!A:AT,COLUMN('1.2 Ohjaus-laskentataulu'!AR:AR),FALSE),0)</f>
        <v>0.21277844381659805</v>
      </c>
      <c r="H82" s="22">
        <f>IFERROR(VLOOKUP(Vertailu[[#This Row],[Y-tunnus]],'1.2 Ohjaus-laskentataulu'!A:AT,COLUMN('1.2 Ohjaus-laskentataulu'!AQ:AQ),FALSE)/VLOOKUP(Vertailu[[#This Row],[Y-tunnus]],'1.2 Ohjaus-laskentataulu'!A:AT,COLUMN('1.2 Ohjaus-laskentataulu'!AR:AR),FALSE),0)</f>
        <v>0.11615833466075336</v>
      </c>
      <c r="I82" s="19">
        <f>IFERROR(VLOOKUP(Vertailu[[#This Row],[Y-tunnus]],'1.2 Ohjaus-laskentataulu'!A:AT,COLUMN('1.2 Ohjaus-laskentataulu'!R:R),FALSE)/VLOOKUP(Vertailu[[#This Row],[Y-tunnus]],'1.2 Ohjaus-laskentataulu'!A:AT,COLUMN('1.2 Ohjaus-laskentataulu'!AR:AR),FALSE),0)</f>
        <v>7.6855523604322643E-2</v>
      </c>
      <c r="J82" s="19">
        <f>IFERROR(VLOOKUP(Vertailu[[#This Row],[Y-tunnus]],'1.2 Ohjaus-laskentataulu'!A:AT,COLUMN('1.2 Ohjaus-laskentataulu'!U:U),FALSE)/VLOOKUP(Vertailu[[#This Row],[Y-tunnus]],'1.2 Ohjaus-laskentataulu'!A:AT,COLUMN('1.2 Ohjaus-laskentataulu'!AR:AR),FALSE),0)</f>
        <v>7.3305024354664277E-3</v>
      </c>
      <c r="K82" s="46">
        <f>IFERROR(VLOOKUP(Vertailu[[#This Row],[Y-tunnus]],'1.2 Ohjaus-laskentataulu'!A:AT,COLUMN('1.2 Ohjaus-laskentataulu'!X:X),FALSE)/VLOOKUP(Vertailu[[#This Row],[Y-tunnus]],'1.2 Ohjaus-laskentataulu'!A:AT,COLUMN('1.2 Ohjaus-laskentataulu'!AR:AR),FALSE),0)</f>
        <v>3.1972308620964292E-2</v>
      </c>
      <c r="L82" s="21">
        <f>IFERROR(VLOOKUP(Vertailu[[#This Row],[Y-tunnus]],'3.2 Suoritepäätös 2019'!$A:$S,COLUMN('3.2 Suoritepäätös 2019'!Q:Q),FALSE)-VLOOKUP(Vertailu[[#This Row],[Y-tunnus]],'3.2 Suoritepäätös 2019'!$A:$S,COLUMN('3.2 Suoritepäätös 2019'!L:L),FALSE),0)</f>
        <v>1823529</v>
      </c>
      <c r="M82" s="21">
        <f>IFERROR(VLOOKUP(Vertailu[[#This Row],[Y-tunnus]],'1.2 Ohjaus-laskentataulu'!A:AT,COLUMN('1.2 Ohjaus-laskentataulu'!Z:Z),FALSE),0)</f>
        <v>1908464</v>
      </c>
      <c r="N82" s="21">
        <f>IFERROR(Vertailu[[#This Row],[Rahoitus pl. hark. kor. 2020 ilman alv, €]]-Vertailu[[#This Row],[Rahoitus pl. hark. kor. 2019 ilman alv, €]],0)</f>
        <v>84935</v>
      </c>
      <c r="O82" s="46">
        <f>IFERROR(Vertailu[[#This Row],[Muutos, € 1]]/Vertailu[[#This Row],[Rahoitus pl. hark. kor. 2019 ilman alv, €]],0)</f>
        <v>4.6577268581963871E-2</v>
      </c>
      <c r="P82" s="217">
        <f>IFERROR(VLOOKUP(Vertailu[[#This Row],[Y-tunnus]],'3.2 Suoritepäätös 2019'!$A:$S,COLUMN('3.2 Suoritepäätös 2019'!Q:Q),FALSE),0)</f>
        <v>1823529</v>
      </c>
      <c r="Q82" s="243">
        <f>IFERROR(VLOOKUP(Vertailu[[#This Row],[Y-tunnus]],'1.2 Ohjaus-laskentataulu'!A:AT,COLUMN('1.2 Ohjaus-laskentataulu'!AR:AR),FALSE),0)</f>
        <v>1908464</v>
      </c>
      <c r="R82" s="21">
        <f>IFERROR(Vertailu[[#This Row],[Rahoitus ml. hark. kor. 
2020 ilman alv, €]]-Vertailu[[#This Row],[Rahoitus ml. hark. kor. 
2019 ilman alv, €]],0)</f>
        <v>84935</v>
      </c>
      <c r="S82" s="19">
        <f>IFERROR(Vertailu[[#This Row],[Muutos, € 2]]/Vertailu[[#This Row],[Rahoitus ml. hark. kor. 
2019 ilman alv, €]],0)</f>
        <v>4.6577268581963871E-2</v>
      </c>
      <c r="T82" s="243">
        <f>IFERROR(VLOOKUP(Vertailu[[#This Row],[Y-tunnus]],'3.2 Suoritepäätös 2019'!$A:$S,COLUMN('3.2 Suoritepäätös 2019'!Q:Q),FALSE)+VLOOKUP(Vertailu[[#This Row],[Y-tunnus]],'3.2 Suoritepäätös 2019'!$A:$S,COLUMN('3.2 Suoritepäätös 2019'!R:R),FALSE),0)</f>
        <v>1920780</v>
      </c>
      <c r="U82" s="217">
        <f>IFERROR(VLOOKUP(Vertailu[[#This Row],[Y-tunnus]],'1.2 Ohjaus-laskentataulu'!A:AT,COLUMN('1.2 Ohjaus-laskentataulu'!AT:AT),FALSE),0)</f>
        <v>1988868</v>
      </c>
      <c r="V82" s="249">
        <f>IFERROR(Vertailu[[#This Row],[Rahoitus ml. hark. kor. + alv 2020, €]]-Vertailu[[#This Row],[Rahoitus ml. hark. kor. + alv 2019, €]],0)</f>
        <v>68088</v>
      </c>
      <c r="W82" s="46">
        <f>IFERROR(Vertailu[[#This Row],[Muutos, € 3]]/Vertailu[[#This Row],[Rahoitus ml. hark. kor. + alv 2019, €]],0)</f>
        <v>3.5448099209696063E-2</v>
      </c>
    </row>
    <row r="83" spans="1:23" ht="12.75" customHeight="1" x14ac:dyDescent="0.25">
      <c r="A83" s="12" t="s">
        <v>325</v>
      </c>
      <c r="B83" s="297" t="s">
        <v>91</v>
      </c>
      <c r="C83" s="297" t="s">
        <v>238</v>
      </c>
      <c r="D83" s="297" t="s">
        <v>423</v>
      </c>
      <c r="E83" s="22">
        <f>IFERROR(VLOOKUP(Vertailu[[#This Row],[Y-tunnus]],'1.2 Ohjaus-laskentataulu'!A:AT,COLUMN('1.2 Ohjaus-laskentataulu'!L:L),FALSE)/VLOOKUP(Vertailu[[#This Row],[Y-tunnus]],'1.2 Ohjaus-laskentataulu'!A:AT,COLUMN('1.2 Ohjaus-laskentataulu'!AR:AR),FALSE),0)</f>
        <v>0.45563814121276019</v>
      </c>
      <c r="F83" s="46">
        <f>IFERROR(VLOOKUP(Vertailu[[#This Row],[Y-tunnus]],'1.2 Ohjaus-laskentataulu'!A:AT,COLUMN('1.2 Ohjaus-laskentataulu'!AO:AO),FALSE)/VLOOKUP(Vertailu[[#This Row],[Y-tunnus]],'1.2 Ohjaus-laskentataulu'!A:AT,COLUMN('1.2 Ohjaus-laskentataulu'!AR:AR),FALSE),0)</f>
        <v>0.45563814121276019</v>
      </c>
      <c r="G83" s="299">
        <f>IFERROR(VLOOKUP(Vertailu[[#This Row],[Y-tunnus]],'1.2 Ohjaus-laskentataulu'!A:AT,COLUMN('1.2 Ohjaus-laskentataulu'!AP:AP),FALSE)/VLOOKUP(Vertailu[[#This Row],[Y-tunnus]],'1.2 Ohjaus-laskentataulu'!A:AT,COLUMN('1.2 Ohjaus-laskentataulu'!AR:AR),FALSE),0)</f>
        <v>0.18947047393323632</v>
      </c>
      <c r="H83" s="22">
        <f>IFERROR(VLOOKUP(Vertailu[[#This Row],[Y-tunnus]],'1.2 Ohjaus-laskentataulu'!A:AT,COLUMN('1.2 Ohjaus-laskentataulu'!AQ:AQ),FALSE)/VLOOKUP(Vertailu[[#This Row],[Y-tunnus]],'1.2 Ohjaus-laskentataulu'!A:AT,COLUMN('1.2 Ohjaus-laskentataulu'!AR:AR),FALSE),0)</f>
        <v>0.35489138485400346</v>
      </c>
      <c r="I83" s="19">
        <f>IFERROR(VLOOKUP(Vertailu[[#This Row],[Y-tunnus]],'1.2 Ohjaus-laskentataulu'!A:AT,COLUMN('1.2 Ohjaus-laskentataulu'!R:R),FALSE)/VLOOKUP(Vertailu[[#This Row],[Y-tunnus]],'1.2 Ohjaus-laskentataulu'!A:AT,COLUMN('1.2 Ohjaus-laskentataulu'!AR:AR),FALSE),0)</f>
        <v>0.22355114453264555</v>
      </c>
      <c r="J83" s="19">
        <f>IFERROR(VLOOKUP(Vertailu[[#This Row],[Y-tunnus]],'1.2 Ohjaus-laskentataulu'!A:AT,COLUMN('1.2 Ohjaus-laskentataulu'!U:U),FALSE)/VLOOKUP(Vertailu[[#This Row],[Y-tunnus]],'1.2 Ohjaus-laskentataulu'!A:AT,COLUMN('1.2 Ohjaus-laskentataulu'!AR:AR),FALSE),0)</f>
        <v>3.2820682624190724E-2</v>
      </c>
      <c r="K83" s="46">
        <f>IFERROR(VLOOKUP(Vertailu[[#This Row],[Y-tunnus]],'1.2 Ohjaus-laskentataulu'!A:AT,COLUMN('1.2 Ohjaus-laskentataulu'!X:X),FALSE)/VLOOKUP(Vertailu[[#This Row],[Y-tunnus]],'1.2 Ohjaus-laskentataulu'!A:AT,COLUMN('1.2 Ohjaus-laskentataulu'!AR:AR),FALSE),0)</f>
        <v>9.8519557697167207E-2</v>
      </c>
      <c r="L83" s="21">
        <f>IFERROR(VLOOKUP(Vertailu[[#This Row],[Y-tunnus]],'3.2 Suoritepäätös 2019'!$A:$S,COLUMN('3.2 Suoritepäätös 2019'!Q:Q),FALSE)-VLOOKUP(Vertailu[[#This Row],[Y-tunnus]],'3.2 Suoritepäätös 2019'!$A:$S,COLUMN('3.2 Suoritepäätös 2019'!L:L),FALSE),0)</f>
        <v>391913</v>
      </c>
      <c r="M83" s="21">
        <f>IFERROR(VLOOKUP(Vertailu[[#This Row],[Y-tunnus]],'1.2 Ohjaus-laskentataulu'!A:AT,COLUMN('1.2 Ohjaus-laskentataulu'!Z:Z),FALSE),0)</f>
        <v>573815</v>
      </c>
      <c r="N83" s="21">
        <f>IFERROR(Vertailu[[#This Row],[Rahoitus pl. hark. kor. 2020 ilman alv, €]]-Vertailu[[#This Row],[Rahoitus pl. hark. kor. 2019 ilman alv, €]],0)</f>
        <v>181902</v>
      </c>
      <c r="O83" s="46">
        <f>IFERROR(Vertailu[[#This Row],[Muutos, € 1]]/Vertailu[[#This Row],[Rahoitus pl. hark. kor. 2019 ilman alv, €]],0)</f>
        <v>0.46413872466593353</v>
      </c>
      <c r="P83" s="217">
        <f>IFERROR(VLOOKUP(Vertailu[[#This Row],[Y-tunnus]],'3.2 Suoritepäätös 2019'!$A:$S,COLUMN('3.2 Suoritepäätös 2019'!Q:Q),FALSE),0)</f>
        <v>391913</v>
      </c>
      <c r="Q83" s="243">
        <f>IFERROR(VLOOKUP(Vertailu[[#This Row],[Y-tunnus]],'1.2 Ohjaus-laskentataulu'!A:AT,COLUMN('1.2 Ohjaus-laskentataulu'!AR:AR),FALSE),0)</f>
        <v>573815</v>
      </c>
      <c r="R83" s="21">
        <f>IFERROR(Vertailu[[#This Row],[Rahoitus ml. hark. kor. 
2020 ilman alv, €]]-Vertailu[[#This Row],[Rahoitus ml. hark. kor. 
2019 ilman alv, €]],0)</f>
        <v>181902</v>
      </c>
      <c r="S83" s="19">
        <f>IFERROR(Vertailu[[#This Row],[Muutos, € 2]]/Vertailu[[#This Row],[Rahoitus ml. hark. kor. 
2019 ilman alv, €]],0)</f>
        <v>0.46413872466593353</v>
      </c>
      <c r="T83" s="243">
        <f>IFERROR(VLOOKUP(Vertailu[[#This Row],[Y-tunnus]],'3.2 Suoritepäätös 2019'!$A:$S,COLUMN('3.2 Suoritepäätös 2019'!Q:Q),FALSE)+VLOOKUP(Vertailu[[#This Row],[Y-tunnus]],'3.2 Suoritepäätös 2019'!$A:$S,COLUMN('3.2 Suoritepäätös 2019'!R:R),FALSE),0)</f>
        <v>412955</v>
      </c>
      <c r="U83" s="217">
        <f>IFERROR(VLOOKUP(Vertailu[[#This Row],[Y-tunnus]],'1.2 Ohjaus-laskentataulu'!A:AT,COLUMN('1.2 Ohjaus-laskentataulu'!AT:AT),FALSE),0)</f>
        <v>747699</v>
      </c>
      <c r="V83" s="249">
        <f>IFERROR(Vertailu[[#This Row],[Rahoitus ml. hark. kor. + alv 2020, €]]-Vertailu[[#This Row],[Rahoitus ml. hark. kor. + alv 2019, €]],0)</f>
        <v>334744</v>
      </c>
      <c r="W83" s="46">
        <f>IFERROR(Vertailu[[#This Row],[Muutos, € 3]]/Vertailu[[#This Row],[Rahoitus ml. hark. kor. + alv 2019, €]],0)</f>
        <v>0.81060648254652445</v>
      </c>
    </row>
    <row r="84" spans="1:23" ht="12.75" customHeight="1" x14ac:dyDescent="0.25">
      <c r="A84" s="12" t="s">
        <v>328</v>
      </c>
      <c r="B84" s="297" t="s">
        <v>92</v>
      </c>
      <c r="C84" s="297" t="s">
        <v>238</v>
      </c>
      <c r="D84" s="297" t="s">
        <v>423</v>
      </c>
      <c r="E84" s="22">
        <f>IFERROR(VLOOKUP(Vertailu[[#This Row],[Y-tunnus]],'1.2 Ohjaus-laskentataulu'!A:AT,COLUMN('1.2 Ohjaus-laskentataulu'!L:L),FALSE)/VLOOKUP(Vertailu[[#This Row],[Y-tunnus]],'1.2 Ohjaus-laskentataulu'!A:AT,COLUMN('1.2 Ohjaus-laskentataulu'!AR:AR),FALSE),0)</f>
        <v>0.57230688286853404</v>
      </c>
      <c r="F84" s="46">
        <f>IFERROR(VLOOKUP(Vertailu[[#This Row],[Y-tunnus]],'1.2 Ohjaus-laskentataulu'!A:AT,COLUMN('1.2 Ohjaus-laskentataulu'!AO:AO),FALSE)/VLOOKUP(Vertailu[[#This Row],[Y-tunnus]],'1.2 Ohjaus-laskentataulu'!A:AT,COLUMN('1.2 Ohjaus-laskentataulu'!AR:AR),FALSE),0)</f>
        <v>0.57230688286853404</v>
      </c>
      <c r="G84" s="299">
        <f>IFERROR(VLOOKUP(Vertailu[[#This Row],[Y-tunnus]],'1.2 Ohjaus-laskentataulu'!A:AT,COLUMN('1.2 Ohjaus-laskentataulu'!AP:AP),FALSE)/VLOOKUP(Vertailu[[#This Row],[Y-tunnus]],'1.2 Ohjaus-laskentataulu'!A:AT,COLUMN('1.2 Ohjaus-laskentataulu'!AR:AR),FALSE),0)</f>
        <v>0.22378251871700705</v>
      </c>
      <c r="H84" s="22">
        <f>IFERROR(VLOOKUP(Vertailu[[#This Row],[Y-tunnus]],'1.2 Ohjaus-laskentataulu'!A:AT,COLUMN('1.2 Ohjaus-laskentataulu'!AQ:AQ),FALSE)/VLOOKUP(Vertailu[[#This Row],[Y-tunnus]],'1.2 Ohjaus-laskentataulu'!A:AT,COLUMN('1.2 Ohjaus-laskentataulu'!AR:AR),FALSE),0)</f>
        <v>0.20391059841445888</v>
      </c>
      <c r="I84" s="19">
        <f>IFERROR(VLOOKUP(Vertailu[[#This Row],[Y-tunnus]],'1.2 Ohjaus-laskentataulu'!A:AT,COLUMN('1.2 Ohjaus-laskentataulu'!R:R),FALSE)/VLOOKUP(Vertailu[[#This Row],[Y-tunnus]],'1.2 Ohjaus-laskentataulu'!A:AT,COLUMN('1.2 Ohjaus-laskentataulu'!AR:AR),FALSE),0)</f>
        <v>0.14454978783689332</v>
      </c>
      <c r="J84" s="19">
        <f>IFERROR(VLOOKUP(Vertailu[[#This Row],[Y-tunnus]],'1.2 Ohjaus-laskentataulu'!A:AT,COLUMN('1.2 Ohjaus-laskentataulu'!U:U),FALSE)/VLOOKUP(Vertailu[[#This Row],[Y-tunnus]],'1.2 Ohjaus-laskentataulu'!A:AT,COLUMN('1.2 Ohjaus-laskentataulu'!AR:AR),FALSE),0)</f>
        <v>1.0911596426978466E-2</v>
      </c>
      <c r="K84" s="46">
        <f>IFERROR(VLOOKUP(Vertailu[[#This Row],[Y-tunnus]],'1.2 Ohjaus-laskentataulu'!A:AT,COLUMN('1.2 Ohjaus-laskentataulu'!X:X),FALSE)/VLOOKUP(Vertailu[[#This Row],[Y-tunnus]],'1.2 Ohjaus-laskentataulu'!A:AT,COLUMN('1.2 Ohjaus-laskentataulu'!AR:AR),FALSE),0)</f>
        <v>4.8449214150587103E-2</v>
      </c>
      <c r="L84" s="21">
        <f>IFERROR(VLOOKUP(Vertailu[[#This Row],[Y-tunnus]],'3.2 Suoritepäätös 2019'!$A:$S,COLUMN('3.2 Suoritepäätös 2019'!Q:Q),FALSE)-VLOOKUP(Vertailu[[#This Row],[Y-tunnus]],'3.2 Suoritepäätös 2019'!$A:$S,COLUMN('3.2 Suoritepäätös 2019'!L:L),FALSE),0)</f>
        <v>8818994</v>
      </c>
      <c r="M84" s="21">
        <f>IFERROR(VLOOKUP(Vertailu[[#This Row],[Y-tunnus]],'1.2 Ohjaus-laskentataulu'!A:AT,COLUMN('1.2 Ohjaus-laskentataulu'!Z:Z),FALSE),0)</f>
        <v>9362608</v>
      </c>
      <c r="N84" s="21">
        <f>IFERROR(Vertailu[[#This Row],[Rahoitus pl. hark. kor. 2020 ilman alv, €]]-Vertailu[[#This Row],[Rahoitus pl. hark. kor. 2019 ilman alv, €]],0)</f>
        <v>543614</v>
      </c>
      <c r="O84" s="46">
        <f>IFERROR(Vertailu[[#This Row],[Muutos, € 1]]/Vertailu[[#This Row],[Rahoitus pl. hark. kor. 2019 ilman alv, €]],0)</f>
        <v>6.1641271101896655E-2</v>
      </c>
      <c r="P84" s="217">
        <f>IFERROR(VLOOKUP(Vertailu[[#This Row],[Y-tunnus]],'3.2 Suoritepäätös 2019'!$A:$S,COLUMN('3.2 Suoritepäätös 2019'!Q:Q),FALSE),0)</f>
        <v>9418994</v>
      </c>
      <c r="Q84" s="243">
        <f>IFERROR(VLOOKUP(Vertailu[[#This Row],[Y-tunnus]],'1.2 Ohjaus-laskentataulu'!A:AT,COLUMN('1.2 Ohjaus-laskentataulu'!AR:AR),FALSE),0)</f>
        <v>9362608</v>
      </c>
      <c r="R84" s="21">
        <f>IFERROR(Vertailu[[#This Row],[Rahoitus ml. hark. kor. 
2020 ilman alv, €]]-Vertailu[[#This Row],[Rahoitus ml. hark. kor. 
2019 ilman alv, €]],0)</f>
        <v>-56386</v>
      </c>
      <c r="S84" s="19">
        <f>IFERROR(Vertailu[[#This Row],[Muutos, € 2]]/Vertailu[[#This Row],[Rahoitus ml. hark. kor. 
2019 ilman alv, €]],0)</f>
        <v>-5.9864142603764268E-3</v>
      </c>
      <c r="T84" s="243">
        <f>IFERROR(VLOOKUP(Vertailu[[#This Row],[Y-tunnus]],'3.2 Suoritepäätös 2019'!$A:$S,COLUMN('3.2 Suoritepäätös 2019'!Q:Q),FALSE)+VLOOKUP(Vertailu[[#This Row],[Y-tunnus]],'3.2 Suoritepäätös 2019'!$A:$S,COLUMN('3.2 Suoritepäätös 2019'!R:R),FALSE),0)</f>
        <v>9924685</v>
      </c>
      <c r="U84" s="217">
        <f>IFERROR(VLOOKUP(Vertailu[[#This Row],[Y-tunnus]],'1.2 Ohjaus-laskentataulu'!A:AT,COLUMN('1.2 Ohjaus-laskentataulu'!AT:AT),FALSE),0)</f>
        <v>10533640</v>
      </c>
      <c r="V84" s="249">
        <f>IFERROR(Vertailu[[#This Row],[Rahoitus ml. hark. kor. + alv 2020, €]]-Vertailu[[#This Row],[Rahoitus ml. hark. kor. + alv 2019, €]],0)</f>
        <v>608955</v>
      </c>
      <c r="W84" s="46">
        <f>IFERROR(Vertailu[[#This Row],[Muutos, € 3]]/Vertailu[[#This Row],[Rahoitus ml. hark. kor. + alv 2019, €]],0)</f>
        <v>6.1357614876441924E-2</v>
      </c>
    </row>
    <row r="85" spans="1:23" ht="12.75" customHeight="1" x14ac:dyDescent="0.25">
      <c r="A85" s="12" t="s">
        <v>327</v>
      </c>
      <c r="B85" s="297" t="s">
        <v>93</v>
      </c>
      <c r="C85" s="297" t="s">
        <v>246</v>
      </c>
      <c r="D85" s="297" t="s">
        <v>423</v>
      </c>
      <c r="E85" s="22">
        <f>IFERROR(VLOOKUP(Vertailu[[#This Row],[Y-tunnus]],'1.2 Ohjaus-laskentataulu'!A:AT,COLUMN('1.2 Ohjaus-laskentataulu'!L:L),FALSE)/VLOOKUP(Vertailu[[#This Row],[Y-tunnus]],'1.2 Ohjaus-laskentataulu'!A:AT,COLUMN('1.2 Ohjaus-laskentataulu'!AR:AR),FALSE),0)</f>
        <v>0.66131685675558105</v>
      </c>
      <c r="F85" s="46">
        <f>IFERROR(VLOOKUP(Vertailu[[#This Row],[Y-tunnus]],'1.2 Ohjaus-laskentataulu'!A:AT,COLUMN('1.2 Ohjaus-laskentataulu'!AO:AO),FALSE)/VLOOKUP(Vertailu[[#This Row],[Y-tunnus]],'1.2 Ohjaus-laskentataulu'!A:AT,COLUMN('1.2 Ohjaus-laskentataulu'!AR:AR),FALSE),0)</f>
        <v>0.66131685675558105</v>
      </c>
      <c r="G85" s="299">
        <f>IFERROR(VLOOKUP(Vertailu[[#This Row],[Y-tunnus]],'1.2 Ohjaus-laskentataulu'!A:AT,COLUMN('1.2 Ohjaus-laskentataulu'!AP:AP),FALSE)/VLOOKUP(Vertailu[[#This Row],[Y-tunnus]],'1.2 Ohjaus-laskentataulu'!A:AT,COLUMN('1.2 Ohjaus-laskentataulu'!AR:AR),FALSE),0)</f>
        <v>0.20603410497113397</v>
      </c>
      <c r="H85" s="22">
        <f>IFERROR(VLOOKUP(Vertailu[[#This Row],[Y-tunnus]],'1.2 Ohjaus-laskentataulu'!A:AT,COLUMN('1.2 Ohjaus-laskentataulu'!AQ:AQ),FALSE)/VLOOKUP(Vertailu[[#This Row],[Y-tunnus]],'1.2 Ohjaus-laskentataulu'!A:AT,COLUMN('1.2 Ohjaus-laskentataulu'!AR:AR),FALSE),0)</f>
        <v>0.13264903827328497</v>
      </c>
      <c r="I85" s="19">
        <f>IFERROR(VLOOKUP(Vertailu[[#This Row],[Y-tunnus]],'1.2 Ohjaus-laskentataulu'!A:AT,COLUMN('1.2 Ohjaus-laskentataulu'!R:R),FALSE)/VLOOKUP(Vertailu[[#This Row],[Y-tunnus]],'1.2 Ohjaus-laskentataulu'!A:AT,COLUMN('1.2 Ohjaus-laskentataulu'!AR:AR),FALSE),0)</f>
        <v>9.3813612915926214E-2</v>
      </c>
      <c r="J85" s="19">
        <f>IFERROR(VLOOKUP(Vertailu[[#This Row],[Y-tunnus]],'1.2 Ohjaus-laskentataulu'!A:AT,COLUMN('1.2 Ohjaus-laskentataulu'!U:U),FALSE)/VLOOKUP(Vertailu[[#This Row],[Y-tunnus]],'1.2 Ohjaus-laskentataulu'!A:AT,COLUMN('1.2 Ohjaus-laskentataulu'!AR:AR),FALSE),0)</f>
        <v>1.3304167831087543E-2</v>
      </c>
      <c r="K85" s="46">
        <f>IFERROR(VLOOKUP(Vertailu[[#This Row],[Y-tunnus]],'1.2 Ohjaus-laskentataulu'!A:AT,COLUMN('1.2 Ohjaus-laskentataulu'!X:X),FALSE)/VLOOKUP(Vertailu[[#This Row],[Y-tunnus]],'1.2 Ohjaus-laskentataulu'!A:AT,COLUMN('1.2 Ohjaus-laskentataulu'!AR:AR),FALSE),0)</f>
        <v>2.5531257526271212E-2</v>
      </c>
      <c r="L85" s="21">
        <f>IFERROR(VLOOKUP(Vertailu[[#This Row],[Y-tunnus]],'3.2 Suoritepäätös 2019'!$A:$S,COLUMN('3.2 Suoritepäätös 2019'!Q:Q),FALSE)-VLOOKUP(Vertailu[[#This Row],[Y-tunnus]],'3.2 Suoritepäätös 2019'!$A:$S,COLUMN('3.2 Suoritepäätös 2019'!L:L),FALSE),0)</f>
        <v>1872442</v>
      </c>
      <c r="M85" s="21">
        <f>IFERROR(VLOOKUP(Vertailu[[#This Row],[Y-tunnus]],'1.2 Ohjaus-laskentataulu'!A:AT,COLUMN('1.2 Ohjaus-laskentataulu'!Z:Z),FALSE),0)</f>
        <v>1864303</v>
      </c>
      <c r="N85" s="21">
        <f>IFERROR(Vertailu[[#This Row],[Rahoitus pl. hark. kor. 2020 ilman alv, €]]-Vertailu[[#This Row],[Rahoitus pl. hark. kor. 2019 ilman alv, €]],0)</f>
        <v>-8139</v>
      </c>
      <c r="O85" s="46">
        <f>IFERROR(Vertailu[[#This Row],[Muutos, € 1]]/Vertailu[[#This Row],[Rahoitus pl. hark. kor. 2019 ilman alv, €]],0)</f>
        <v>-4.3467300989830397E-3</v>
      </c>
      <c r="P85" s="217">
        <f>IFERROR(VLOOKUP(Vertailu[[#This Row],[Y-tunnus]],'3.2 Suoritepäätös 2019'!$A:$S,COLUMN('3.2 Suoritepäätös 2019'!Q:Q),FALSE),0)</f>
        <v>1872442</v>
      </c>
      <c r="Q85" s="243">
        <f>IFERROR(VLOOKUP(Vertailu[[#This Row],[Y-tunnus]],'1.2 Ohjaus-laskentataulu'!A:AT,COLUMN('1.2 Ohjaus-laskentataulu'!AR:AR),FALSE),0)</f>
        <v>1864303</v>
      </c>
      <c r="R85" s="21">
        <f>IFERROR(Vertailu[[#This Row],[Rahoitus ml. hark. kor. 
2020 ilman alv, €]]-Vertailu[[#This Row],[Rahoitus ml. hark. kor. 
2019 ilman alv, €]],0)</f>
        <v>-8139</v>
      </c>
      <c r="S85" s="19">
        <f>IFERROR(Vertailu[[#This Row],[Muutos, € 2]]/Vertailu[[#This Row],[Rahoitus ml. hark. kor. 
2019 ilman alv, €]],0)</f>
        <v>-4.3467300989830397E-3</v>
      </c>
      <c r="T85" s="243">
        <f>IFERROR(VLOOKUP(Vertailu[[#This Row],[Y-tunnus]],'3.2 Suoritepäätös 2019'!$A:$S,COLUMN('3.2 Suoritepäätös 2019'!Q:Q),FALSE)+VLOOKUP(Vertailu[[#This Row],[Y-tunnus]],'3.2 Suoritepäätös 2019'!$A:$S,COLUMN('3.2 Suoritepäätös 2019'!R:R),FALSE),0)</f>
        <v>1969647</v>
      </c>
      <c r="U85" s="217">
        <f>IFERROR(VLOOKUP(Vertailu[[#This Row],[Y-tunnus]],'1.2 Ohjaus-laskentataulu'!A:AT,COLUMN('1.2 Ohjaus-laskentataulu'!AT:AT),FALSE),0)</f>
        <v>1967116</v>
      </c>
      <c r="V85" s="249">
        <f>IFERROR(Vertailu[[#This Row],[Rahoitus ml. hark. kor. + alv 2020, €]]-Vertailu[[#This Row],[Rahoitus ml. hark. kor. + alv 2019, €]],0)</f>
        <v>-2531</v>
      </c>
      <c r="W85" s="46">
        <f>IFERROR(Vertailu[[#This Row],[Muutos, € 3]]/Vertailu[[#This Row],[Rahoitus ml. hark. kor. + alv 2019, €]],0)</f>
        <v>-1.2850018302772021E-3</v>
      </c>
    </row>
    <row r="86" spans="1:23" ht="12.75" customHeight="1" x14ac:dyDescent="0.25">
      <c r="A86" s="12" t="s">
        <v>326</v>
      </c>
      <c r="B86" s="297" t="s">
        <v>173</v>
      </c>
      <c r="C86" s="297" t="s">
        <v>254</v>
      </c>
      <c r="D86" s="297" t="s">
        <v>423</v>
      </c>
      <c r="E86" s="22">
        <f>IFERROR(VLOOKUP(Vertailu[[#This Row],[Y-tunnus]],'1.2 Ohjaus-laskentataulu'!A:AT,COLUMN('1.2 Ohjaus-laskentataulu'!L:L),FALSE)/VLOOKUP(Vertailu[[#This Row],[Y-tunnus]],'1.2 Ohjaus-laskentataulu'!A:AT,COLUMN('1.2 Ohjaus-laskentataulu'!AR:AR),FALSE),0)</f>
        <v>1</v>
      </c>
      <c r="F86" s="46">
        <f>IFERROR(VLOOKUP(Vertailu[[#This Row],[Y-tunnus]],'1.2 Ohjaus-laskentataulu'!A:AT,COLUMN('1.2 Ohjaus-laskentataulu'!AO:AO),FALSE)/VLOOKUP(Vertailu[[#This Row],[Y-tunnus]],'1.2 Ohjaus-laskentataulu'!A:AT,COLUMN('1.2 Ohjaus-laskentataulu'!AR:AR),FALSE),0)</f>
        <v>1</v>
      </c>
      <c r="G86" s="299">
        <f>IFERROR(VLOOKUP(Vertailu[[#This Row],[Y-tunnus]],'1.2 Ohjaus-laskentataulu'!A:AT,COLUMN('1.2 Ohjaus-laskentataulu'!AP:AP),FALSE)/VLOOKUP(Vertailu[[#This Row],[Y-tunnus]],'1.2 Ohjaus-laskentataulu'!A:AT,COLUMN('1.2 Ohjaus-laskentataulu'!AR:AR),FALSE),0)</f>
        <v>0</v>
      </c>
      <c r="H86" s="22">
        <f>IFERROR(VLOOKUP(Vertailu[[#This Row],[Y-tunnus]],'1.2 Ohjaus-laskentataulu'!A:AT,COLUMN('1.2 Ohjaus-laskentataulu'!AQ:AQ),FALSE)/VLOOKUP(Vertailu[[#This Row],[Y-tunnus]],'1.2 Ohjaus-laskentataulu'!A:AT,COLUMN('1.2 Ohjaus-laskentataulu'!AR:AR),FALSE),0)</f>
        <v>0</v>
      </c>
      <c r="I86" s="19">
        <f>IFERROR(VLOOKUP(Vertailu[[#This Row],[Y-tunnus]],'1.2 Ohjaus-laskentataulu'!A:AT,COLUMN('1.2 Ohjaus-laskentataulu'!R:R),FALSE)/VLOOKUP(Vertailu[[#This Row],[Y-tunnus]],'1.2 Ohjaus-laskentataulu'!A:AT,COLUMN('1.2 Ohjaus-laskentataulu'!AR:AR),FALSE),0)</f>
        <v>0</v>
      </c>
      <c r="J86" s="19">
        <f>IFERROR(VLOOKUP(Vertailu[[#This Row],[Y-tunnus]],'1.2 Ohjaus-laskentataulu'!A:AT,COLUMN('1.2 Ohjaus-laskentataulu'!U:U),FALSE)/VLOOKUP(Vertailu[[#This Row],[Y-tunnus]],'1.2 Ohjaus-laskentataulu'!A:AT,COLUMN('1.2 Ohjaus-laskentataulu'!AR:AR),FALSE),0)</f>
        <v>0</v>
      </c>
      <c r="K86" s="46">
        <f>IFERROR(VLOOKUP(Vertailu[[#This Row],[Y-tunnus]],'1.2 Ohjaus-laskentataulu'!A:AT,COLUMN('1.2 Ohjaus-laskentataulu'!X:X),FALSE)/VLOOKUP(Vertailu[[#This Row],[Y-tunnus]],'1.2 Ohjaus-laskentataulu'!A:AT,COLUMN('1.2 Ohjaus-laskentataulu'!AR:AR),FALSE),0)</f>
        <v>0</v>
      </c>
      <c r="L86" s="21">
        <f>IFERROR(VLOOKUP(Vertailu[[#This Row],[Y-tunnus]],'3.2 Suoritepäätös 2019'!$A:$S,COLUMN('3.2 Suoritepäätös 2019'!Q:Q),FALSE)-VLOOKUP(Vertailu[[#This Row],[Y-tunnus]],'3.2 Suoritepäätös 2019'!$A:$S,COLUMN('3.2 Suoritepäätös 2019'!L:L),FALSE),0)</f>
        <v>65404</v>
      </c>
      <c r="M86" s="21">
        <f>IFERROR(VLOOKUP(Vertailu[[#This Row],[Y-tunnus]],'1.2 Ohjaus-laskentataulu'!A:AT,COLUMN('1.2 Ohjaus-laskentataulu'!Z:Z),FALSE),0)</f>
        <v>34821</v>
      </c>
      <c r="N86" s="21">
        <f>IFERROR(Vertailu[[#This Row],[Rahoitus pl. hark. kor. 2020 ilman alv, €]]-Vertailu[[#This Row],[Rahoitus pl. hark. kor. 2019 ilman alv, €]],0)</f>
        <v>-30583</v>
      </c>
      <c r="O86" s="46">
        <f>IFERROR(Vertailu[[#This Row],[Muutos, € 1]]/Vertailu[[#This Row],[Rahoitus pl. hark. kor. 2019 ilman alv, €]],0)</f>
        <v>-0.46760136994679224</v>
      </c>
      <c r="P86" s="217">
        <f>IFERROR(VLOOKUP(Vertailu[[#This Row],[Y-tunnus]],'3.2 Suoritepäätös 2019'!$A:$S,COLUMN('3.2 Suoritepäätös 2019'!Q:Q),FALSE),0)</f>
        <v>65404</v>
      </c>
      <c r="Q86" s="243">
        <f>IFERROR(VLOOKUP(Vertailu[[#This Row],[Y-tunnus]],'1.2 Ohjaus-laskentataulu'!A:AT,COLUMN('1.2 Ohjaus-laskentataulu'!AR:AR),FALSE),0)</f>
        <v>34821</v>
      </c>
      <c r="R86" s="21">
        <f>IFERROR(Vertailu[[#This Row],[Rahoitus ml. hark. kor. 
2020 ilman alv, €]]-Vertailu[[#This Row],[Rahoitus ml. hark. kor. 
2019 ilman alv, €]],0)</f>
        <v>-30583</v>
      </c>
      <c r="S86" s="19">
        <f>IFERROR(Vertailu[[#This Row],[Muutos, € 2]]/Vertailu[[#This Row],[Rahoitus ml. hark. kor. 
2019 ilman alv, €]],0)</f>
        <v>-0.46760136994679224</v>
      </c>
      <c r="T86" s="243">
        <f>IFERROR(VLOOKUP(Vertailu[[#This Row],[Y-tunnus]],'3.2 Suoritepäätös 2019'!$A:$S,COLUMN('3.2 Suoritepäätös 2019'!Q:Q),FALSE)+VLOOKUP(Vertailu[[#This Row],[Y-tunnus]],'3.2 Suoritepäätös 2019'!$A:$S,COLUMN('3.2 Suoritepäätös 2019'!R:R),FALSE),0)</f>
        <v>69063</v>
      </c>
      <c r="U86" s="217">
        <f>IFERROR(VLOOKUP(Vertailu[[#This Row],[Y-tunnus]],'1.2 Ohjaus-laskentataulu'!A:AT,COLUMN('1.2 Ohjaus-laskentataulu'!AT:AT),FALSE),0)</f>
        <v>34821</v>
      </c>
      <c r="V86" s="249">
        <f>IFERROR(Vertailu[[#This Row],[Rahoitus ml. hark. kor. + alv 2020, €]]-Vertailu[[#This Row],[Rahoitus ml. hark. kor. + alv 2019, €]],0)</f>
        <v>-34242</v>
      </c>
      <c r="W86" s="46">
        <f>IFERROR(Vertailu[[#This Row],[Muutos, € 3]]/Vertailu[[#This Row],[Rahoitus ml. hark. kor. + alv 2019, €]],0)</f>
        <v>-0.49580817514443332</v>
      </c>
    </row>
    <row r="87" spans="1:23" ht="12.75" customHeight="1" x14ac:dyDescent="0.25">
      <c r="A87" s="12" t="s">
        <v>324</v>
      </c>
      <c r="B87" s="297" t="s">
        <v>182</v>
      </c>
      <c r="C87" s="297" t="s">
        <v>249</v>
      </c>
      <c r="D87" s="297" t="s">
        <v>423</v>
      </c>
      <c r="E87" s="22">
        <f>IFERROR(VLOOKUP(Vertailu[[#This Row],[Y-tunnus]],'1.2 Ohjaus-laskentataulu'!A:AT,COLUMN('1.2 Ohjaus-laskentataulu'!L:L),FALSE)/VLOOKUP(Vertailu[[#This Row],[Y-tunnus]],'1.2 Ohjaus-laskentataulu'!A:AT,COLUMN('1.2 Ohjaus-laskentataulu'!AR:AR),FALSE),0)</f>
        <v>0</v>
      </c>
      <c r="F87" s="46">
        <f>IFERROR(VLOOKUP(Vertailu[[#This Row],[Y-tunnus]],'1.2 Ohjaus-laskentataulu'!A:AT,COLUMN('1.2 Ohjaus-laskentataulu'!AO:AO),FALSE)/VLOOKUP(Vertailu[[#This Row],[Y-tunnus]],'1.2 Ohjaus-laskentataulu'!A:AT,COLUMN('1.2 Ohjaus-laskentataulu'!AR:AR),FALSE),0)</f>
        <v>0</v>
      </c>
      <c r="G87" s="299">
        <f>IFERROR(VLOOKUP(Vertailu[[#This Row],[Y-tunnus]],'1.2 Ohjaus-laskentataulu'!A:AT,COLUMN('1.2 Ohjaus-laskentataulu'!AP:AP),FALSE)/VLOOKUP(Vertailu[[#This Row],[Y-tunnus]],'1.2 Ohjaus-laskentataulu'!A:AT,COLUMN('1.2 Ohjaus-laskentataulu'!AR:AR),FALSE),0)</f>
        <v>0</v>
      </c>
      <c r="H87" s="22">
        <f>IFERROR(VLOOKUP(Vertailu[[#This Row],[Y-tunnus]],'1.2 Ohjaus-laskentataulu'!A:AT,COLUMN('1.2 Ohjaus-laskentataulu'!AQ:AQ),FALSE)/VLOOKUP(Vertailu[[#This Row],[Y-tunnus]],'1.2 Ohjaus-laskentataulu'!A:AT,COLUMN('1.2 Ohjaus-laskentataulu'!AR:AR),FALSE),0)</f>
        <v>0</v>
      </c>
      <c r="I87" s="19">
        <f>IFERROR(VLOOKUP(Vertailu[[#This Row],[Y-tunnus]],'1.2 Ohjaus-laskentataulu'!A:AT,COLUMN('1.2 Ohjaus-laskentataulu'!R:R),FALSE)/VLOOKUP(Vertailu[[#This Row],[Y-tunnus]],'1.2 Ohjaus-laskentataulu'!A:AT,COLUMN('1.2 Ohjaus-laskentataulu'!AR:AR),FALSE),0)</f>
        <v>0</v>
      </c>
      <c r="J87" s="19">
        <f>IFERROR(VLOOKUP(Vertailu[[#This Row],[Y-tunnus]],'1.2 Ohjaus-laskentataulu'!A:AT,COLUMN('1.2 Ohjaus-laskentataulu'!U:U),FALSE)/VLOOKUP(Vertailu[[#This Row],[Y-tunnus]],'1.2 Ohjaus-laskentataulu'!A:AT,COLUMN('1.2 Ohjaus-laskentataulu'!AR:AR),FALSE),0)</f>
        <v>0</v>
      </c>
      <c r="K87" s="46">
        <f>IFERROR(VLOOKUP(Vertailu[[#This Row],[Y-tunnus]],'1.2 Ohjaus-laskentataulu'!A:AT,COLUMN('1.2 Ohjaus-laskentataulu'!X:X),FALSE)/VLOOKUP(Vertailu[[#This Row],[Y-tunnus]],'1.2 Ohjaus-laskentataulu'!A:AT,COLUMN('1.2 Ohjaus-laskentataulu'!AR:AR),FALSE),0)</f>
        <v>0</v>
      </c>
      <c r="L87" s="21">
        <f>IFERROR(VLOOKUP(Vertailu[[#This Row],[Y-tunnus]],'3.2 Suoritepäätös 2019'!$A:$S,COLUMN('3.2 Suoritepäätös 2019'!Q:Q),FALSE)-VLOOKUP(Vertailu[[#This Row],[Y-tunnus]],'3.2 Suoritepäätös 2019'!$A:$S,COLUMN('3.2 Suoritepäätös 2019'!L:L),FALSE),0)</f>
        <v>0</v>
      </c>
      <c r="M87" s="21">
        <f>IFERROR(VLOOKUP(Vertailu[[#This Row],[Y-tunnus]],'1.2 Ohjaus-laskentataulu'!A:AT,COLUMN('1.2 Ohjaus-laskentataulu'!Z:Z),FALSE),0)</f>
        <v>0</v>
      </c>
      <c r="N87" s="21">
        <f>IFERROR(Vertailu[[#This Row],[Rahoitus pl. hark. kor. 2020 ilman alv, €]]-Vertailu[[#This Row],[Rahoitus pl. hark. kor. 2019 ilman alv, €]],0)</f>
        <v>0</v>
      </c>
      <c r="O87" s="46">
        <f>IFERROR(Vertailu[[#This Row],[Muutos, € 1]]/Vertailu[[#This Row],[Rahoitus pl. hark. kor. 2019 ilman alv, €]],0)</f>
        <v>0</v>
      </c>
      <c r="P87" s="217">
        <f>IFERROR(VLOOKUP(Vertailu[[#This Row],[Y-tunnus]],'3.2 Suoritepäätös 2019'!$A:$S,COLUMN('3.2 Suoritepäätös 2019'!Q:Q),FALSE),0)</f>
        <v>0</v>
      </c>
      <c r="Q87" s="243">
        <f>IFERROR(VLOOKUP(Vertailu[[#This Row],[Y-tunnus]],'1.2 Ohjaus-laskentataulu'!A:AT,COLUMN('1.2 Ohjaus-laskentataulu'!AR:AR),FALSE),0)</f>
        <v>0</v>
      </c>
      <c r="R87" s="21">
        <f>IFERROR(Vertailu[[#This Row],[Rahoitus ml. hark. kor. 
2020 ilman alv, €]]-Vertailu[[#This Row],[Rahoitus ml. hark. kor. 
2019 ilman alv, €]],0)</f>
        <v>0</v>
      </c>
      <c r="S87" s="19">
        <f>IFERROR(Vertailu[[#This Row],[Muutos, € 2]]/Vertailu[[#This Row],[Rahoitus ml. hark. kor. 
2019 ilman alv, €]],0)</f>
        <v>0</v>
      </c>
      <c r="T87" s="243">
        <f>IFERROR(VLOOKUP(Vertailu[[#This Row],[Y-tunnus]],'3.2 Suoritepäätös 2019'!$A:$S,COLUMN('3.2 Suoritepäätös 2019'!Q:Q),FALSE)+VLOOKUP(Vertailu[[#This Row],[Y-tunnus]],'3.2 Suoritepäätös 2019'!$A:$S,COLUMN('3.2 Suoritepäätös 2019'!R:R),FALSE),0)</f>
        <v>0</v>
      </c>
      <c r="U87" s="217">
        <f>IFERROR(VLOOKUP(Vertailu[[#This Row],[Y-tunnus]],'1.2 Ohjaus-laskentataulu'!A:AT,COLUMN('1.2 Ohjaus-laskentataulu'!AT:AT),FALSE),0)</f>
        <v>0</v>
      </c>
      <c r="V87" s="249">
        <f>IFERROR(Vertailu[[#This Row],[Rahoitus ml. hark. kor. + alv 2020, €]]-Vertailu[[#This Row],[Rahoitus ml. hark. kor. + alv 2019, €]],0)</f>
        <v>0</v>
      </c>
      <c r="W87" s="46">
        <f>IFERROR(Vertailu[[#This Row],[Muutos, € 3]]/Vertailu[[#This Row],[Rahoitus ml. hark. kor. + alv 2019, €]],0)</f>
        <v>0</v>
      </c>
    </row>
    <row r="88" spans="1:23" ht="12.75" customHeight="1" x14ac:dyDescent="0.25">
      <c r="A88" s="12" t="s">
        <v>323</v>
      </c>
      <c r="B88" s="297" t="s">
        <v>192</v>
      </c>
      <c r="C88" s="297" t="s">
        <v>238</v>
      </c>
      <c r="D88" s="297" t="s">
        <v>423</v>
      </c>
      <c r="E88" s="22">
        <f>IFERROR(VLOOKUP(Vertailu[[#This Row],[Y-tunnus]],'1.2 Ohjaus-laskentataulu'!A:AT,COLUMN('1.2 Ohjaus-laskentataulu'!L:L),FALSE)/VLOOKUP(Vertailu[[#This Row],[Y-tunnus]],'1.2 Ohjaus-laskentataulu'!A:AT,COLUMN('1.2 Ohjaus-laskentataulu'!AR:AR),FALSE),0)</f>
        <v>0</v>
      </c>
      <c r="F88" s="46">
        <f>IFERROR(VLOOKUP(Vertailu[[#This Row],[Y-tunnus]],'1.2 Ohjaus-laskentataulu'!A:AT,COLUMN('1.2 Ohjaus-laskentataulu'!AO:AO),FALSE)/VLOOKUP(Vertailu[[#This Row],[Y-tunnus]],'1.2 Ohjaus-laskentataulu'!A:AT,COLUMN('1.2 Ohjaus-laskentataulu'!AR:AR),FALSE),0)</f>
        <v>0</v>
      </c>
      <c r="G88" s="299">
        <f>IFERROR(VLOOKUP(Vertailu[[#This Row],[Y-tunnus]],'1.2 Ohjaus-laskentataulu'!A:AT,COLUMN('1.2 Ohjaus-laskentataulu'!AP:AP),FALSE)/VLOOKUP(Vertailu[[#This Row],[Y-tunnus]],'1.2 Ohjaus-laskentataulu'!A:AT,COLUMN('1.2 Ohjaus-laskentataulu'!AR:AR),FALSE),0)</f>
        <v>0</v>
      </c>
      <c r="H88" s="22">
        <f>IFERROR(VLOOKUP(Vertailu[[#This Row],[Y-tunnus]],'1.2 Ohjaus-laskentataulu'!A:AT,COLUMN('1.2 Ohjaus-laskentataulu'!AQ:AQ),FALSE)/VLOOKUP(Vertailu[[#This Row],[Y-tunnus]],'1.2 Ohjaus-laskentataulu'!A:AT,COLUMN('1.2 Ohjaus-laskentataulu'!AR:AR),FALSE),0)</f>
        <v>0</v>
      </c>
      <c r="I88" s="19">
        <f>IFERROR(VLOOKUP(Vertailu[[#This Row],[Y-tunnus]],'1.2 Ohjaus-laskentataulu'!A:AT,COLUMN('1.2 Ohjaus-laskentataulu'!R:R),FALSE)/VLOOKUP(Vertailu[[#This Row],[Y-tunnus]],'1.2 Ohjaus-laskentataulu'!A:AT,COLUMN('1.2 Ohjaus-laskentataulu'!AR:AR),FALSE),0)</f>
        <v>0</v>
      </c>
      <c r="J88" s="19">
        <f>IFERROR(VLOOKUP(Vertailu[[#This Row],[Y-tunnus]],'1.2 Ohjaus-laskentataulu'!A:AT,COLUMN('1.2 Ohjaus-laskentataulu'!U:U),FALSE)/VLOOKUP(Vertailu[[#This Row],[Y-tunnus]],'1.2 Ohjaus-laskentataulu'!A:AT,COLUMN('1.2 Ohjaus-laskentataulu'!AR:AR),FALSE),0)</f>
        <v>0</v>
      </c>
      <c r="K88" s="46">
        <f>IFERROR(VLOOKUP(Vertailu[[#This Row],[Y-tunnus]],'1.2 Ohjaus-laskentataulu'!A:AT,COLUMN('1.2 Ohjaus-laskentataulu'!X:X),FALSE)/VLOOKUP(Vertailu[[#This Row],[Y-tunnus]],'1.2 Ohjaus-laskentataulu'!A:AT,COLUMN('1.2 Ohjaus-laskentataulu'!AR:AR),FALSE),0)</f>
        <v>0</v>
      </c>
      <c r="L88" s="21">
        <f>IFERROR(VLOOKUP(Vertailu[[#This Row],[Y-tunnus]],'3.2 Suoritepäätös 2019'!$A:$S,COLUMN('3.2 Suoritepäätös 2019'!Q:Q),FALSE)-VLOOKUP(Vertailu[[#This Row],[Y-tunnus]],'3.2 Suoritepäätös 2019'!$A:$S,COLUMN('3.2 Suoritepäätös 2019'!L:L),FALSE),0)</f>
        <v>293499</v>
      </c>
      <c r="M88" s="21">
        <f>IFERROR(VLOOKUP(Vertailu[[#This Row],[Y-tunnus]],'1.2 Ohjaus-laskentataulu'!A:AT,COLUMN('1.2 Ohjaus-laskentataulu'!Z:Z),FALSE),0)</f>
        <v>0</v>
      </c>
      <c r="N88" s="21">
        <f>IFERROR(Vertailu[[#This Row],[Rahoitus pl. hark. kor. 2020 ilman alv, €]]-Vertailu[[#This Row],[Rahoitus pl. hark. kor. 2019 ilman alv, €]],0)</f>
        <v>-293499</v>
      </c>
      <c r="O88" s="46">
        <f>IFERROR(Vertailu[[#This Row],[Muutos, € 1]]/Vertailu[[#This Row],[Rahoitus pl. hark. kor. 2019 ilman alv, €]],0)</f>
        <v>-1</v>
      </c>
      <c r="P88" s="217">
        <f>IFERROR(VLOOKUP(Vertailu[[#This Row],[Y-tunnus]],'3.2 Suoritepäätös 2019'!$A:$S,COLUMN('3.2 Suoritepäätös 2019'!Q:Q),FALSE),0)</f>
        <v>293499</v>
      </c>
      <c r="Q88" s="243">
        <f>IFERROR(VLOOKUP(Vertailu[[#This Row],[Y-tunnus]],'1.2 Ohjaus-laskentataulu'!A:AT,COLUMN('1.2 Ohjaus-laskentataulu'!AR:AR),FALSE),0)</f>
        <v>0</v>
      </c>
      <c r="R88" s="21">
        <f>IFERROR(Vertailu[[#This Row],[Rahoitus ml. hark. kor. 
2020 ilman alv, €]]-Vertailu[[#This Row],[Rahoitus ml. hark. kor. 
2019 ilman alv, €]],0)</f>
        <v>-293499</v>
      </c>
      <c r="S88" s="19">
        <f>IFERROR(Vertailu[[#This Row],[Muutos, € 2]]/Vertailu[[#This Row],[Rahoitus ml. hark. kor. 
2019 ilman alv, €]],0)</f>
        <v>-1</v>
      </c>
      <c r="T88" s="243">
        <f>IFERROR(VLOOKUP(Vertailu[[#This Row],[Y-tunnus]],'3.2 Suoritepäätös 2019'!$A:$S,COLUMN('3.2 Suoritepäätös 2019'!Q:Q),FALSE)+VLOOKUP(Vertailu[[#This Row],[Y-tunnus]],'3.2 Suoritepäätös 2019'!$A:$S,COLUMN('3.2 Suoritepäätös 2019'!R:R),FALSE),0)</f>
        <v>309921</v>
      </c>
      <c r="U88" s="217">
        <f>IFERROR(VLOOKUP(Vertailu[[#This Row],[Y-tunnus]],'1.2 Ohjaus-laskentataulu'!A:AT,COLUMN('1.2 Ohjaus-laskentataulu'!AT:AT),FALSE),0)</f>
        <v>0</v>
      </c>
      <c r="V88" s="249">
        <f>IFERROR(Vertailu[[#This Row],[Rahoitus ml. hark. kor. + alv 2020, €]]-Vertailu[[#This Row],[Rahoitus ml. hark. kor. + alv 2019, €]],0)</f>
        <v>-309921</v>
      </c>
      <c r="W88" s="46">
        <f>IFERROR(Vertailu[[#This Row],[Muutos, € 3]]/Vertailu[[#This Row],[Rahoitus ml. hark. kor. + alv 2019, €]],0)</f>
        <v>-1</v>
      </c>
    </row>
    <row r="89" spans="1:23" ht="12.75" customHeight="1" x14ac:dyDescent="0.25">
      <c r="A89" s="12" t="s">
        <v>322</v>
      </c>
      <c r="B89" s="297" t="s">
        <v>488</v>
      </c>
      <c r="C89" s="297" t="s">
        <v>238</v>
      </c>
      <c r="D89" s="297" t="s">
        <v>423</v>
      </c>
      <c r="E89" s="22">
        <f>IFERROR(VLOOKUP(Vertailu[[#This Row],[Y-tunnus]],'1.2 Ohjaus-laskentataulu'!A:AT,COLUMN('1.2 Ohjaus-laskentataulu'!L:L),FALSE)/VLOOKUP(Vertailu[[#This Row],[Y-tunnus]],'1.2 Ohjaus-laskentataulu'!A:AT,COLUMN('1.2 Ohjaus-laskentataulu'!AR:AR),FALSE),0)</f>
        <v>1</v>
      </c>
      <c r="F89" s="46">
        <f>IFERROR(VLOOKUP(Vertailu[[#This Row],[Y-tunnus]],'1.2 Ohjaus-laskentataulu'!A:AT,COLUMN('1.2 Ohjaus-laskentataulu'!AO:AO),FALSE)/VLOOKUP(Vertailu[[#This Row],[Y-tunnus]],'1.2 Ohjaus-laskentataulu'!A:AT,COLUMN('1.2 Ohjaus-laskentataulu'!AR:AR),FALSE),0)</f>
        <v>1</v>
      </c>
      <c r="G89" s="299">
        <f>IFERROR(VLOOKUP(Vertailu[[#This Row],[Y-tunnus]],'1.2 Ohjaus-laskentataulu'!A:AT,COLUMN('1.2 Ohjaus-laskentataulu'!AP:AP),FALSE)/VLOOKUP(Vertailu[[#This Row],[Y-tunnus]],'1.2 Ohjaus-laskentataulu'!A:AT,COLUMN('1.2 Ohjaus-laskentataulu'!AR:AR),FALSE),0)</f>
        <v>0</v>
      </c>
      <c r="H89" s="22">
        <f>IFERROR(VLOOKUP(Vertailu[[#This Row],[Y-tunnus]],'1.2 Ohjaus-laskentataulu'!A:AT,COLUMN('1.2 Ohjaus-laskentataulu'!AQ:AQ),FALSE)/VLOOKUP(Vertailu[[#This Row],[Y-tunnus]],'1.2 Ohjaus-laskentataulu'!A:AT,COLUMN('1.2 Ohjaus-laskentataulu'!AR:AR),FALSE),0)</f>
        <v>0</v>
      </c>
      <c r="I89" s="19">
        <f>IFERROR(VLOOKUP(Vertailu[[#This Row],[Y-tunnus]],'1.2 Ohjaus-laskentataulu'!A:AT,COLUMN('1.2 Ohjaus-laskentataulu'!R:R),FALSE)/VLOOKUP(Vertailu[[#This Row],[Y-tunnus]],'1.2 Ohjaus-laskentataulu'!A:AT,COLUMN('1.2 Ohjaus-laskentataulu'!AR:AR),FALSE),0)</f>
        <v>0</v>
      </c>
      <c r="J89" s="19">
        <f>IFERROR(VLOOKUP(Vertailu[[#This Row],[Y-tunnus]],'1.2 Ohjaus-laskentataulu'!A:AT,COLUMN('1.2 Ohjaus-laskentataulu'!U:U),FALSE)/VLOOKUP(Vertailu[[#This Row],[Y-tunnus]],'1.2 Ohjaus-laskentataulu'!A:AT,COLUMN('1.2 Ohjaus-laskentataulu'!AR:AR),FALSE),0)</f>
        <v>0</v>
      </c>
      <c r="K89" s="46">
        <f>IFERROR(VLOOKUP(Vertailu[[#This Row],[Y-tunnus]],'1.2 Ohjaus-laskentataulu'!A:AT,COLUMN('1.2 Ohjaus-laskentataulu'!X:X),FALSE)/VLOOKUP(Vertailu[[#This Row],[Y-tunnus]],'1.2 Ohjaus-laskentataulu'!A:AT,COLUMN('1.2 Ohjaus-laskentataulu'!AR:AR),FALSE),0)</f>
        <v>0</v>
      </c>
      <c r="L89" s="21">
        <f>IFERROR(VLOOKUP(Vertailu[[#This Row],[Y-tunnus]],'3.2 Suoritepäätös 2019'!$A:$S,COLUMN('3.2 Suoritepäätös 2019'!Q:Q),FALSE)-VLOOKUP(Vertailu[[#This Row],[Y-tunnus]],'3.2 Suoritepäätös 2019'!$A:$S,COLUMN('3.2 Suoritepäätös 2019'!L:L),FALSE),0)</f>
        <v>142253</v>
      </c>
      <c r="M89" s="21">
        <f>IFERROR(VLOOKUP(Vertailu[[#This Row],[Y-tunnus]],'1.2 Ohjaus-laskentataulu'!A:AT,COLUMN('1.2 Ohjaus-laskentataulu'!Z:Z),FALSE),0)</f>
        <v>8853</v>
      </c>
      <c r="N89" s="21">
        <f>IFERROR(Vertailu[[#This Row],[Rahoitus pl. hark. kor. 2020 ilman alv, €]]-Vertailu[[#This Row],[Rahoitus pl. hark. kor. 2019 ilman alv, €]],0)</f>
        <v>-133400</v>
      </c>
      <c r="O89" s="46">
        <f>IFERROR(Vertailu[[#This Row],[Muutos, € 1]]/Vertailu[[#This Row],[Rahoitus pl. hark. kor. 2019 ilman alv, €]],0)</f>
        <v>-0.93776581161732964</v>
      </c>
      <c r="P89" s="217">
        <f>IFERROR(VLOOKUP(Vertailu[[#This Row],[Y-tunnus]],'3.2 Suoritepäätös 2019'!$A:$S,COLUMN('3.2 Suoritepäätös 2019'!Q:Q),FALSE),0)</f>
        <v>142253</v>
      </c>
      <c r="Q89" s="243">
        <f>IFERROR(VLOOKUP(Vertailu[[#This Row],[Y-tunnus]],'1.2 Ohjaus-laskentataulu'!A:AT,COLUMN('1.2 Ohjaus-laskentataulu'!AR:AR),FALSE),0)</f>
        <v>8853</v>
      </c>
      <c r="R89" s="21">
        <f>IFERROR(Vertailu[[#This Row],[Rahoitus ml. hark. kor. 
2020 ilman alv, €]]-Vertailu[[#This Row],[Rahoitus ml. hark. kor. 
2019 ilman alv, €]],0)</f>
        <v>-133400</v>
      </c>
      <c r="S89" s="19">
        <f>IFERROR(Vertailu[[#This Row],[Muutos, € 2]]/Vertailu[[#This Row],[Rahoitus ml. hark. kor. 
2019 ilman alv, €]],0)</f>
        <v>-0.93776581161732964</v>
      </c>
      <c r="T89" s="243">
        <f>IFERROR(VLOOKUP(Vertailu[[#This Row],[Y-tunnus]],'3.2 Suoritepäätös 2019'!$A:$S,COLUMN('3.2 Suoritepäätös 2019'!Q:Q),FALSE)+VLOOKUP(Vertailu[[#This Row],[Y-tunnus]],'3.2 Suoritepäätös 2019'!$A:$S,COLUMN('3.2 Suoritepäätös 2019'!R:R),FALSE),0)</f>
        <v>150212</v>
      </c>
      <c r="U89" s="217">
        <f>IFERROR(VLOOKUP(Vertailu[[#This Row],[Y-tunnus]],'1.2 Ohjaus-laskentataulu'!A:AT,COLUMN('1.2 Ohjaus-laskentataulu'!AT:AT),FALSE),0)</f>
        <v>24771</v>
      </c>
      <c r="V89" s="249">
        <f>IFERROR(Vertailu[[#This Row],[Rahoitus ml. hark. kor. + alv 2020, €]]-Vertailu[[#This Row],[Rahoitus ml. hark. kor. + alv 2019, €]],0)</f>
        <v>-125441</v>
      </c>
      <c r="W89" s="46">
        <f>IFERROR(Vertailu[[#This Row],[Muutos, € 3]]/Vertailu[[#This Row],[Rahoitus ml. hark. kor. + alv 2019, €]],0)</f>
        <v>-0.83509306846323861</v>
      </c>
    </row>
    <row r="90" spans="1:23" ht="12.75" customHeight="1" x14ac:dyDescent="0.25">
      <c r="A90" s="12" t="s">
        <v>321</v>
      </c>
      <c r="B90" s="297" t="s">
        <v>94</v>
      </c>
      <c r="C90" s="297" t="s">
        <v>244</v>
      </c>
      <c r="D90" s="297" t="s">
        <v>422</v>
      </c>
      <c r="E90" s="22">
        <f>IFERROR(VLOOKUP(Vertailu[[#This Row],[Y-tunnus]],'1.2 Ohjaus-laskentataulu'!A:AT,COLUMN('1.2 Ohjaus-laskentataulu'!L:L),FALSE)/VLOOKUP(Vertailu[[#This Row],[Y-tunnus]],'1.2 Ohjaus-laskentataulu'!A:AT,COLUMN('1.2 Ohjaus-laskentataulu'!AR:AR),FALSE),0)</f>
        <v>0.69597102348899909</v>
      </c>
      <c r="F90" s="46">
        <f>IFERROR(VLOOKUP(Vertailu[[#This Row],[Y-tunnus]],'1.2 Ohjaus-laskentataulu'!A:AT,COLUMN('1.2 Ohjaus-laskentataulu'!AO:AO),FALSE)/VLOOKUP(Vertailu[[#This Row],[Y-tunnus]],'1.2 Ohjaus-laskentataulu'!A:AT,COLUMN('1.2 Ohjaus-laskentataulu'!AR:AR),FALSE),0)</f>
        <v>0.69597102348899909</v>
      </c>
      <c r="G90" s="299">
        <f>IFERROR(VLOOKUP(Vertailu[[#This Row],[Y-tunnus]],'1.2 Ohjaus-laskentataulu'!A:AT,COLUMN('1.2 Ohjaus-laskentataulu'!AP:AP),FALSE)/VLOOKUP(Vertailu[[#This Row],[Y-tunnus]],'1.2 Ohjaus-laskentataulu'!A:AT,COLUMN('1.2 Ohjaus-laskentataulu'!AR:AR),FALSE),0)</f>
        <v>0.19867868504204411</v>
      </c>
      <c r="H90" s="22">
        <f>IFERROR(VLOOKUP(Vertailu[[#This Row],[Y-tunnus]],'1.2 Ohjaus-laskentataulu'!A:AT,COLUMN('1.2 Ohjaus-laskentataulu'!AQ:AQ),FALSE)/VLOOKUP(Vertailu[[#This Row],[Y-tunnus]],'1.2 Ohjaus-laskentataulu'!A:AT,COLUMN('1.2 Ohjaus-laskentataulu'!AR:AR),FALSE),0)</f>
        <v>0.10535029146895675</v>
      </c>
      <c r="I90" s="19">
        <f>IFERROR(VLOOKUP(Vertailu[[#This Row],[Y-tunnus]],'1.2 Ohjaus-laskentataulu'!A:AT,COLUMN('1.2 Ohjaus-laskentataulu'!R:R),FALSE)/VLOOKUP(Vertailu[[#This Row],[Y-tunnus]],'1.2 Ohjaus-laskentataulu'!A:AT,COLUMN('1.2 Ohjaus-laskentataulu'!AR:AR),FALSE),0)</f>
        <v>7.2778684445045871E-2</v>
      </c>
      <c r="J90" s="19">
        <f>IFERROR(VLOOKUP(Vertailu[[#This Row],[Y-tunnus]],'1.2 Ohjaus-laskentataulu'!A:AT,COLUMN('1.2 Ohjaus-laskentataulu'!U:U),FALSE)/VLOOKUP(Vertailu[[#This Row],[Y-tunnus]],'1.2 Ohjaus-laskentataulu'!A:AT,COLUMN('1.2 Ohjaus-laskentataulu'!AR:AR),FALSE),0)</f>
        <v>5.1810527576961821E-3</v>
      </c>
      <c r="K90" s="46">
        <f>IFERROR(VLOOKUP(Vertailu[[#This Row],[Y-tunnus]],'1.2 Ohjaus-laskentataulu'!A:AT,COLUMN('1.2 Ohjaus-laskentataulu'!X:X),FALSE)/VLOOKUP(Vertailu[[#This Row],[Y-tunnus]],'1.2 Ohjaus-laskentataulu'!A:AT,COLUMN('1.2 Ohjaus-laskentataulu'!AR:AR),FALSE),0)</f>
        <v>2.7390554266214697E-2</v>
      </c>
      <c r="L90" s="21">
        <f>IFERROR(VLOOKUP(Vertailu[[#This Row],[Y-tunnus]],'3.2 Suoritepäätös 2019'!$A:$S,COLUMN('3.2 Suoritepäätös 2019'!Q:Q),FALSE)-VLOOKUP(Vertailu[[#This Row],[Y-tunnus]],'3.2 Suoritepäätös 2019'!$A:$S,COLUMN('3.2 Suoritepäätös 2019'!L:L),FALSE),0)</f>
        <v>14270917</v>
      </c>
      <c r="M90" s="21">
        <f>IFERROR(VLOOKUP(Vertailu[[#This Row],[Y-tunnus]],'1.2 Ohjaus-laskentataulu'!A:AT,COLUMN('1.2 Ohjaus-laskentataulu'!Z:Z),FALSE),0)</f>
        <v>14572907</v>
      </c>
      <c r="N90" s="21">
        <f>IFERROR(Vertailu[[#This Row],[Rahoitus pl. hark. kor. 2020 ilman alv, €]]-Vertailu[[#This Row],[Rahoitus pl. hark. kor. 2019 ilman alv, €]],0)</f>
        <v>301990</v>
      </c>
      <c r="O90" s="46">
        <f>IFERROR(Vertailu[[#This Row],[Muutos, € 1]]/Vertailu[[#This Row],[Rahoitus pl. hark. kor. 2019 ilman alv, €]],0)</f>
        <v>2.1161219002254726E-2</v>
      </c>
      <c r="P90" s="217">
        <f>IFERROR(VLOOKUP(Vertailu[[#This Row],[Y-tunnus]],'3.2 Suoritepäätös 2019'!$A:$S,COLUMN('3.2 Suoritepäätös 2019'!Q:Q),FALSE),0)</f>
        <v>14270917</v>
      </c>
      <c r="Q90" s="243">
        <f>IFERROR(VLOOKUP(Vertailu[[#This Row],[Y-tunnus]],'1.2 Ohjaus-laskentataulu'!A:AT,COLUMN('1.2 Ohjaus-laskentataulu'!AR:AR),FALSE),0)</f>
        <v>14572907</v>
      </c>
      <c r="R90" s="21">
        <f>IFERROR(Vertailu[[#This Row],[Rahoitus ml. hark. kor. 
2020 ilman alv, €]]-Vertailu[[#This Row],[Rahoitus ml. hark. kor. 
2019 ilman alv, €]],0)</f>
        <v>301990</v>
      </c>
      <c r="S90" s="19">
        <f>IFERROR(Vertailu[[#This Row],[Muutos, € 2]]/Vertailu[[#This Row],[Rahoitus ml. hark. kor. 
2019 ilman alv, €]],0)</f>
        <v>2.1161219002254726E-2</v>
      </c>
      <c r="T90" s="243">
        <f>IFERROR(VLOOKUP(Vertailu[[#This Row],[Y-tunnus]],'3.2 Suoritepäätös 2019'!$A:$S,COLUMN('3.2 Suoritepäätös 2019'!Q:Q),FALSE)+VLOOKUP(Vertailu[[#This Row],[Y-tunnus]],'3.2 Suoritepäätös 2019'!$A:$S,COLUMN('3.2 Suoritepäätös 2019'!R:R),FALSE),0)</f>
        <v>14270917</v>
      </c>
      <c r="U90" s="217">
        <f>IFERROR(VLOOKUP(Vertailu[[#This Row],[Y-tunnus]],'1.2 Ohjaus-laskentataulu'!A:AT,COLUMN('1.2 Ohjaus-laskentataulu'!AT:AT),FALSE),0)</f>
        <v>14572907</v>
      </c>
      <c r="V90" s="249">
        <f>IFERROR(Vertailu[[#This Row],[Rahoitus ml. hark. kor. + alv 2020, €]]-Vertailu[[#This Row],[Rahoitus ml. hark. kor. + alv 2019, €]],0)</f>
        <v>301990</v>
      </c>
      <c r="W90" s="46">
        <f>IFERROR(Vertailu[[#This Row],[Muutos, € 3]]/Vertailu[[#This Row],[Rahoitus ml. hark. kor. + alv 2019, €]],0)</f>
        <v>2.1161219002254726E-2</v>
      </c>
    </row>
    <row r="91" spans="1:23" ht="12.75" customHeight="1" x14ac:dyDescent="0.25">
      <c r="A91" s="12" t="s">
        <v>320</v>
      </c>
      <c r="B91" s="297" t="s">
        <v>95</v>
      </c>
      <c r="C91" s="297" t="s">
        <v>246</v>
      </c>
      <c r="D91" s="297" t="s">
        <v>424</v>
      </c>
      <c r="E91" s="22">
        <f>IFERROR(VLOOKUP(Vertailu[[#This Row],[Y-tunnus]],'1.2 Ohjaus-laskentataulu'!A:AT,COLUMN('1.2 Ohjaus-laskentataulu'!L:L),FALSE)/VLOOKUP(Vertailu[[#This Row],[Y-tunnus]],'1.2 Ohjaus-laskentataulu'!A:AT,COLUMN('1.2 Ohjaus-laskentataulu'!AR:AR),FALSE),0)</f>
        <v>0.61438471070286527</v>
      </c>
      <c r="F91" s="46">
        <f>IFERROR(VLOOKUP(Vertailu[[#This Row],[Y-tunnus]],'1.2 Ohjaus-laskentataulu'!A:AT,COLUMN('1.2 Ohjaus-laskentataulu'!AO:AO),FALSE)/VLOOKUP(Vertailu[[#This Row],[Y-tunnus]],'1.2 Ohjaus-laskentataulu'!A:AT,COLUMN('1.2 Ohjaus-laskentataulu'!AR:AR),FALSE),0)</f>
        <v>0.61438471070286527</v>
      </c>
      <c r="G91" s="299">
        <f>IFERROR(VLOOKUP(Vertailu[[#This Row],[Y-tunnus]],'1.2 Ohjaus-laskentataulu'!A:AT,COLUMN('1.2 Ohjaus-laskentataulu'!AP:AP),FALSE)/VLOOKUP(Vertailu[[#This Row],[Y-tunnus]],'1.2 Ohjaus-laskentataulu'!A:AT,COLUMN('1.2 Ohjaus-laskentataulu'!AR:AR),FALSE),0)</f>
        <v>0.34304126180875061</v>
      </c>
      <c r="H91" s="22">
        <f>IFERROR(VLOOKUP(Vertailu[[#This Row],[Y-tunnus]],'1.2 Ohjaus-laskentataulu'!A:AT,COLUMN('1.2 Ohjaus-laskentataulu'!AQ:AQ),FALSE)/VLOOKUP(Vertailu[[#This Row],[Y-tunnus]],'1.2 Ohjaus-laskentataulu'!A:AT,COLUMN('1.2 Ohjaus-laskentataulu'!AR:AR),FALSE),0)</f>
        <v>4.2574027488384104E-2</v>
      </c>
      <c r="I91" s="19">
        <f>IFERROR(VLOOKUP(Vertailu[[#This Row],[Y-tunnus]],'1.2 Ohjaus-laskentataulu'!A:AT,COLUMN('1.2 Ohjaus-laskentataulu'!R:R),FALSE)/VLOOKUP(Vertailu[[#This Row],[Y-tunnus]],'1.2 Ohjaus-laskentataulu'!A:AT,COLUMN('1.2 Ohjaus-laskentataulu'!AR:AR),FALSE),0)</f>
        <v>3.6189953406490609E-2</v>
      </c>
      <c r="J91" s="19">
        <f>IFERROR(VLOOKUP(Vertailu[[#This Row],[Y-tunnus]],'1.2 Ohjaus-laskentataulu'!A:AT,COLUMN('1.2 Ohjaus-laskentataulu'!U:U),FALSE)/VLOOKUP(Vertailu[[#This Row],[Y-tunnus]],'1.2 Ohjaus-laskentataulu'!A:AT,COLUMN('1.2 Ohjaus-laskentataulu'!AR:AR),FALSE),0)</f>
        <v>6.3840740818934929E-3</v>
      </c>
      <c r="K91" s="46">
        <f>IFERROR(VLOOKUP(Vertailu[[#This Row],[Y-tunnus]],'1.2 Ohjaus-laskentataulu'!A:AT,COLUMN('1.2 Ohjaus-laskentataulu'!X:X),FALSE)/VLOOKUP(Vertailu[[#This Row],[Y-tunnus]],'1.2 Ohjaus-laskentataulu'!A:AT,COLUMN('1.2 Ohjaus-laskentataulu'!AR:AR),FALSE),0)</f>
        <v>0</v>
      </c>
      <c r="L91" s="21">
        <f>IFERROR(VLOOKUP(Vertailu[[#This Row],[Y-tunnus]],'3.2 Suoritepäätös 2019'!$A:$S,COLUMN('3.2 Suoritepäätös 2019'!Q:Q),FALSE)-VLOOKUP(Vertailu[[#This Row],[Y-tunnus]],'3.2 Suoritepäätös 2019'!$A:$S,COLUMN('3.2 Suoritepäätös 2019'!L:L),FALSE),0)</f>
        <v>533683</v>
      </c>
      <c r="M91" s="21">
        <f>IFERROR(VLOOKUP(Vertailu[[#This Row],[Y-tunnus]],'1.2 Ohjaus-laskentataulu'!A:AT,COLUMN('1.2 Ohjaus-laskentataulu'!Z:Z),FALSE),0)</f>
        <v>615751</v>
      </c>
      <c r="N91" s="21">
        <f>IFERROR(Vertailu[[#This Row],[Rahoitus pl. hark. kor. 2020 ilman alv, €]]-Vertailu[[#This Row],[Rahoitus pl. hark. kor. 2019 ilman alv, €]],0)</f>
        <v>82068</v>
      </c>
      <c r="O91" s="46">
        <f>IFERROR(Vertailu[[#This Row],[Muutos, € 1]]/Vertailu[[#This Row],[Rahoitus pl. hark. kor. 2019 ilman alv, €]],0)</f>
        <v>0.15377668016406743</v>
      </c>
      <c r="P91" s="217">
        <f>IFERROR(VLOOKUP(Vertailu[[#This Row],[Y-tunnus]],'3.2 Suoritepäätös 2019'!$A:$S,COLUMN('3.2 Suoritepäätös 2019'!Q:Q),FALSE),0)</f>
        <v>533683</v>
      </c>
      <c r="Q91" s="243">
        <f>IFERROR(VLOOKUP(Vertailu[[#This Row],[Y-tunnus]],'1.2 Ohjaus-laskentataulu'!A:AT,COLUMN('1.2 Ohjaus-laskentataulu'!AR:AR),FALSE),0)</f>
        <v>615751</v>
      </c>
      <c r="R91" s="21">
        <f>IFERROR(Vertailu[[#This Row],[Rahoitus ml. hark. kor. 
2020 ilman alv, €]]-Vertailu[[#This Row],[Rahoitus ml. hark. kor. 
2019 ilman alv, €]],0)</f>
        <v>82068</v>
      </c>
      <c r="S91" s="19">
        <f>IFERROR(Vertailu[[#This Row],[Muutos, € 2]]/Vertailu[[#This Row],[Rahoitus ml. hark. kor. 
2019 ilman alv, €]],0)</f>
        <v>0.15377668016406743</v>
      </c>
      <c r="T91" s="243">
        <f>IFERROR(VLOOKUP(Vertailu[[#This Row],[Y-tunnus]],'3.2 Suoritepäätös 2019'!$A:$S,COLUMN('3.2 Suoritepäätös 2019'!Q:Q),FALSE)+VLOOKUP(Vertailu[[#This Row],[Y-tunnus]],'3.2 Suoritepäätös 2019'!$A:$S,COLUMN('3.2 Suoritepäätös 2019'!R:R),FALSE),0)</f>
        <v>533683</v>
      </c>
      <c r="U91" s="217">
        <f>IFERROR(VLOOKUP(Vertailu[[#This Row],[Y-tunnus]],'1.2 Ohjaus-laskentataulu'!A:AT,COLUMN('1.2 Ohjaus-laskentataulu'!AT:AT),FALSE),0)</f>
        <v>615751</v>
      </c>
      <c r="V91" s="249">
        <f>IFERROR(Vertailu[[#This Row],[Rahoitus ml. hark. kor. + alv 2020, €]]-Vertailu[[#This Row],[Rahoitus ml. hark. kor. + alv 2019, €]],0)</f>
        <v>82068</v>
      </c>
      <c r="W91" s="46">
        <f>IFERROR(Vertailu[[#This Row],[Muutos, € 3]]/Vertailu[[#This Row],[Rahoitus ml. hark. kor. + alv 2019, €]],0)</f>
        <v>0.15377668016406743</v>
      </c>
    </row>
    <row r="92" spans="1:23" ht="12.75" customHeight="1" x14ac:dyDescent="0.25">
      <c r="A92" s="12" t="s">
        <v>319</v>
      </c>
      <c r="B92" s="297" t="s">
        <v>96</v>
      </c>
      <c r="C92" s="297" t="s">
        <v>246</v>
      </c>
      <c r="D92" s="297" t="s">
        <v>422</v>
      </c>
      <c r="E92" s="22">
        <f>IFERROR(VLOOKUP(Vertailu[[#This Row],[Y-tunnus]],'1.2 Ohjaus-laskentataulu'!A:AT,COLUMN('1.2 Ohjaus-laskentataulu'!L:L),FALSE)/VLOOKUP(Vertailu[[#This Row],[Y-tunnus]],'1.2 Ohjaus-laskentataulu'!A:AT,COLUMN('1.2 Ohjaus-laskentataulu'!AR:AR),FALSE),0)</f>
        <v>0.65617312268083861</v>
      </c>
      <c r="F92" s="46">
        <f>IFERROR(VLOOKUP(Vertailu[[#This Row],[Y-tunnus]],'1.2 Ohjaus-laskentataulu'!A:AT,COLUMN('1.2 Ohjaus-laskentataulu'!AO:AO),FALSE)/VLOOKUP(Vertailu[[#This Row],[Y-tunnus]],'1.2 Ohjaus-laskentataulu'!A:AT,COLUMN('1.2 Ohjaus-laskentataulu'!AR:AR),FALSE),0)</f>
        <v>0.65675663520478977</v>
      </c>
      <c r="G92" s="299">
        <f>IFERROR(VLOOKUP(Vertailu[[#This Row],[Y-tunnus]],'1.2 Ohjaus-laskentataulu'!A:AT,COLUMN('1.2 Ohjaus-laskentataulu'!AP:AP),FALSE)/VLOOKUP(Vertailu[[#This Row],[Y-tunnus]],'1.2 Ohjaus-laskentataulu'!A:AT,COLUMN('1.2 Ohjaus-laskentataulu'!AR:AR),FALSE),0)</f>
        <v>0.21206705066556095</v>
      </c>
      <c r="H92" s="22">
        <f>IFERROR(VLOOKUP(Vertailu[[#This Row],[Y-tunnus]],'1.2 Ohjaus-laskentataulu'!A:AT,COLUMN('1.2 Ohjaus-laskentataulu'!AQ:AQ),FALSE)/VLOOKUP(Vertailu[[#This Row],[Y-tunnus]],'1.2 Ohjaus-laskentataulu'!A:AT,COLUMN('1.2 Ohjaus-laskentataulu'!AR:AR),FALSE),0)</f>
        <v>0.13117631412964928</v>
      </c>
      <c r="I92" s="19">
        <f>IFERROR(VLOOKUP(Vertailu[[#This Row],[Y-tunnus]],'1.2 Ohjaus-laskentataulu'!A:AT,COLUMN('1.2 Ohjaus-laskentataulu'!R:R),FALSE)/VLOOKUP(Vertailu[[#This Row],[Y-tunnus]],'1.2 Ohjaus-laskentataulu'!A:AT,COLUMN('1.2 Ohjaus-laskentataulu'!AR:AR),FALSE),0)</f>
        <v>9.2515327159936156E-2</v>
      </c>
      <c r="J92" s="19">
        <f>IFERROR(VLOOKUP(Vertailu[[#This Row],[Y-tunnus]],'1.2 Ohjaus-laskentataulu'!A:AT,COLUMN('1.2 Ohjaus-laskentataulu'!U:U),FALSE)/VLOOKUP(Vertailu[[#This Row],[Y-tunnus]],'1.2 Ohjaus-laskentataulu'!A:AT,COLUMN('1.2 Ohjaus-laskentataulu'!AR:AR),FALSE),0)</f>
        <v>9.4418599134933924E-3</v>
      </c>
      <c r="K92" s="46">
        <f>IFERROR(VLOOKUP(Vertailu[[#This Row],[Y-tunnus]],'1.2 Ohjaus-laskentataulu'!A:AT,COLUMN('1.2 Ohjaus-laskentataulu'!X:X),FALSE)/VLOOKUP(Vertailu[[#This Row],[Y-tunnus]],'1.2 Ohjaus-laskentataulu'!A:AT,COLUMN('1.2 Ohjaus-laskentataulu'!AR:AR),FALSE),0)</f>
        <v>2.9219127056219724E-2</v>
      </c>
      <c r="L92" s="21">
        <f>IFERROR(VLOOKUP(Vertailu[[#This Row],[Y-tunnus]],'3.2 Suoritepäätös 2019'!$A:$S,COLUMN('3.2 Suoritepäätös 2019'!Q:Q),FALSE)-VLOOKUP(Vertailu[[#This Row],[Y-tunnus]],'3.2 Suoritepäätös 2019'!$A:$S,COLUMN('3.2 Suoritepäätös 2019'!L:L),FALSE),0)</f>
        <v>70272791</v>
      </c>
      <c r="M92" s="21">
        <f>IFERROR(VLOOKUP(Vertailu[[#This Row],[Y-tunnus]],'1.2 Ohjaus-laskentataulu'!A:AT,COLUMN('1.2 Ohjaus-laskentataulu'!Z:Z),FALSE),0)</f>
        <v>68510371</v>
      </c>
      <c r="N92" s="21">
        <f>IFERROR(Vertailu[[#This Row],[Rahoitus pl. hark. kor. 2020 ilman alv, €]]-Vertailu[[#This Row],[Rahoitus pl. hark. kor. 2019 ilman alv, €]],0)</f>
        <v>-1762420</v>
      </c>
      <c r="O92" s="46">
        <f>IFERROR(Vertailu[[#This Row],[Muutos, € 1]]/Vertailu[[#This Row],[Rahoitus pl. hark. kor. 2019 ilman alv, €]],0)</f>
        <v>-2.5079692650886741E-2</v>
      </c>
      <c r="P92" s="217">
        <f>IFERROR(VLOOKUP(Vertailu[[#This Row],[Y-tunnus]],'3.2 Suoritepäätös 2019'!$A:$S,COLUMN('3.2 Suoritepäätös 2019'!Q:Q),FALSE),0)</f>
        <v>70272791</v>
      </c>
      <c r="Q92" s="243">
        <f>IFERROR(VLOOKUP(Vertailu[[#This Row],[Y-tunnus]],'1.2 Ohjaus-laskentataulu'!A:AT,COLUMN('1.2 Ohjaus-laskentataulu'!AR:AR),FALSE),0)</f>
        <v>68550371</v>
      </c>
      <c r="R92" s="21">
        <f>IFERROR(Vertailu[[#This Row],[Rahoitus ml. hark. kor. 
2020 ilman alv, €]]-Vertailu[[#This Row],[Rahoitus ml. hark. kor. 
2019 ilman alv, €]],0)</f>
        <v>-1722420</v>
      </c>
      <c r="S92" s="19">
        <f>IFERROR(Vertailu[[#This Row],[Muutos, € 2]]/Vertailu[[#This Row],[Rahoitus ml. hark. kor. 
2019 ilman alv, €]],0)</f>
        <v>-2.4510482300325882E-2</v>
      </c>
      <c r="T92" s="243">
        <f>IFERROR(VLOOKUP(Vertailu[[#This Row],[Y-tunnus]],'3.2 Suoritepäätös 2019'!$A:$S,COLUMN('3.2 Suoritepäätös 2019'!Q:Q),FALSE)+VLOOKUP(Vertailu[[#This Row],[Y-tunnus]],'3.2 Suoritepäätös 2019'!$A:$S,COLUMN('3.2 Suoritepäätös 2019'!R:R),FALSE),0)</f>
        <v>70272791</v>
      </c>
      <c r="U92" s="217">
        <f>IFERROR(VLOOKUP(Vertailu[[#This Row],[Y-tunnus]],'1.2 Ohjaus-laskentataulu'!A:AT,COLUMN('1.2 Ohjaus-laskentataulu'!AT:AT),FALSE),0)</f>
        <v>68550371</v>
      </c>
      <c r="V92" s="249">
        <f>IFERROR(Vertailu[[#This Row],[Rahoitus ml. hark. kor. + alv 2020, €]]-Vertailu[[#This Row],[Rahoitus ml. hark. kor. + alv 2019, €]],0)</f>
        <v>-1722420</v>
      </c>
      <c r="W92" s="46">
        <f>IFERROR(Vertailu[[#This Row],[Muutos, € 3]]/Vertailu[[#This Row],[Rahoitus ml. hark. kor. + alv 2019, €]],0)</f>
        <v>-2.4510482300325882E-2</v>
      </c>
    </row>
    <row r="93" spans="1:23" ht="12.75" customHeight="1" x14ac:dyDescent="0.25">
      <c r="A93" s="12" t="s">
        <v>316</v>
      </c>
      <c r="B93" s="297" t="s">
        <v>97</v>
      </c>
      <c r="C93" s="297" t="s">
        <v>238</v>
      </c>
      <c r="D93" s="297" t="s">
        <v>423</v>
      </c>
      <c r="E93" s="22">
        <f>IFERROR(VLOOKUP(Vertailu[[#This Row],[Y-tunnus]],'1.2 Ohjaus-laskentataulu'!A:AT,COLUMN('1.2 Ohjaus-laskentataulu'!L:L),FALSE)/VLOOKUP(Vertailu[[#This Row],[Y-tunnus]],'1.2 Ohjaus-laskentataulu'!A:AT,COLUMN('1.2 Ohjaus-laskentataulu'!AR:AR),FALSE),0)</f>
        <v>0.70448089673887704</v>
      </c>
      <c r="F93" s="46">
        <f>IFERROR(VLOOKUP(Vertailu[[#This Row],[Y-tunnus]],'1.2 Ohjaus-laskentataulu'!A:AT,COLUMN('1.2 Ohjaus-laskentataulu'!AO:AO),FALSE)/VLOOKUP(Vertailu[[#This Row],[Y-tunnus]],'1.2 Ohjaus-laskentataulu'!A:AT,COLUMN('1.2 Ohjaus-laskentataulu'!AR:AR),FALSE),0)</f>
        <v>0.70448089673887704</v>
      </c>
      <c r="G93" s="299">
        <f>IFERROR(VLOOKUP(Vertailu[[#This Row],[Y-tunnus]],'1.2 Ohjaus-laskentataulu'!A:AT,COLUMN('1.2 Ohjaus-laskentataulu'!AP:AP),FALSE)/VLOOKUP(Vertailu[[#This Row],[Y-tunnus]],'1.2 Ohjaus-laskentataulu'!A:AT,COLUMN('1.2 Ohjaus-laskentataulu'!AR:AR),FALSE),0)</f>
        <v>0.2111215763804053</v>
      </c>
      <c r="H93" s="22">
        <f>IFERROR(VLOOKUP(Vertailu[[#This Row],[Y-tunnus]],'1.2 Ohjaus-laskentataulu'!A:AT,COLUMN('1.2 Ohjaus-laskentataulu'!AQ:AQ),FALSE)/VLOOKUP(Vertailu[[#This Row],[Y-tunnus]],'1.2 Ohjaus-laskentataulu'!A:AT,COLUMN('1.2 Ohjaus-laskentataulu'!AR:AR),FALSE),0)</f>
        <v>8.4397526880717694E-2</v>
      </c>
      <c r="I93" s="19">
        <f>IFERROR(VLOOKUP(Vertailu[[#This Row],[Y-tunnus]],'1.2 Ohjaus-laskentataulu'!A:AT,COLUMN('1.2 Ohjaus-laskentataulu'!R:R),FALSE)/VLOOKUP(Vertailu[[#This Row],[Y-tunnus]],'1.2 Ohjaus-laskentataulu'!A:AT,COLUMN('1.2 Ohjaus-laskentataulu'!AR:AR),FALSE),0)</f>
        <v>5.0036835675584944E-2</v>
      </c>
      <c r="J93" s="19">
        <f>IFERROR(VLOOKUP(Vertailu[[#This Row],[Y-tunnus]],'1.2 Ohjaus-laskentataulu'!A:AT,COLUMN('1.2 Ohjaus-laskentataulu'!U:U),FALSE)/VLOOKUP(Vertailu[[#This Row],[Y-tunnus]],'1.2 Ohjaus-laskentataulu'!A:AT,COLUMN('1.2 Ohjaus-laskentataulu'!AR:AR),FALSE),0)</f>
        <v>1.4499267949232047E-2</v>
      </c>
      <c r="K93" s="46">
        <f>IFERROR(VLOOKUP(Vertailu[[#This Row],[Y-tunnus]],'1.2 Ohjaus-laskentataulu'!A:AT,COLUMN('1.2 Ohjaus-laskentataulu'!X:X),FALSE)/VLOOKUP(Vertailu[[#This Row],[Y-tunnus]],'1.2 Ohjaus-laskentataulu'!A:AT,COLUMN('1.2 Ohjaus-laskentataulu'!AR:AR),FALSE),0)</f>
        <v>1.9861423255900703E-2</v>
      </c>
      <c r="L93" s="21">
        <f>IFERROR(VLOOKUP(Vertailu[[#This Row],[Y-tunnus]],'3.2 Suoritepäätös 2019'!$A:$S,COLUMN('3.2 Suoritepäätös 2019'!Q:Q),FALSE)-VLOOKUP(Vertailu[[#This Row],[Y-tunnus]],'3.2 Suoritepäätös 2019'!$A:$S,COLUMN('3.2 Suoritepäätös 2019'!L:L),FALSE),0)</f>
        <v>459799</v>
      </c>
      <c r="M93" s="21">
        <f>IFERROR(VLOOKUP(Vertailu[[#This Row],[Y-tunnus]],'1.2 Ohjaus-laskentataulu'!A:AT,COLUMN('1.2 Ohjaus-laskentataulu'!Z:Z),FALSE),0)</f>
        <v>536165</v>
      </c>
      <c r="N93" s="21">
        <f>IFERROR(Vertailu[[#This Row],[Rahoitus pl. hark. kor. 2020 ilman alv, €]]-Vertailu[[#This Row],[Rahoitus pl. hark. kor. 2019 ilman alv, €]],0)</f>
        <v>76366</v>
      </c>
      <c r="O93" s="46">
        <f>IFERROR(Vertailu[[#This Row],[Muutos, € 1]]/Vertailu[[#This Row],[Rahoitus pl. hark. kor. 2019 ilman alv, €]],0)</f>
        <v>0.16608561567119545</v>
      </c>
      <c r="P93" s="217">
        <f>IFERROR(VLOOKUP(Vertailu[[#This Row],[Y-tunnus]],'3.2 Suoritepäätös 2019'!$A:$S,COLUMN('3.2 Suoritepäätös 2019'!Q:Q),FALSE),0)</f>
        <v>459799</v>
      </c>
      <c r="Q93" s="243">
        <f>IFERROR(VLOOKUP(Vertailu[[#This Row],[Y-tunnus]],'1.2 Ohjaus-laskentataulu'!A:AT,COLUMN('1.2 Ohjaus-laskentataulu'!AR:AR),FALSE),0)</f>
        <v>536165</v>
      </c>
      <c r="R93" s="21">
        <f>IFERROR(Vertailu[[#This Row],[Rahoitus ml. hark. kor. 
2020 ilman alv, €]]-Vertailu[[#This Row],[Rahoitus ml. hark. kor. 
2019 ilman alv, €]],0)</f>
        <v>76366</v>
      </c>
      <c r="S93" s="19">
        <f>IFERROR(Vertailu[[#This Row],[Muutos, € 2]]/Vertailu[[#This Row],[Rahoitus ml. hark. kor. 
2019 ilman alv, €]],0)</f>
        <v>0.16608561567119545</v>
      </c>
      <c r="T93" s="243">
        <f>IFERROR(VLOOKUP(Vertailu[[#This Row],[Y-tunnus]],'3.2 Suoritepäätös 2019'!$A:$S,COLUMN('3.2 Suoritepäätös 2019'!Q:Q),FALSE)+VLOOKUP(Vertailu[[#This Row],[Y-tunnus]],'3.2 Suoritepäätös 2019'!$A:$S,COLUMN('3.2 Suoritepäätös 2019'!R:R),FALSE),0)</f>
        <v>484455</v>
      </c>
      <c r="U93" s="217">
        <f>IFERROR(VLOOKUP(Vertailu[[#This Row],[Y-tunnus]],'1.2 Ohjaus-laskentataulu'!A:AT,COLUMN('1.2 Ohjaus-laskentataulu'!AT:AT),FALSE),0)</f>
        <v>580067</v>
      </c>
      <c r="V93" s="249">
        <f>IFERROR(Vertailu[[#This Row],[Rahoitus ml. hark. kor. + alv 2020, €]]-Vertailu[[#This Row],[Rahoitus ml. hark. kor. + alv 2019, €]],0)</f>
        <v>95612</v>
      </c>
      <c r="W93" s="46">
        <f>IFERROR(Vertailu[[#This Row],[Muutos, € 3]]/Vertailu[[#This Row],[Rahoitus ml. hark. kor. + alv 2019, €]],0)</f>
        <v>0.19735991991000196</v>
      </c>
    </row>
    <row r="94" spans="1:23" ht="12.75" customHeight="1" x14ac:dyDescent="0.25">
      <c r="A94" s="12" t="s">
        <v>315</v>
      </c>
      <c r="B94" s="297" t="s">
        <v>98</v>
      </c>
      <c r="C94" s="297" t="s">
        <v>238</v>
      </c>
      <c r="D94" s="297" t="s">
        <v>423</v>
      </c>
      <c r="E94" s="22">
        <f>IFERROR(VLOOKUP(Vertailu[[#This Row],[Y-tunnus]],'1.2 Ohjaus-laskentataulu'!A:AT,COLUMN('1.2 Ohjaus-laskentataulu'!L:L),FALSE)/VLOOKUP(Vertailu[[#This Row],[Y-tunnus]],'1.2 Ohjaus-laskentataulu'!A:AT,COLUMN('1.2 Ohjaus-laskentataulu'!AR:AR),FALSE),0)</f>
        <v>0.5607374121254628</v>
      </c>
      <c r="F94" s="46">
        <f>IFERROR(VLOOKUP(Vertailu[[#This Row],[Y-tunnus]],'1.2 Ohjaus-laskentataulu'!A:AT,COLUMN('1.2 Ohjaus-laskentataulu'!AO:AO),FALSE)/VLOOKUP(Vertailu[[#This Row],[Y-tunnus]],'1.2 Ohjaus-laskentataulu'!A:AT,COLUMN('1.2 Ohjaus-laskentataulu'!AR:AR),FALSE),0)</f>
        <v>0.5607374121254628</v>
      </c>
      <c r="G94" s="299">
        <f>IFERROR(VLOOKUP(Vertailu[[#This Row],[Y-tunnus]],'1.2 Ohjaus-laskentataulu'!A:AT,COLUMN('1.2 Ohjaus-laskentataulu'!AP:AP),FALSE)/VLOOKUP(Vertailu[[#This Row],[Y-tunnus]],'1.2 Ohjaus-laskentataulu'!A:AT,COLUMN('1.2 Ohjaus-laskentataulu'!AR:AR),FALSE),0)</f>
        <v>0.24178206571085267</v>
      </c>
      <c r="H94" s="22">
        <f>IFERROR(VLOOKUP(Vertailu[[#This Row],[Y-tunnus]],'1.2 Ohjaus-laskentataulu'!A:AT,COLUMN('1.2 Ohjaus-laskentataulu'!AQ:AQ),FALSE)/VLOOKUP(Vertailu[[#This Row],[Y-tunnus]],'1.2 Ohjaus-laskentataulu'!A:AT,COLUMN('1.2 Ohjaus-laskentataulu'!AR:AR),FALSE),0)</f>
        <v>0.1974805221636845</v>
      </c>
      <c r="I94" s="19">
        <f>IFERROR(VLOOKUP(Vertailu[[#This Row],[Y-tunnus]],'1.2 Ohjaus-laskentataulu'!A:AT,COLUMN('1.2 Ohjaus-laskentataulu'!R:R),FALSE)/VLOOKUP(Vertailu[[#This Row],[Y-tunnus]],'1.2 Ohjaus-laskentataulu'!A:AT,COLUMN('1.2 Ohjaus-laskentataulu'!AR:AR),FALSE),0)</f>
        <v>0.15891630918788432</v>
      </c>
      <c r="J94" s="19">
        <f>IFERROR(VLOOKUP(Vertailu[[#This Row],[Y-tunnus]],'1.2 Ohjaus-laskentataulu'!A:AT,COLUMN('1.2 Ohjaus-laskentataulu'!U:U),FALSE)/VLOOKUP(Vertailu[[#This Row],[Y-tunnus]],'1.2 Ohjaus-laskentataulu'!A:AT,COLUMN('1.2 Ohjaus-laskentataulu'!AR:AR),FALSE),0)</f>
        <v>1.6465771746399387E-2</v>
      </c>
      <c r="K94" s="46">
        <f>IFERROR(VLOOKUP(Vertailu[[#This Row],[Y-tunnus]],'1.2 Ohjaus-laskentataulu'!A:AT,COLUMN('1.2 Ohjaus-laskentataulu'!X:X),FALSE)/VLOOKUP(Vertailu[[#This Row],[Y-tunnus]],'1.2 Ohjaus-laskentataulu'!A:AT,COLUMN('1.2 Ohjaus-laskentataulu'!AR:AR),FALSE),0)</f>
        <v>2.2098441229400793E-2</v>
      </c>
      <c r="L94" s="21">
        <f>IFERROR(VLOOKUP(Vertailu[[#This Row],[Y-tunnus]],'3.2 Suoritepäätös 2019'!$A:$S,COLUMN('3.2 Suoritepäätös 2019'!Q:Q),FALSE)-VLOOKUP(Vertailu[[#This Row],[Y-tunnus]],'3.2 Suoritepäätös 2019'!$A:$S,COLUMN('3.2 Suoritepäätös 2019'!L:L),FALSE),0)</f>
        <v>662049</v>
      </c>
      <c r="M94" s="21">
        <f>IFERROR(VLOOKUP(Vertailu[[#This Row],[Y-tunnus]],'1.2 Ohjaus-laskentataulu'!A:AT,COLUMN('1.2 Ohjaus-laskentataulu'!Z:Z),FALSE),0)</f>
        <v>735708</v>
      </c>
      <c r="N94" s="21">
        <f>IFERROR(Vertailu[[#This Row],[Rahoitus pl. hark. kor. 2020 ilman alv, €]]-Vertailu[[#This Row],[Rahoitus pl. hark. kor. 2019 ilman alv, €]],0)</f>
        <v>73659</v>
      </c>
      <c r="O94" s="46">
        <f>IFERROR(Vertailu[[#This Row],[Muutos, € 1]]/Vertailu[[#This Row],[Rahoitus pl. hark. kor. 2019 ilman alv, €]],0)</f>
        <v>0.11125913640833231</v>
      </c>
      <c r="P94" s="217">
        <f>IFERROR(VLOOKUP(Vertailu[[#This Row],[Y-tunnus]],'3.2 Suoritepäätös 2019'!$A:$S,COLUMN('3.2 Suoritepäätös 2019'!Q:Q),FALSE),0)</f>
        <v>662049</v>
      </c>
      <c r="Q94" s="243">
        <f>IFERROR(VLOOKUP(Vertailu[[#This Row],[Y-tunnus]],'1.2 Ohjaus-laskentataulu'!A:AT,COLUMN('1.2 Ohjaus-laskentataulu'!AR:AR),FALSE),0)</f>
        <v>735708</v>
      </c>
      <c r="R94" s="21">
        <f>IFERROR(Vertailu[[#This Row],[Rahoitus ml. hark. kor. 
2020 ilman alv, €]]-Vertailu[[#This Row],[Rahoitus ml. hark. kor. 
2019 ilman alv, €]],0)</f>
        <v>73659</v>
      </c>
      <c r="S94" s="19">
        <f>IFERROR(Vertailu[[#This Row],[Muutos, € 2]]/Vertailu[[#This Row],[Rahoitus ml. hark. kor. 
2019 ilman alv, €]],0)</f>
        <v>0.11125913640833231</v>
      </c>
      <c r="T94" s="243">
        <f>IFERROR(VLOOKUP(Vertailu[[#This Row],[Y-tunnus]],'3.2 Suoritepäätös 2019'!$A:$S,COLUMN('3.2 Suoritepäätös 2019'!Q:Q),FALSE)+VLOOKUP(Vertailu[[#This Row],[Y-tunnus]],'3.2 Suoritepäätös 2019'!$A:$S,COLUMN('3.2 Suoritepäätös 2019'!R:R),FALSE),0)</f>
        <v>696951</v>
      </c>
      <c r="U94" s="217">
        <f>IFERROR(VLOOKUP(Vertailu[[#This Row],[Y-tunnus]],'1.2 Ohjaus-laskentataulu'!A:AT,COLUMN('1.2 Ohjaus-laskentataulu'!AT:AT),FALSE),0)</f>
        <v>772274</v>
      </c>
      <c r="V94" s="249">
        <f>IFERROR(Vertailu[[#This Row],[Rahoitus ml. hark. kor. + alv 2020, €]]-Vertailu[[#This Row],[Rahoitus ml. hark. kor. + alv 2019, €]],0)</f>
        <v>75323</v>
      </c>
      <c r="W94" s="46">
        <f>IFERROR(Vertailu[[#This Row],[Muutos, € 3]]/Vertailu[[#This Row],[Rahoitus ml. hark. kor. + alv 2019, €]],0)</f>
        <v>0.10807502966492623</v>
      </c>
    </row>
    <row r="95" spans="1:23" ht="12.75" customHeight="1" x14ac:dyDescent="0.25">
      <c r="A95" s="12" t="s">
        <v>314</v>
      </c>
      <c r="B95" s="297" t="s">
        <v>99</v>
      </c>
      <c r="C95" s="297" t="s">
        <v>334</v>
      </c>
      <c r="D95" s="297" t="s">
        <v>423</v>
      </c>
      <c r="E95" s="22">
        <f>IFERROR(VLOOKUP(Vertailu[[#This Row],[Y-tunnus]],'1.2 Ohjaus-laskentataulu'!A:AT,COLUMN('1.2 Ohjaus-laskentataulu'!L:L),FALSE)/VLOOKUP(Vertailu[[#This Row],[Y-tunnus]],'1.2 Ohjaus-laskentataulu'!A:AT,COLUMN('1.2 Ohjaus-laskentataulu'!AR:AR),FALSE),0)</f>
        <v>0.48611895147777051</v>
      </c>
      <c r="F95" s="46">
        <f>IFERROR(VLOOKUP(Vertailu[[#This Row],[Y-tunnus]],'1.2 Ohjaus-laskentataulu'!A:AT,COLUMN('1.2 Ohjaus-laskentataulu'!AO:AO),FALSE)/VLOOKUP(Vertailu[[#This Row],[Y-tunnus]],'1.2 Ohjaus-laskentataulu'!A:AT,COLUMN('1.2 Ohjaus-laskentataulu'!AR:AR),FALSE),0)</f>
        <v>0.48611895147777051</v>
      </c>
      <c r="G95" s="299">
        <f>IFERROR(VLOOKUP(Vertailu[[#This Row],[Y-tunnus]],'1.2 Ohjaus-laskentataulu'!A:AT,COLUMN('1.2 Ohjaus-laskentataulu'!AP:AP),FALSE)/VLOOKUP(Vertailu[[#This Row],[Y-tunnus]],'1.2 Ohjaus-laskentataulu'!A:AT,COLUMN('1.2 Ohjaus-laskentataulu'!AR:AR),FALSE),0)</f>
        <v>0.19543539231705301</v>
      </c>
      <c r="H95" s="22">
        <f>IFERROR(VLOOKUP(Vertailu[[#This Row],[Y-tunnus]],'1.2 Ohjaus-laskentataulu'!A:AT,COLUMN('1.2 Ohjaus-laskentataulu'!AQ:AQ),FALSE)/VLOOKUP(Vertailu[[#This Row],[Y-tunnus]],'1.2 Ohjaus-laskentataulu'!A:AT,COLUMN('1.2 Ohjaus-laskentataulu'!AR:AR),FALSE),0)</f>
        <v>0.31844565620517645</v>
      </c>
      <c r="I95" s="19">
        <f>IFERROR(VLOOKUP(Vertailu[[#This Row],[Y-tunnus]],'1.2 Ohjaus-laskentataulu'!A:AT,COLUMN('1.2 Ohjaus-laskentataulu'!R:R),FALSE)/VLOOKUP(Vertailu[[#This Row],[Y-tunnus]],'1.2 Ohjaus-laskentataulu'!A:AT,COLUMN('1.2 Ohjaus-laskentataulu'!AR:AR),FALSE),0)</f>
        <v>0.22534678417535148</v>
      </c>
      <c r="J95" s="19">
        <f>IFERROR(VLOOKUP(Vertailu[[#This Row],[Y-tunnus]],'1.2 Ohjaus-laskentataulu'!A:AT,COLUMN('1.2 Ohjaus-laskentataulu'!U:U),FALSE)/VLOOKUP(Vertailu[[#This Row],[Y-tunnus]],'1.2 Ohjaus-laskentataulu'!A:AT,COLUMN('1.2 Ohjaus-laskentataulu'!AR:AR),FALSE),0)</f>
        <v>2.1357407024008651E-2</v>
      </c>
      <c r="K95" s="46">
        <f>IFERROR(VLOOKUP(Vertailu[[#This Row],[Y-tunnus]],'1.2 Ohjaus-laskentataulu'!A:AT,COLUMN('1.2 Ohjaus-laskentataulu'!X:X),FALSE)/VLOOKUP(Vertailu[[#This Row],[Y-tunnus]],'1.2 Ohjaus-laskentataulu'!A:AT,COLUMN('1.2 Ohjaus-laskentataulu'!AR:AR),FALSE),0)</f>
        <v>7.1741465005816352E-2</v>
      </c>
      <c r="L95" s="21">
        <f>IFERROR(VLOOKUP(Vertailu[[#This Row],[Y-tunnus]],'3.2 Suoritepäätös 2019'!$A:$S,COLUMN('3.2 Suoritepäätös 2019'!Q:Q),FALSE)-VLOOKUP(Vertailu[[#This Row],[Y-tunnus]],'3.2 Suoritepäätös 2019'!$A:$S,COLUMN('3.2 Suoritepäätös 2019'!L:L),FALSE),0)</f>
        <v>505397</v>
      </c>
      <c r="M95" s="21">
        <f>IFERROR(VLOOKUP(Vertailu[[#This Row],[Y-tunnus]],'1.2 Ohjaus-laskentataulu'!A:AT,COLUMN('1.2 Ohjaus-laskentataulu'!Z:Z),FALSE),0)</f>
        <v>671383</v>
      </c>
      <c r="N95" s="21">
        <f>IFERROR(Vertailu[[#This Row],[Rahoitus pl. hark. kor. 2020 ilman alv, €]]-Vertailu[[#This Row],[Rahoitus pl. hark. kor. 2019 ilman alv, €]],0)</f>
        <v>165986</v>
      </c>
      <c r="O95" s="46">
        <f>IFERROR(Vertailu[[#This Row],[Muutos, € 1]]/Vertailu[[#This Row],[Rahoitus pl. hark. kor. 2019 ilman alv, €]],0)</f>
        <v>0.32842695940023386</v>
      </c>
      <c r="P95" s="217">
        <f>IFERROR(VLOOKUP(Vertailu[[#This Row],[Y-tunnus]],'3.2 Suoritepäätös 2019'!$A:$S,COLUMN('3.2 Suoritepäätös 2019'!Q:Q),FALSE),0)</f>
        <v>505397</v>
      </c>
      <c r="Q95" s="243">
        <f>IFERROR(VLOOKUP(Vertailu[[#This Row],[Y-tunnus]],'1.2 Ohjaus-laskentataulu'!A:AT,COLUMN('1.2 Ohjaus-laskentataulu'!AR:AR),FALSE),0)</f>
        <v>671383</v>
      </c>
      <c r="R95" s="21">
        <f>IFERROR(Vertailu[[#This Row],[Rahoitus ml. hark. kor. 
2020 ilman alv, €]]-Vertailu[[#This Row],[Rahoitus ml. hark. kor. 
2019 ilman alv, €]],0)</f>
        <v>165986</v>
      </c>
      <c r="S95" s="19">
        <f>IFERROR(Vertailu[[#This Row],[Muutos, € 2]]/Vertailu[[#This Row],[Rahoitus ml. hark. kor. 
2019 ilman alv, €]],0)</f>
        <v>0.32842695940023386</v>
      </c>
      <c r="T95" s="243">
        <f>IFERROR(VLOOKUP(Vertailu[[#This Row],[Y-tunnus]],'3.2 Suoritepäätös 2019'!$A:$S,COLUMN('3.2 Suoritepäätös 2019'!Q:Q),FALSE)+VLOOKUP(Vertailu[[#This Row],[Y-tunnus]],'3.2 Suoritepäätös 2019'!$A:$S,COLUMN('3.2 Suoritepäätös 2019'!R:R),FALSE),0)</f>
        <v>531288</v>
      </c>
      <c r="U95" s="217">
        <f>IFERROR(VLOOKUP(Vertailu[[#This Row],[Y-tunnus]],'1.2 Ohjaus-laskentataulu'!A:AT,COLUMN('1.2 Ohjaus-laskentataulu'!AT:AT),FALSE),0)</f>
        <v>693836</v>
      </c>
      <c r="V95" s="249">
        <f>IFERROR(Vertailu[[#This Row],[Rahoitus ml. hark. kor. + alv 2020, €]]-Vertailu[[#This Row],[Rahoitus ml. hark. kor. + alv 2019, €]],0)</f>
        <v>162548</v>
      </c>
      <c r="W95" s="46">
        <f>IFERROR(Vertailu[[#This Row],[Muutos, € 3]]/Vertailu[[#This Row],[Rahoitus ml. hark. kor. + alv 2019, €]],0)</f>
        <v>0.30595082140006924</v>
      </c>
    </row>
    <row r="96" spans="1:23" ht="12.75" customHeight="1" x14ac:dyDescent="0.25">
      <c r="A96" s="12" t="s">
        <v>313</v>
      </c>
      <c r="B96" s="297" t="s">
        <v>100</v>
      </c>
      <c r="C96" s="297" t="s">
        <v>254</v>
      </c>
      <c r="D96" s="297" t="s">
        <v>422</v>
      </c>
      <c r="E96" s="22">
        <f>IFERROR(VLOOKUP(Vertailu[[#This Row],[Y-tunnus]],'1.2 Ohjaus-laskentataulu'!A:AT,COLUMN('1.2 Ohjaus-laskentataulu'!L:L),FALSE)/VLOOKUP(Vertailu[[#This Row],[Y-tunnus]],'1.2 Ohjaus-laskentataulu'!A:AT,COLUMN('1.2 Ohjaus-laskentataulu'!AR:AR),FALSE),0)</f>
        <v>0.69923313297484324</v>
      </c>
      <c r="F96" s="46">
        <f>IFERROR(VLOOKUP(Vertailu[[#This Row],[Y-tunnus]],'1.2 Ohjaus-laskentataulu'!A:AT,COLUMN('1.2 Ohjaus-laskentataulu'!AO:AO),FALSE)/VLOOKUP(Vertailu[[#This Row],[Y-tunnus]],'1.2 Ohjaus-laskentataulu'!A:AT,COLUMN('1.2 Ohjaus-laskentataulu'!AR:AR),FALSE),0)</f>
        <v>0.70161793670025008</v>
      </c>
      <c r="G96" s="299">
        <f>IFERROR(VLOOKUP(Vertailu[[#This Row],[Y-tunnus]],'1.2 Ohjaus-laskentataulu'!A:AT,COLUMN('1.2 Ohjaus-laskentataulu'!AP:AP),FALSE)/VLOOKUP(Vertailu[[#This Row],[Y-tunnus]],'1.2 Ohjaus-laskentataulu'!A:AT,COLUMN('1.2 Ohjaus-laskentataulu'!AR:AR),FALSE),0)</f>
        <v>0.22783727969063944</v>
      </c>
      <c r="H96" s="22">
        <f>IFERROR(VLOOKUP(Vertailu[[#This Row],[Y-tunnus]],'1.2 Ohjaus-laskentataulu'!A:AT,COLUMN('1.2 Ohjaus-laskentataulu'!AQ:AQ),FALSE)/VLOOKUP(Vertailu[[#This Row],[Y-tunnus]],'1.2 Ohjaus-laskentataulu'!A:AT,COLUMN('1.2 Ohjaus-laskentataulu'!AR:AR),FALSE),0)</f>
        <v>7.0544783609110442E-2</v>
      </c>
      <c r="I96" s="19">
        <f>IFERROR(VLOOKUP(Vertailu[[#This Row],[Y-tunnus]],'1.2 Ohjaus-laskentataulu'!A:AT,COLUMN('1.2 Ohjaus-laskentataulu'!R:R),FALSE)/VLOOKUP(Vertailu[[#This Row],[Y-tunnus]],'1.2 Ohjaus-laskentataulu'!A:AT,COLUMN('1.2 Ohjaus-laskentataulu'!AR:AR),FALSE),0)</f>
        <v>5.2351879125173861E-2</v>
      </c>
      <c r="J96" s="19">
        <f>IFERROR(VLOOKUP(Vertailu[[#This Row],[Y-tunnus]],'1.2 Ohjaus-laskentataulu'!A:AT,COLUMN('1.2 Ohjaus-laskentataulu'!U:U),FALSE)/VLOOKUP(Vertailu[[#This Row],[Y-tunnus]],'1.2 Ohjaus-laskentataulu'!A:AT,COLUMN('1.2 Ohjaus-laskentataulu'!AR:AR),FALSE),0)</f>
        <v>6.0321225430440377E-3</v>
      </c>
      <c r="K96" s="46">
        <f>IFERROR(VLOOKUP(Vertailu[[#This Row],[Y-tunnus]],'1.2 Ohjaus-laskentataulu'!A:AT,COLUMN('1.2 Ohjaus-laskentataulu'!X:X),FALSE)/VLOOKUP(Vertailu[[#This Row],[Y-tunnus]],'1.2 Ohjaus-laskentataulu'!A:AT,COLUMN('1.2 Ohjaus-laskentataulu'!AR:AR),FALSE),0)</f>
        <v>1.2160781940892543E-2</v>
      </c>
      <c r="L96" s="21">
        <f>IFERROR(VLOOKUP(Vertailu[[#This Row],[Y-tunnus]],'3.2 Suoritepäätös 2019'!$A:$S,COLUMN('3.2 Suoritepäätös 2019'!Q:Q),FALSE)-VLOOKUP(Vertailu[[#This Row],[Y-tunnus]],'3.2 Suoritepäätös 2019'!$A:$S,COLUMN('3.2 Suoritepäätös 2019'!L:L),FALSE),0)</f>
        <v>10214737</v>
      </c>
      <c r="M96" s="21">
        <f>IFERROR(VLOOKUP(Vertailu[[#This Row],[Y-tunnus]],'1.2 Ohjaus-laskentataulu'!A:AT,COLUMN('1.2 Ohjaus-laskentataulu'!Z:Z),FALSE),0)</f>
        <v>10458043</v>
      </c>
      <c r="N96" s="21">
        <f>IFERROR(Vertailu[[#This Row],[Rahoitus pl. hark. kor. 2020 ilman alv, €]]-Vertailu[[#This Row],[Rahoitus pl. hark. kor. 2019 ilman alv, €]],0)</f>
        <v>243306</v>
      </c>
      <c r="O96" s="46">
        <f>IFERROR(Vertailu[[#This Row],[Muutos, € 1]]/Vertailu[[#This Row],[Rahoitus pl. hark. kor. 2019 ilman alv, €]],0)</f>
        <v>2.381911546033931E-2</v>
      </c>
      <c r="P96" s="217">
        <f>IFERROR(VLOOKUP(Vertailu[[#This Row],[Y-tunnus]],'3.2 Suoritepäätös 2019'!$A:$S,COLUMN('3.2 Suoritepäätös 2019'!Q:Q),FALSE),0)</f>
        <v>10214737</v>
      </c>
      <c r="Q96" s="243">
        <f>IFERROR(VLOOKUP(Vertailu[[#This Row],[Y-tunnus]],'1.2 Ohjaus-laskentataulu'!A:AT,COLUMN('1.2 Ohjaus-laskentataulu'!AR:AR),FALSE),0)</f>
        <v>10483043</v>
      </c>
      <c r="R96" s="21">
        <f>IFERROR(Vertailu[[#This Row],[Rahoitus ml. hark. kor. 
2020 ilman alv, €]]-Vertailu[[#This Row],[Rahoitus ml. hark. kor. 
2019 ilman alv, €]],0)</f>
        <v>268306</v>
      </c>
      <c r="S96" s="19">
        <f>IFERROR(Vertailu[[#This Row],[Muutos, € 2]]/Vertailu[[#This Row],[Rahoitus ml. hark. kor. 
2019 ilman alv, €]],0)</f>
        <v>2.6266559775352024E-2</v>
      </c>
      <c r="T96" s="243">
        <f>IFERROR(VLOOKUP(Vertailu[[#This Row],[Y-tunnus]],'3.2 Suoritepäätös 2019'!$A:$S,COLUMN('3.2 Suoritepäätös 2019'!Q:Q),FALSE)+VLOOKUP(Vertailu[[#This Row],[Y-tunnus]],'3.2 Suoritepäätös 2019'!$A:$S,COLUMN('3.2 Suoritepäätös 2019'!R:R),FALSE),0)</f>
        <v>10214737</v>
      </c>
      <c r="U96" s="217">
        <f>IFERROR(VLOOKUP(Vertailu[[#This Row],[Y-tunnus]],'1.2 Ohjaus-laskentataulu'!A:AT,COLUMN('1.2 Ohjaus-laskentataulu'!AT:AT),FALSE),0)</f>
        <v>10483043</v>
      </c>
      <c r="V96" s="249">
        <f>IFERROR(Vertailu[[#This Row],[Rahoitus ml. hark. kor. + alv 2020, €]]-Vertailu[[#This Row],[Rahoitus ml. hark. kor. + alv 2019, €]],0)</f>
        <v>268306</v>
      </c>
      <c r="W96" s="46">
        <f>IFERROR(Vertailu[[#This Row],[Muutos, € 3]]/Vertailu[[#This Row],[Rahoitus ml. hark. kor. + alv 2019, €]],0)</f>
        <v>2.6266559775352024E-2</v>
      </c>
    </row>
    <row r="97" spans="1:23" ht="12.75" customHeight="1" x14ac:dyDescent="0.25">
      <c r="A97" s="12" t="s">
        <v>312</v>
      </c>
      <c r="B97" s="297" t="s">
        <v>101</v>
      </c>
      <c r="C97" s="297" t="s">
        <v>238</v>
      </c>
      <c r="D97" s="297" t="s">
        <v>423</v>
      </c>
      <c r="E97" s="22">
        <f>IFERROR(VLOOKUP(Vertailu[[#This Row],[Y-tunnus]],'1.2 Ohjaus-laskentataulu'!A:AT,COLUMN('1.2 Ohjaus-laskentataulu'!L:L),FALSE)/VLOOKUP(Vertailu[[#This Row],[Y-tunnus]],'1.2 Ohjaus-laskentataulu'!A:AT,COLUMN('1.2 Ohjaus-laskentataulu'!AR:AR),FALSE),0)</f>
        <v>0.59957690404145325</v>
      </c>
      <c r="F97" s="46">
        <f>IFERROR(VLOOKUP(Vertailu[[#This Row],[Y-tunnus]],'1.2 Ohjaus-laskentataulu'!A:AT,COLUMN('1.2 Ohjaus-laskentataulu'!AO:AO),FALSE)/VLOOKUP(Vertailu[[#This Row],[Y-tunnus]],'1.2 Ohjaus-laskentataulu'!A:AT,COLUMN('1.2 Ohjaus-laskentataulu'!AR:AR),FALSE),0)</f>
        <v>0.60404371103624566</v>
      </c>
      <c r="G97" s="299">
        <f>IFERROR(VLOOKUP(Vertailu[[#This Row],[Y-tunnus]],'1.2 Ohjaus-laskentataulu'!A:AT,COLUMN('1.2 Ohjaus-laskentataulu'!AP:AP),FALSE)/VLOOKUP(Vertailu[[#This Row],[Y-tunnus]],'1.2 Ohjaus-laskentataulu'!A:AT,COLUMN('1.2 Ohjaus-laskentataulu'!AR:AR),FALSE),0)</f>
        <v>0.24516167648524986</v>
      </c>
      <c r="H97" s="22">
        <f>IFERROR(VLOOKUP(Vertailu[[#This Row],[Y-tunnus]],'1.2 Ohjaus-laskentataulu'!A:AT,COLUMN('1.2 Ohjaus-laskentataulu'!AQ:AQ),FALSE)/VLOOKUP(Vertailu[[#This Row],[Y-tunnus]],'1.2 Ohjaus-laskentataulu'!A:AT,COLUMN('1.2 Ohjaus-laskentataulu'!AR:AR),FALSE),0)</f>
        <v>0.15079461247850451</v>
      </c>
      <c r="I97" s="19">
        <f>IFERROR(VLOOKUP(Vertailu[[#This Row],[Y-tunnus]],'1.2 Ohjaus-laskentataulu'!A:AT,COLUMN('1.2 Ohjaus-laskentataulu'!R:R),FALSE)/VLOOKUP(Vertailu[[#This Row],[Y-tunnus]],'1.2 Ohjaus-laskentataulu'!A:AT,COLUMN('1.2 Ohjaus-laskentataulu'!AR:AR),FALSE),0)</f>
        <v>9.3654892542430201E-2</v>
      </c>
      <c r="J97" s="19">
        <f>IFERROR(VLOOKUP(Vertailu[[#This Row],[Y-tunnus]],'1.2 Ohjaus-laskentataulu'!A:AT,COLUMN('1.2 Ohjaus-laskentataulu'!U:U),FALSE)/VLOOKUP(Vertailu[[#This Row],[Y-tunnus]],'1.2 Ohjaus-laskentataulu'!A:AT,COLUMN('1.2 Ohjaus-laskentataulu'!AR:AR),FALSE),0)</f>
        <v>1.1896812535257319E-2</v>
      </c>
      <c r="K97" s="46">
        <f>IFERROR(VLOOKUP(Vertailu[[#This Row],[Y-tunnus]],'1.2 Ohjaus-laskentataulu'!A:AT,COLUMN('1.2 Ohjaus-laskentataulu'!X:X),FALSE)/VLOOKUP(Vertailu[[#This Row],[Y-tunnus]],'1.2 Ohjaus-laskentataulu'!A:AT,COLUMN('1.2 Ohjaus-laskentataulu'!AR:AR),FALSE),0)</f>
        <v>4.524290740081699E-2</v>
      </c>
      <c r="L97" s="21">
        <f>IFERROR(VLOOKUP(Vertailu[[#This Row],[Y-tunnus]],'3.2 Suoritepäätös 2019'!$A:$S,COLUMN('3.2 Suoritepäätös 2019'!Q:Q),FALSE)-VLOOKUP(Vertailu[[#This Row],[Y-tunnus]],'3.2 Suoritepäätös 2019'!$A:$S,COLUMN('3.2 Suoritepäätös 2019'!L:L),FALSE),0)</f>
        <v>11048673</v>
      </c>
      <c r="M97" s="21">
        <f>IFERROR(VLOOKUP(Vertailu[[#This Row],[Y-tunnus]],'1.2 Ohjaus-laskentataulu'!A:AT,COLUMN('1.2 Ohjaus-laskentataulu'!Z:Z),FALSE),0)</f>
        <v>12258046</v>
      </c>
      <c r="N97" s="21">
        <f>IFERROR(Vertailu[[#This Row],[Rahoitus pl. hark. kor. 2020 ilman alv, €]]-Vertailu[[#This Row],[Rahoitus pl. hark. kor. 2019 ilman alv, €]],0)</f>
        <v>1209373</v>
      </c>
      <c r="O97" s="46">
        <f>IFERROR(Vertailu[[#This Row],[Muutos, € 1]]/Vertailu[[#This Row],[Rahoitus pl. hark. kor. 2019 ilman alv, €]],0)</f>
        <v>0.10945866530758942</v>
      </c>
      <c r="P97" s="217">
        <f>IFERROR(VLOOKUP(Vertailu[[#This Row],[Y-tunnus]],'3.2 Suoritepäätös 2019'!$A:$S,COLUMN('3.2 Suoritepäätös 2019'!Q:Q),FALSE),0)</f>
        <v>11048673</v>
      </c>
      <c r="Q97" s="243">
        <f>IFERROR(VLOOKUP(Vertailu[[#This Row],[Y-tunnus]],'1.2 Ohjaus-laskentataulu'!A:AT,COLUMN('1.2 Ohjaus-laskentataulu'!AR:AR),FALSE),0)</f>
        <v>12313046</v>
      </c>
      <c r="R97" s="21">
        <f>IFERROR(Vertailu[[#This Row],[Rahoitus ml. hark. kor. 
2020 ilman alv, €]]-Vertailu[[#This Row],[Rahoitus ml. hark. kor. 
2019 ilman alv, €]],0)</f>
        <v>1264373</v>
      </c>
      <c r="S97" s="19">
        <f>IFERROR(Vertailu[[#This Row],[Muutos, € 2]]/Vertailu[[#This Row],[Rahoitus ml. hark. kor. 
2019 ilman alv, €]],0)</f>
        <v>0.11443663868050036</v>
      </c>
      <c r="T97" s="243">
        <f>IFERROR(VLOOKUP(Vertailu[[#This Row],[Y-tunnus]],'3.2 Suoritepäätös 2019'!$A:$S,COLUMN('3.2 Suoritepäätös 2019'!Q:Q),FALSE)+VLOOKUP(Vertailu[[#This Row],[Y-tunnus]],'3.2 Suoritepäätös 2019'!$A:$S,COLUMN('3.2 Suoritepäätös 2019'!R:R),FALSE),0)</f>
        <v>11625454</v>
      </c>
      <c r="U97" s="217">
        <f>IFERROR(VLOOKUP(Vertailu[[#This Row],[Y-tunnus]],'1.2 Ohjaus-laskentataulu'!A:AT,COLUMN('1.2 Ohjaus-laskentataulu'!AT:AT),FALSE),0)</f>
        <v>13029056</v>
      </c>
      <c r="V97" s="249">
        <f>IFERROR(Vertailu[[#This Row],[Rahoitus ml. hark. kor. + alv 2020, €]]-Vertailu[[#This Row],[Rahoitus ml. hark. kor. + alv 2019, €]],0)</f>
        <v>1403602</v>
      </c>
      <c r="W97" s="46">
        <f>IFERROR(Vertailu[[#This Row],[Muutos, € 3]]/Vertailu[[#This Row],[Rahoitus ml. hark. kor. + alv 2019, €]],0)</f>
        <v>0.12073524182367415</v>
      </c>
    </row>
    <row r="98" spans="1:23" ht="12.75" customHeight="1" x14ac:dyDescent="0.25">
      <c r="A98" s="12" t="s">
        <v>311</v>
      </c>
      <c r="B98" s="297" t="s">
        <v>102</v>
      </c>
      <c r="C98" s="297" t="s">
        <v>296</v>
      </c>
      <c r="D98" s="297" t="s">
        <v>423</v>
      </c>
      <c r="E98" s="22">
        <f>IFERROR(VLOOKUP(Vertailu[[#This Row],[Y-tunnus]],'1.2 Ohjaus-laskentataulu'!A:AT,COLUMN('1.2 Ohjaus-laskentataulu'!L:L),FALSE)/VLOOKUP(Vertailu[[#This Row],[Y-tunnus]],'1.2 Ohjaus-laskentataulu'!A:AT,COLUMN('1.2 Ohjaus-laskentataulu'!AR:AR),FALSE),0)</f>
        <v>0.63209410028766988</v>
      </c>
      <c r="F98" s="46">
        <f>IFERROR(VLOOKUP(Vertailu[[#This Row],[Y-tunnus]],'1.2 Ohjaus-laskentataulu'!A:AT,COLUMN('1.2 Ohjaus-laskentataulu'!AO:AO),FALSE)/VLOOKUP(Vertailu[[#This Row],[Y-tunnus]],'1.2 Ohjaus-laskentataulu'!A:AT,COLUMN('1.2 Ohjaus-laskentataulu'!AR:AR),FALSE),0)</f>
        <v>0.63984382749727209</v>
      </c>
      <c r="G98" s="299">
        <f>IFERROR(VLOOKUP(Vertailu[[#This Row],[Y-tunnus]],'1.2 Ohjaus-laskentataulu'!A:AT,COLUMN('1.2 Ohjaus-laskentataulu'!AP:AP),FALSE)/VLOOKUP(Vertailu[[#This Row],[Y-tunnus]],'1.2 Ohjaus-laskentataulu'!A:AT,COLUMN('1.2 Ohjaus-laskentataulu'!AR:AR),FALSE),0)</f>
        <v>0.2618942813212975</v>
      </c>
      <c r="H98" s="22">
        <f>IFERROR(VLOOKUP(Vertailu[[#This Row],[Y-tunnus]],'1.2 Ohjaus-laskentataulu'!A:AT,COLUMN('1.2 Ohjaus-laskentataulu'!AQ:AQ),FALSE)/VLOOKUP(Vertailu[[#This Row],[Y-tunnus]],'1.2 Ohjaus-laskentataulu'!A:AT,COLUMN('1.2 Ohjaus-laskentataulu'!AR:AR),FALSE),0)</f>
        <v>9.8261891181430416E-2</v>
      </c>
      <c r="I98" s="19">
        <f>IFERROR(VLOOKUP(Vertailu[[#This Row],[Y-tunnus]],'1.2 Ohjaus-laskentataulu'!A:AT,COLUMN('1.2 Ohjaus-laskentataulu'!R:R),FALSE)/VLOOKUP(Vertailu[[#This Row],[Y-tunnus]],'1.2 Ohjaus-laskentataulu'!A:AT,COLUMN('1.2 Ohjaus-laskentataulu'!AR:AR),FALSE),0)</f>
        <v>6.5668088483285383E-2</v>
      </c>
      <c r="J98" s="19">
        <f>IFERROR(VLOOKUP(Vertailu[[#This Row],[Y-tunnus]],'1.2 Ohjaus-laskentataulu'!A:AT,COLUMN('1.2 Ohjaus-laskentataulu'!U:U),FALSE)/VLOOKUP(Vertailu[[#This Row],[Y-tunnus]],'1.2 Ohjaus-laskentataulu'!A:AT,COLUMN('1.2 Ohjaus-laskentataulu'!AR:AR),FALSE),0)</f>
        <v>4.9784247594484672E-3</v>
      </c>
      <c r="K98" s="46">
        <f>IFERROR(VLOOKUP(Vertailu[[#This Row],[Y-tunnus]],'1.2 Ohjaus-laskentataulu'!A:AT,COLUMN('1.2 Ohjaus-laskentataulu'!X:X),FALSE)/VLOOKUP(Vertailu[[#This Row],[Y-tunnus]],'1.2 Ohjaus-laskentataulu'!A:AT,COLUMN('1.2 Ohjaus-laskentataulu'!AR:AR),FALSE),0)</f>
        <v>2.7615377938696558E-2</v>
      </c>
      <c r="L98" s="21">
        <f>IFERROR(VLOOKUP(Vertailu[[#This Row],[Y-tunnus]],'3.2 Suoritepäätös 2019'!$A:$S,COLUMN('3.2 Suoritepäätös 2019'!Q:Q),FALSE)-VLOOKUP(Vertailu[[#This Row],[Y-tunnus]],'3.2 Suoritepäätös 2019'!$A:$S,COLUMN('3.2 Suoritepäätös 2019'!L:L),FALSE),0)</f>
        <v>619004</v>
      </c>
      <c r="M98" s="21">
        <f>IFERROR(VLOOKUP(Vertailu[[#This Row],[Y-tunnus]],'1.2 Ohjaus-laskentataulu'!A:AT,COLUMN('1.2 Ohjaus-laskentataulu'!Z:Z),FALSE),0)</f>
        <v>640184</v>
      </c>
      <c r="N98" s="21">
        <f>IFERROR(Vertailu[[#This Row],[Rahoitus pl. hark. kor. 2020 ilman alv, €]]-Vertailu[[#This Row],[Rahoitus pl. hark. kor. 2019 ilman alv, €]],0)</f>
        <v>21180</v>
      </c>
      <c r="O98" s="46">
        <f>IFERROR(Vertailu[[#This Row],[Muutos, € 1]]/Vertailu[[#This Row],[Rahoitus pl. hark. kor. 2019 ilman alv, €]],0)</f>
        <v>3.4216257083960686E-2</v>
      </c>
      <c r="P98" s="217">
        <f>IFERROR(VLOOKUP(Vertailu[[#This Row],[Y-tunnus]],'3.2 Suoritepäätös 2019'!$A:$S,COLUMN('3.2 Suoritepäätös 2019'!Q:Q),FALSE),0)</f>
        <v>619004</v>
      </c>
      <c r="Q98" s="243">
        <f>IFERROR(VLOOKUP(Vertailu[[#This Row],[Y-tunnus]],'1.2 Ohjaus-laskentataulu'!A:AT,COLUMN('1.2 Ohjaus-laskentataulu'!AR:AR),FALSE),0)</f>
        <v>645184</v>
      </c>
      <c r="R98" s="21">
        <f>IFERROR(Vertailu[[#This Row],[Rahoitus ml. hark. kor. 
2020 ilman alv, €]]-Vertailu[[#This Row],[Rahoitus ml. hark. kor. 
2019 ilman alv, €]],0)</f>
        <v>26180</v>
      </c>
      <c r="S98" s="19">
        <f>IFERROR(Vertailu[[#This Row],[Muutos, € 2]]/Vertailu[[#This Row],[Rahoitus ml. hark. kor. 
2019 ilman alv, €]],0)</f>
        <v>4.2293749313413162E-2</v>
      </c>
      <c r="T98" s="243">
        <f>IFERROR(VLOOKUP(Vertailu[[#This Row],[Y-tunnus]],'3.2 Suoritepäätös 2019'!$A:$S,COLUMN('3.2 Suoritepäätös 2019'!Q:Q),FALSE)+VLOOKUP(Vertailu[[#This Row],[Y-tunnus]],'3.2 Suoritepäätös 2019'!$A:$S,COLUMN('3.2 Suoritepäätös 2019'!R:R),FALSE),0)</f>
        <v>651756</v>
      </c>
      <c r="U98" s="217">
        <f>IFERROR(VLOOKUP(Vertailu[[#This Row],[Y-tunnus]],'1.2 Ohjaus-laskentataulu'!A:AT,COLUMN('1.2 Ohjaus-laskentataulu'!AT:AT),FALSE),0)</f>
        <v>707617</v>
      </c>
      <c r="V98" s="249">
        <f>IFERROR(Vertailu[[#This Row],[Rahoitus ml. hark. kor. + alv 2020, €]]-Vertailu[[#This Row],[Rahoitus ml. hark. kor. + alv 2019, €]],0)</f>
        <v>55861</v>
      </c>
      <c r="W98" s="46">
        <f>IFERROR(Vertailu[[#This Row],[Muutos, € 3]]/Vertailu[[#This Row],[Rahoitus ml. hark. kor. + alv 2019, €]],0)</f>
        <v>8.5708455311496942E-2</v>
      </c>
    </row>
    <row r="99" spans="1:23" ht="12.75" customHeight="1" x14ac:dyDescent="0.25">
      <c r="A99" s="12" t="s">
        <v>318</v>
      </c>
      <c r="B99" s="297" t="s">
        <v>103</v>
      </c>
      <c r="C99" s="297" t="s">
        <v>317</v>
      </c>
      <c r="D99" s="297" t="s">
        <v>422</v>
      </c>
      <c r="E99" s="22">
        <f>IFERROR(VLOOKUP(Vertailu[[#This Row],[Y-tunnus]],'1.2 Ohjaus-laskentataulu'!A:AT,COLUMN('1.2 Ohjaus-laskentataulu'!L:L),FALSE)/VLOOKUP(Vertailu[[#This Row],[Y-tunnus]],'1.2 Ohjaus-laskentataulu'!A:AT,COLUMN('1.2 Ohjaus-laskentataulu'!AR:AR),FALSE),0)</f>
        <v>0.67012538484551265</v>
      </c>
      <c r="F99" s="46">
        <f>IFERROR(VLOOKUP(Vertailu[[#This Row],[Y-tunnus]],'1.2 Ohjaus-laskentataulu'!A:AT,COLUMN('1.2 Ohjaus-laskentataulu'!AO:AO),FALSE)/VLOOKUP(Vertailu[[#This Row],[Y-tunnus]],'1.2 Ohjaus-laskentataulu'!A:AT,COLUMN('1.2 Ohjaus-laskentataulu'!AR:AR),FALSE),0)</f>
        <v>0.67012538484551265</v>
      </c>
      <c r="G99" s="299">
        <f>IFERROR(VLOOKUP(Vertailu[[#This Row],[Y-tunnus]],'1.2 Ohjaus-laskentataulu'!A:AT,COLUMN('1.2 Ohjaus-laskentataulu'!AP:AP),FALSE)/VLOOKUP(Vertailu[[#This Row],[Y-tunnus]],'1.2 Ohjaus-laskentataulu'!A:AT,COLUMN('1.2 Ohjaus-laskentataulu'!AR:AR),FALSE),0)</f>
        <v>0.22033538504891312</v>
      </c>
      <c r="H99" s="22">
        <f>IFERROR(VLOOKUP(Vertailu[[#This Row],[Y-tunnus]],'1.2 Ohjaus-laskentataulu'!A:AT,COLUMN('1.2 Ohjaus-laskentataulu'!AQ:AQ),FALSE)/VLOOKUP(Vertailu[[#This Row],[Y-tunnus]],'1.2 Ohjaus-laskentataulu'!A:AT,COLUMN('1.2 Ohjaus-laskentataulu'!AR:AR),FALSE),0)</f>
        <v>0.10953923010557419</v>
      </c>
      <c r="I99" s="19">
        <f>IFERROR(VLOOKUP(Vertailu[[#This Row],[Y-tunnus]],'1.2 Ohjaus-laskentataulu'!A:AT,COLUMN('1.2 Ohjaus-laskentataulu'!R:R),FALSE)/VLOOKUP(Vertailu[[#This Row],[Y-tunnus]],'1.2 Ohjaus-laskentataulu'!A:AT,COLUMN('1.2 Ohjaus-laskentataulu'!AR:AR),FALSE),0)</f>
        <v>8.2201275925795E-2</v>
      </c>
      <c r="J99" s="19">
        <f>IFERROR(VLOOKUP(Vertailu[[#This Row],[Y-tunnus]],'1.2 Ohjaus-laskentataulu'!A:AT,COLUMN('1.2 Ohjaus-laskentataulu'!U:U),FALSE)/VLOOKUP(Vertailu[[#This Row],[Y-tunnus]],'1.2 Ohjaus-laskentataulu'!A:AT,COLUMN('1.2 Ohjaus-laskentataulu'!AR:AR),FALSE),0)</f>
        <v>6.8583422225045277E-3</v>
      </c>
      <c r="K99" s="46">
        <f>IFERROR(VLOOKUP(Vertailu[[#This Row],[Y-tunnus]],'1.2 Ohjaus-laskentataulu'!A:AT,COLUMN('1.2 Ohjaus-laskentataulu'!X:X),FALSE)/VLOOKUP(Vertailu[[#This Row],[Y-tunnus]],'1.2 Ohjaus-laskentataulu'!A:AT,COLUMN('1.2 Ohjaus-laskentataulu'!AR:AR),FALSE),0)</f>
        <v>2.0479611957274668E-2</v>
      </c>
      <c r="L99" s="21">
        <f>IFERROR(VLOOKUP(Vertailu[[#This Row],[Y-tunnus]],'3.2 Suoritepäätös 2019'!$A:$S,COLUMN('3.2 Suoritepäätös 2019'!Q:Q),FALSE)-VLOOKUP(Vertailu[[#This Row],[Y-tunnus]],'3.2 Suoritepäätös 2019'!$A:$S,COLUMN('3.2 Suoritepäätös 2019'!L:L),FALSE),0)</f>
        <v>49263164</v>
      </c>
      <c r="M99" s="21">
        <f>IFERROR(VLOOKUP(Vertailu[[#This Row],[Y-tunnus]],'1.2 Ohjaus-laskentataulu'!A:AT,COLUMN('1.2 Ohjaus-laskentataulu'!Z:Z),FALSE),0)</f>
        <v>51228998</v>
      </c>
      <c r="N99" s="21">
        <f>IFERROR(Vertailu[[#This Row],[Rahoitus pl. hark. kor. 2020 ilman alv, €]]-Vertailu[[#This Row],[Rahoitus pl. hark. kor. 2019 ilman alv, €]],0)</f>
        <v>1965834</v>
      </c>
      <c r="O99" s="46">
        <f>IFERROR(Vertailu[[#This Row],[Muutos, € 1]]/Vertailu[[#This Row],[Rahoitus pl. hark. kor. 2019 ilman alv, €]],0)</f>
        <v>3.9904745054540142E-2</v>
      </c>
      <c r="P99" s="217">
        <f>IFERROR(VLOOKUP(Vertailu[[#This Row],[Y-tunnus]],'3.2 Suoritepäätös 2019'!$A:$S,COLUMN('3.2 Suoritepäätös 2019'!Q:Q),FALSE),0)</f>
        <v>49263164</v>
      </c>
      <c r="Q99" s="243">
        <f>IFERROR(VLOOKUP(Vertailu[[#This Row],[Y-tunnus]],'1.2 Ohjaus-laskentataulu'!A:AT,COLUMN('1.2 Ohjaus-laskentataulu'!AR:AR),FALSE),0)</f>
        <v>51228998</v>
      </c>
      <c r="R99" s="21">
        <f>IFERROR(Vertailu[[#This Row],[Rahoitus ml. hark. kor. 
2020 ilman alv, €]]-Vertailu[[#This Row],[Rahoitus ml. hark. kor. 
2019 ilman alv, €]],0)</f>
        <v>1965834</v>
      </c>
      <c r="S99" s="19">
        <f>IFERROR(Vertailu[[#This Row],[Muutos, € 2]]/Vertailu[[#This Row],[Rahoitus ml. hark. kor. 
2019 ilman alv, €]],0)</f>
        <v>3.9904745054540142E-2</v>
      </c>
      <c r="T99" s="243">
        <f>IFERROR(VLOOKUP(Vertailu[[#This Row],[Y-tunnus]],'3.2 Suoritepäätös 2019'!$A:$S,COLUMN('3.2 Suoritepäätös 2019'!Q:Q),FALSE)+VLOOKUP(Vertailu[[#This Row],[Y-tunnus]],'3.2 Suoritepäätös 2019'!$A:$S,COLUMN('3.2 Suoritepäätös 2019'!R:R),FALSE),0)</f>
        <v>49263164</v>
      </c>
      <c r="U99" s="217">
        <f>IFERROR(VLOOKUP(Vertailu[[#This Row],[Y-tunnus]],'1.2 Ohjaus-laskentataulu'!A:AT,COLUMN('1.2 Ohjaus-laskentataulu'!AT:AT),FALSE),0)</f>
        <v>51228998</v>
      </c>
      <c r="V99" s="249">
        <f>IFERROR(Vertailu[[#This Row],[Rahoitus ml. hark. kor. + alv 2020, €]]-Vertailu[[#This Row],[Rahoitus ml. hark. kor. + alv 2019, €]],0)</f>
        <v>1965834</v>
      </c>
      <c r="W99" s="46">
        <f>IFERROR(Vertailu[[#This Row],[Muutos, € 3]]/Vertailu[[#This Row],[Rahoitus ml. hark. kor. + alv 2019, €]],0)</f>
        <v>3.9904745054540142E-2</v>
      </c>
    </row>
    <row r="100" spans="1:23" ht="12.75" customHeight="1" x14ac:dyDescent="0.25">
      <c r="A100" s="12" t="s">
        <v>308</v>
      </c>
      <c r="B100" s="297" t="s">
        <v>104</v>
      </c>
      <c r="C100" s="297" t="s">
        <v>287</v>
      </c>
      <c r="D100" s="297" t="s">
        <v>423</v>
      </c>
      <c r="E100" s="22">
        <f>IFERROR(VLOOKUP(Vertailu[[#This Row],[Y-tunnus]],'1.2 Ohjaus-laskentataulu'!A:AT,COLUMN('1.2 Ohjaus-laskentataulu'!L:L),FALSE)/VLOOKUP(Vertailu[[#This Row],[Y-tunnus]],'1.2 Ohjaus-laskentataulu'!A:AT,COLUMN('1.2 Ohjaus-laskentataulu'!AR:AR),FALSE),0)</f>
        <v>0.62832952852825996</v>
      </c>
      <c r="F100" s="46">
        <f>IFERROR(VLOOKUP(Vertailu[[#This Row],[Y-tunnus]],'1.2 Ohjaus-laskentataulu'!A:AT,COLUMN('1.2 Ohjaus-laskentataulu'!AO:AO),FALSE)/VLOOKUP(Vertailu[[#This Row],[Y-tunnus]],'1.2 Ohjaus-laskentataulu'!A:AT,COLUMN('1.2 Ohjaus-laskentataulu'!AR:AR),FALSE),0)</f>
        <v>0.62832952852825996</v>
      </c>
      <c r="G100" s="299">
        <f>IFERROR(VLOOKUP(Vertailu[[#This Row],[Y-tunnus]],'1.2 Ohjaus-laskentataulu'!A:AT,COLUMN('1.2 Ohjaus-laskentataulu'!AP:AP),FALSE)/VLOOKUP(Vertailu[[#This Row],[Y-tunnus]],'1.2 Ohjaus-laskentataulu'!A:AT,COLUMN('1.2 Ohjaus-laskentataulu'!AR:AR),FALSE),0)</f>
        <v>0.23698717774208478</v>
      </c>
      <c r="H100" s="22">
        <f>IFERROR(VLOOKUP(Vertailu[[#This Row],[Y-tunnus]],'1.2 Ohjaus-laskentataulu'!A:AT,COLUMN('1.2 Ohjaus-laskentataulu'!AQ:AQ),FALSE)/VLOOKUP(Vertailu[[#This Row],[Y-tunnus]],'1.2 Ohjaus-laskentataulu'!A:AT,COLUMN('1.2 Ohjaus-laskentataulu'!AR:AR),FALSE),0)</f>
        <v>0.13468329372965532</v>
      </c>
      <c r="I100" s="19">
        <f>IFERROR(VLOOKUP(Vertailu[[#This Row],[Y-tunnus]],'1.2 Ohjaus-laskentataulu'!A:AT,COLUMN('1.2 Ohjaus-laskentataulu'!R:R),FALSE)/VLOOKUP(Vertailu[[#This Row],[Y-tunnus]],'1.2 Ohjaus-laskentataulu'!A:AT,COLUMN('1.2 Ohjaus-laskentataulu'!AR:AR),FALSE),0)</f>
        <v>0.11552574368707001</v>
      </c>
      <c r="J100" s="19">
        <f>IFERROR(VLOOKUP(Vertailu[[#This Row],[Y-tunnus]],'1.2 Ohjaus-laskentataulu'!A:AT,COLUMN('1.2 Ohjaus-laskentataulu'!U:U),FALSE)/VLOOKUP(Vertailu[[#This Row],[Y-tunnus]],'1.2 Ohjaus-laskentataulu'!A:AT,COLUMN('1.2 Ohjaus-laskentataulu'!AR:AR),FALSE),0)</f>
        <v>1.8402098541210513E-2</v>
      </c>
      <c r="K100" s="46">
        <f>IFERROR(VLOOKUP(Vertailu[[#This Row],[Y-tunnus]],'1.2 Ohjaus-laskentataulu'!A:AT,COLUMN('1.2 Ohjaus-laskentataulu'!X:X),FALSE)/VLOOKUP(Vertailu[[#This Row],[Y-tunnus]],'1.2 Ohjaus-laskentataulu'!A:AT,COLUMN('1.2 Ohjaus-laskentataulu'!AR:AR),FALSE),0)</f>
        <v>7.5545150137478563E-4</v>
      </c>
      <c r="L100" s="21">
        <f>IFERROR(VLOOKUP(Vertailu[[#This Row],[Y-tunnus]],'3.2 Suoritepäätös 2019'!$A:$S,COLUMN('3.2 Suoritepäätös 2019'!Q:Q),FALSE)-VLOOKUP(Vertailu[[#This Row],[Y-tunnus]],'3.2 Suoritepäätös 2019'!$A:$S,COLUMN('3.2 Suoritepäätös 2019'!L:L),FALSE),0)</f>
        <v>1057126</v>
      </c>
      <c r="M100" s="21">
        <f>IFERROR(VLOOKUP(Vertailu[[#This Row],[Y-tunnus]],'1.2 Ohjaus-laskentataulu'!A:AT,COLUMN('1.2 Ohjaus-laskentataulu'!Z:Z),FALSE),0)</f>
        <v>1028524</v>
      </c>
      <c r="N100" s="21">
        <f>IFERROR(Vertailu[[#This Row],[Rahoitus pl. hark. kor. 2020 ilman alv, €]]-Vertailu[[#This Row],[Rahoitus pl. hark. kor. 2019 ilman alv, €]],0)</f>
        <v>-28602</v>
      </c>
      <c r="O100" s="46">
        <f>IFERROR(Vertailu[[#This Row],[Muutos, € 1]]/Vertailu[[#This Row],[Rahoitus pl. hark. kor. 2019 ilman alv, €]],0)</f>
        <v>-2.705637738547723E-2</v>
      </c>
      <c r="P100" s="217">
        <f>IFERROR(VLOOKUP(Vertailu[[#This Row],[Y-tunnus]],'3.2 Suoritepäätös 2019'!$A:$S,COLUMN('3.2 Suoritepäätös 2019'!Q:Q),FALSE),0)</f>
        <v>1057126</v>
      </c>
      <c r="Q100" s="243">
        <f>IFERROR(VLOOKUP(Vertailu[[#This Row],[Y-tunnus]],'1.2 Ohjaus-laskentataulu'!A:AT,COLUMN('1.2 Ohjaus-laskentataulu'!AR:AR),FALSE),0)</f>
        <v>1028524</v>
      </c>
      <c r="R100" s="21">
        <f>IFERROR(Vertailu[[#This Row],[Rahoitus ml. hark. kor. 
2020 ilman alv, €]]-Vertailu[[#This Row],[Rahoitus ml. hark. kor. 
2019 ilman alv, €]],0)</f>
        <v>-28602</v>
      </c>
      <c r="S100" s="19">
        <f>IFERROR(Vertailu[[#This Row],[Muutos, € 2]]/Vertailu[[#This Row],[Rahoitus ml. hark. kor. 
2019 ilman alv, €]],0)</f>
        <v>-2.705637738547723E-2</v>
      </c>
      <c r="T100" s="243">
        <f>IFERROR(VLOOKUP(Vertailu[[#This Row],[Y-tunnus]],'3.2 Suoritepäätös 2019'!$A:$S,COLUMN('3.2 Suoritepäätös 2019'!Q:Q),FALSE)+VLOOKUP(Vertailu[[#This Row],[Y-tunnus]],'3.2 Suoritepäätös 2019'!$A:$S,COLUMN('3.2 Suoritepäätös 2019'!R:R),FALSE),0)</f>
        <v>1114123</v>
      </c>
      <c r="U100" s="217">
        <f>IFERROR(VLOOKUP(Vertailu[[#This Row],[Y-tunnus]],'1.2 Ohjaus-laskentataulu'!A:AT,COLUMN('1.2 Ohjaus-laskentataulu'!AT:AT),FALSE),0)</f>
        <v>1082519</v>
      </c>
      <c r="V100" s="249">
        <f>IFERROR(Vertailu[[#This Row],[Rahoitus ml. hark. kor. + alv 2020, €]]-Vertailu[[#This Row],[Rahoitus ml. hark. kor. + alv 2019, €]],0)</f>
        <v>-31604</v>
      </c>
      <c r="W100" s="46">
        <f>IFERROR(Vertailu[[#This Row],[Muutos, € 3]]/Vertailu[[#This Row],[Rahoitus ml. hark. kor. + alv 2019, €]],0)</f>
        <v>-2.8366706369045428E-2</v>
      </c>
    </row>
    <row r="101" spans="1:23" ht="12.75" customHeight="1" x14ac:dyDescent="0.25">
      <c r="A101" s="12" t="s">
        <v>307</v>
      </c>
      <c r="B101" s="297" t="s">
        <v>105</v>
      </c>
      <c r="C101" s="297" t="s">
        <v>242</v>
      </c>
      <c r="D101" s="297" t="s">
        <v>423</v>
      </c>
      <c r="E101" s="22">
        <f>IFERROR(VLOOKUP(Vertailu[[#This Row],[Y-tunnus]],'1.2 Ohjaus-laskentataulu'!A:AT,COLUMN('1.2 Ohjaus-laskentataulu'!L:L),FALSE)/VLOOKUP(Vertailu[[#This Row],[Y-tunnus]],'1.2 Ohjaus-laskentataulu'!A:AT,COLUMN('1.2 Ohjaus-laskentataulu'!AR:AR),FALSE),0)</f>
        <v>0.68002950381090888</v>
      </c>
      <c r="F101" s="46">
        <f>IFERROR(VLOOKUP(Vertailu[[#This Row],[Y-tunnus]],'1.2 Ohjaus-laskentataulu'!A:AT,COLUMN('1.2 Ohjaus-laskentataulu'!AO:AO),FALSE)/VLOOKUP(Vertailu[[#This Row],[Y-tunnus]],'1.2 Ohjaus-laskentataulu'!A:AT,COLUMN('1.2 Ohjaus-laskentataulu'!AR:AR),FALSE),0)</f>
        <v>0.68002950381090888</v>
      </c>
      <c r="G101" s="299">
        <f>IFERROR(VLOOKUP(Vertailu[[#This Row],[Y-tunnus]],'1.2 Ohjaus-laskentataulu'!A:AT,COLUMN('1.2 Ohjaus-laskentataulu'!AP:AP),FALSE)/VLOOKUP(Vertailu[[#This Row],[Y-tunnus]],'1.2 Ohjaus-laskentataulu'!A:AT,COLUMN('1.2 Ohjaus-laskentataulu'!AR:AR),FALSE),0)</f>
        <v>0.16152503031641588</v>
      </c>
      <c r="H101" s="22">
        <f>IFERROR(VLOOKUP(Vertailu[[#This Row],[Y-tunnus]],'1.2 Ohjaus-laskentataulu'!A:AT,COLUMN('1.2 Ohjaus-laskentataulu'!AQ:AQ),FALSE)/VLOOKUP(Vertailu[[#This Row],[Y-tunnus]],'1.2 Ohjaus-laskentataulu'!A:AT,COLUMN('1.2 Ohjaus-laskentataulu'!AR:AR),FALSE),0)</f>
        <v>0.15844546587267522</v>
      </c>
      <c r="I101" s="19">
        <f>IFERROR(VLOOKUP(Vertailu[[#This Row],[Y-tunnus]],'1.2 Ohjaus-laskentataulu'!A:AT,COLUMN('1.2 Ohjaus-laskentataulu'!R:R),FALSE)/VLOOKUP(Vertailu[[#This Row],[Y-tunnus]],'1.2 Ohjaus-laskentataulu'!A:AT,COLUMN('1.2 Ohjaus-laskentataulu'!AR:AR),FALSE),0)</f>
        <v>0.11867157841221158</v>
      </c>
      <c r="J101" s="19">
        <f>IFERROR(VLOOKUP(Vertailu[[#This Row],[Y-tunnus]],'1.2 Ohjaus-laskentataulu'!A:AT,COLUMN('1.2 Ohjaus-laskentataulu'!U:U),FALSE)/VLOOKUP(Vertailu[[#This Row],[Y-tunnus]],'1.2 Ohjaus-laskentataulu'!A:AT,COLUMN('1.2 Ohjaus-laskentataulu'!AR:AR),FALSE),0)</f>
        <v>8.915734949097592E-3</v>
      </c>
      <c r="K101" s="46">
        <f>IFERROR(VLOOKUP(Vertailu[[#This Row],[Y-tunnus]],'1.2 Ohjaus-laskentataulu'!A:AT,COLUMN('1.2 Ohjaus-laskentataulu'!X:X),FALSE)/VLOOKUP(Vertailu[[#This Row],[Y-tunnus]],'1.2 Ohjaus-laskentataulu'!A:AT,COLUMN('1.2 Ohjaus-laskentataulu'!AR:AR),FALSE),0)</f>
        <v>3.085815251136605E-2</v>
      </c>
      <c r="L101" s="21">
        <f>IFERROR(VLOOKUP(Vertailu[[#This Row],[Y-tunnus]],'3.2 Suoritepäätös 2019'!$A:$S,COLUMN('3.2 Suoritepäätös 2019'!Q:Q),FALSE)-VLOOKUP(Vertailu[[#This Row],[Y-tunnus]],'3.2 Suoritepäätös 2019'!$A:$S,COLUMN('3.2 Suoritepäätös 2019'!L:L),FALSE),0)</f>
        <v>511338</v>
      </c>
      <c r="M101" s="21">
        <f>IFERROR(VLOOKUP(Vertailu[[#This Row],[Y-tunnus]],'1.2 Ohjaus-laskentataulu'!A:AT,COLUMN('1.2 Ohjaus-laskentataulu'!Z:Z),FALSE),0)</f>
        <v>479938</v>
      </c>
      <c r="N101" s="21">
        <f>IFERROR(Vertailu[[#This Row],[Rahoitus pl. hark. kor. 2020 ilman alv, €]]-Vertailu[[#This Row],[Rahoitus pl. hark. kor. 2019 ilman alv, €]],0)</f>
        <v>-31400</v>
      </c>
      <c r="O101" s="46">
        <f>IFERROR(Vertailu[[#This Row],[Muutos, € 1]]/Vertailu[[#This Row],[Rahoitus pl. hark. kor. 2019 ilman alv, €]],0)</f>
        <v>-6.1407523008264589E-2</v>
      </c>
      <c r="P101" s="217">
        <f>IFERROR(VLOOKUP(Vertailu[[#This Row],[Y-tunnus]],'3.2 Suoritepäätös 2019'!$A:$S,COLUMN('3.2 Suoritepäätös 2019'!Q:Q),FALSE),0)</f>
        <v>511338</v>
      </c>
      <c r="Q101" s="243">
        <f>IFERROR(VLOOKUP(Vertailu[[#This Row],[Y-tunnus]],'1.2 Ohjaus-laskentataulu'!A:AT,COLUMN('1.2 Ohjaus-laskentataulu'!AR:AR),FALSE),0)</f>
        <v>479938</v>
      </c>
      <c r="R101" s="21">
        <f>IFERROR(Vertailu[[#This Row],[Rahoitus ml. hark. kor. 
2020 ilman alv, €]]-Vertailu[[#This Row],[Rahoitus ml. hark. kor. 
2019 ilman alv, €]],0)</f>
        <v>-31400</v>
      </c>
      <c r="S101" s="19">
        <f>IFERROR(Vertailu[[#This Row],[Muutos, € 2]]/Vertailu[[#This Row],[Rahoitus ml. hark. kor. 
2019 ilman alv, €]],0)</f>
        <v>-6.1407523008264589E-2</v>
      </c>
      <c r="T101" s="243">
        <f>IFERROR(VLOOKUP(Vertailu[[#This Row],[Y-tunnus]],'3.2 Suoritepäätös 2019'!$A:$S,COLUMN('3.2 Suoritepäätös 2019'!Q:Q),FALSE)+VLOOKUP(Vertailu[[#This Row],[Y-tunnus]],'3.2 Suoritepäätös 2019'!$A:$S,COLUMN('3.2 Suoritepäätös 2019'!R:R),FALSE),0)</f>
        <v>538464</v>
      </c>
      <c r="U101" s="217">
        <f>IFERROR(VLOOKUP(Vertailu[[#This Row],[Y-tunnus]],'1.2 Ohjaus-laskentataulu'!A:AT,COLUMN('1.2 Ohjaus-laskentataulu'!AT:AT),FALSE),0)</f>
        <v>512743</v>
      </c>
      <c r="V101" s="249">
        <f>IFERROR(Vertailu[[#This Row],[Rahoitus ml. hark. kor. + alv 2020, €]]-Vertailu[[#This Row],[Rahoitus ml. hark. kor. + alv 2019, €]],0)</f>
        <v>-25721</v>
      </c>
      <c r="W101" s="46">
        <f>IFERROR(Vertailu[[#This Row],[Muutos, € 3]]/Vertailu[[#This Row],[Rahoitus ml. hark. kor. + alv 2019, €]],0)</f>
        <v>-4.7767353063528854E-2</v>
      </c>
    </row>
    <row r="102" spans="1:23" ht="12.75" customHeight="1" x14ac:dyDescent="0.25">
      <c r="A102" s="12" t="s">
        <v>306</v>
      </c>
      <c r="B102" s="297" t="s">
        <v>106</v>
      </c>
      <c r="C102" s="297" t="s">
        <v>246</v>
      </c>
      <c r="D102" s="297" t="s">
        <v>423</v>
      </c>
      <c r="E102" s="22">
        <f>IFERROR(VLOOKUP(Vertailu[[#This Row],[Y-tunnus]],'1.2 Ohjaus-laskentataulu'!A:AT,COLUMN('1.2 Ohjaus-laskentataulu'!L:L),FALSE)/VLOOKUP(Vertailu[[#This Row],[Y-tunnus]],'1.2 Ohjaus-laskentataulu'!A:AT,COLUMN('1.2 Ohjaus-laskentataulu'!AR:AR),FALSE),0)</f>
        <v>0.62806887545293777</v>
      </c>
      <c r="F102" s="46">
        <f>IFERROR(VLOOKUP(Vertailu[[#This Row],[Y-tunnus]],'1.2 Ohjaus-laskentataulu'!A:AT,COLUMN('1.2 Ohjaus-laskentataulu'!AO:AO),FALSE)/VLOOKUP(Vertailu[[#This Row],[Y-tunnus]],'1.2 Ohjaus-laskentataulu'!A:AT,COLUMN('1.2 Ohjaus-laskentataulu'!AR:AR),FALSE),0)</f>
        <v>0.62806887545293777</v>
      </c>
      <c r="G102" s="299">
        <f>IFERROR(VLOOKUP(Vertailu[[#This Row],[Y-tunnus]],'1.2 Ohjaus-laskentataulu'!A:AT,COLUMN('1.2 Ohjaus-laskentataulu'!AP:AP),FALSE)/VLOOKUP(Vertailu[[#This Row],[Y-tunnus]],'1.2 Ohjaus-laskentataulu'!A:AT,COLUMN('1.2 Ohjaus-laskentataulu'!AR:AR),FALSE),0)</f>
        <v>0.19737289493944626</v>
      </c>
      <c r="H102" s="22">
        <f>IFERROR(VLOOKUP(Vertailu[[#This Row],[Y-tunnus]],'1.2 Ohjaus-laskentataulu'!A:AT,COLUMN('1.2 Ohjaus-laskentataulu'!AQ:AQ),FALSE)/VLOOKUP(Vertailu[[#This Row],[Y-tunnus]],'1.2 Ohjaus-laskentataulu'!A:AT,COLUMN('1.2 Ohjaus-laskentataulu'!AR:AR),FALSE),0)</f>
        <v>0.17455822960761591</v>
      </c>
      <c r="I102" s="19">
        <f>IFERROR(VLOOKUP(Vertailu[[#This Row],[Y-tunnus]],'1.2 Ohjaus-laskentataulu'!A:AT,COLUMN('1.2 Ohjaus-laskentataulu'!R:R),FALSE)/VLOOKUP(Vertailu[[#This Row],[Y-tunnus]],'1.2 Ohjaus-laskentataulu'!A:AT,COLUMN('1.2 Ohjaus-laskentataulu'!AR:AR),FALSE),0)</f>
        <v>0.11279156845897349</v>
      </c>
      <c r="J102" s="19">
        <f>IFERROR(VLOOKUP(Vertailu[[#This Row],[Y-tunnus]],'1.2 Ohjaus-laskentataulu'!A:AT,COLUMN('1.2 Ohjaus-laskentataulu'!U:U),FALSE)/VLOOKUP(Vertailu[[#This Row],[Y-tunnus]],'1.2 Ohjaus-laskentataulu'!A:AT,COLUMN('1.2 Ohjaus-laskentataulu'!AR:AR),FALSE),0)</f>
        <v>2.0968492081635228E-2</v>
      </c>
      <c r="K102" s="46">
        <f>IFERROR(VLOOKUP(Vertailu[[#This Row],[Y-tunnus]],'1.2 Ohjaus-laskentataulu'!A:AT,COLUMN('1.2 Ohjaus-laskentataulu'!X:X),FALSE)/VLOOKUP(Vertailu[[#This Row],[Y-tunnus]],'1.2 Ohjaus-laskentataulu'!A:AT,COLUMN('1.2 Ohjaus-laskentataulu'!AR:AR),FALSE),0)</f>
        <v>4.0798169067007208E-2</v>
      </c>
      <c r="L102" s="21">
        <f>IFERROR(VLOOKUP(Vertailu[[#This Row],[Y-tunnus]],'3.2 Suoritepäätös 2019'!$A:$S,COLUMN('3.2 Suoritepäätös 2019'!Q:Q),FALSE)-VLOOKUP(Vertailu[[#This Row],[Y-tunnus]],'3.2 Suoritepäätös 2019'!$A:$S,COLUMN('3.2 Suoritepäätös 2019'!L:L),FALSE),0)</f>
        <v>1836370</v>
      </c>
      <c r="M102" s="21">
        <f>IFERROR(VLOOKUP(Vertailu[[#This Row],[Y-tunnus]],'1.2 Ohjaus-laskentataulu'!A:AT,COLUMN('1.2 Ohjaus-laskentataulu'!Z:Z),FALSE),0)</f>
        <v>1902855</v>
      </c>
      <c r="N102" s="21">
        <f>IFERROR(Vertailu[[#This Row],[Rahoitus pl. hark. kor. 2020 ilman alv, €]]-Vertailu[[#This Row],[Rahoitus pl. hark. kor. 2019 ilman alv, €]],0)</f>
        <v>66485</v>
      </c>
      <c r="O102" s="46">
        <f>IFERROR(Vertailu[[#This Row],[Muutos, € 1]]/Vertailu[[#This Row],[Rahoitus pl. hark. kor. 2019 ilman alv, €]],0)</f>
        <v>3.6204577508889821E-2</v>
      </c>
      <c r="P102" s="217">
        <f>IFERROR(VLOOKUP(Vertailu[[#This Row],[Y-tunnus]],'3.2 Suoritepäätös 2019'!$A:$S,COLUMN('3.2 Suoritepäätös 2019'!Q:Q),FALSE),0)</f>
        <v>1836370</v>
      </c>
      <c r="Q102" s="243">
        <f>IFERROR(VLOOKUP(Vertailu[[#This Row],[Y-tunnus]],'1.2 Ohjaus-laskentataulu'!A:AT,COLUMN('1.2 Ohjaus-laskentataulu'!AR:AR),FALSE),0)</f>
        <v>1902855</v>
      </c>
      <c r="R102" s="21">
        <f>IFERROR(Vertailu[[#This Row],[Rahoitus ml. hark. kor. 
2020 ilman alv, €]]-Vertailu[[#This Row],[Rahoitus ml. hark. kor. 
2019 ilman alv, €]],0)</f>
        <v>66485</v>
      </c>
      <c r="S102" s="19">
        <f>IFERROR(Vertailu[[#This Row],[Muutos, € 2]]/Vertailu[[#This Row],[Rahoitus ml. hark. kor. 
2019 ilman alv, €]],0)</f>
        <v>3.6204577508889821E-2</v>
      </c>
      <c r="T102" s="243">
        <f>IFERROR(VLOOKUP(Vertailu[[#This Row],[Y-tunnus]],'3.2 Suoritepäätös 2019'!$A:$S,COLUMN('3.2 Suoritepäätös 2019'!Q:Q),FALSE)+VLOOKUP(Vertailu[[#This Row],[Y-tunnus]],'3.2 Suoritepäätös 2019'!$A:$S,COLUMN('3.2 Suoritepäätös 2019'!R:R),FALSE),0)</f>
        <v>1936045</v>
      </c>
      <c r="U102" s="217">
        <f>IFERROR(VLOOKUP(Vertailu[[#This Row],[Y-tunnus]],'1.2 Ohjaus-laskentataulu'!A:AT,COLUMN('1.2 Ohjaus-laskentataulu'!AT:AT),FALSE),0)</f>
        <v>1953207</v>
      </c>
      <c r="V102" s="249">
        <f>IFERROR(Vertailu[[#This Row],[Rahoitus ml. hark. kor. + alv 2020, €]]-Vertailu[[#This Row],[Rahoitus ml. hark. kor. + alv 2019, €]],0)</f>
        <v>17162</v>
      </c>
      <c r="W102" s="46">
        <f>IFERROR(Vertailu[[#This Row],[Muutos, € 3]]/Vertailu[[#This Row],[Rahoitus ml. hark. kor. + alv 2019, €]],0)</f>
        <v>8.8644633776590945E-3</v>
      </c>
    </row>
    <row r="103" spans="1:23" ht="12.75" customHeight="1" x14ac:dyDescent="0.25">
      <c r="A103" s="12" t="s">
        <v>310</v>
      </c>
      <c r="B103" s="297" t="s">
        <v>107</v>
      </c>
      <c r="C103" s="297" t="s">
        <v>238</v>
      </c>
      <c r="D103" s="297" t="s">
        <v>423</v>
      </c>
      <c r="E103" s="22">
        <f>IFERROR(VLOOKUP(Vertailu[[#This Row],[Y-tunnus]],'1.2 Ohjaus-laskentataulu'!A:AT,COLUMN('1.2 Ohjaus-laskentataulu'!L:L),FALSE)/VLOOKUP(Vertailu[[#This Row],[Y-tunnus]],'1.2 Ohjaus-laskentataulu'!A:AT,COLUMN('1.2 Ohjaus-laskentataulu'!AR:AR),FALSE),0)</f>
        <v>0.66283844014199156</v>
      </c>
      <c r="F103" s="46">
        <f>IFERROR(VLOOKUP(Vertailu[[#This Row],[Y-tunnus]],'1.2 Ohjaus-laskentataulu'!A:AT,COLUMN('1.2 Ohjaus-laskentataulu'!AO:AO),FALSE)/VLOOKUP(Vertailu[[#This Row],[Y-tunnus]],'1.2 Ohjaus-laskentataulu'!A:AT,COLUMN('1.2 Ohjaus-laskentataulu'!AR:AR),FALSE),0)</f>
        <v>0.66283844014199156</v>
      </c>
      <c r="G103" s="299">
        <f>IFERROR(VLOOKUP(Vertailu[[#This Row],[Y-tunnus]],'1.2 Ohjaus-laskentataulu'!A:AT,COLUMN('1.2 Ohjaus-laskentataulu'!AP:AP),FALSE)/VLOOKUP(Vertailu[[#This Row],[Y-tunnus]],'1.2 Ohjaus-laskentataulu'!A:AT,COLUMN('1.2 Ohjaus-laskentataulu'!AR:AR),FALSE),0)</f>
        <v>0.24297389546234432</v>
      </c>
      <c r="H103" s="22">
        <f>IFERROR(VLOOKUP(Vertailu[[#This Row],[Y-tunnus]],'1.2 Ohjaus-laskentataulu'!A:AT,COLUMN('1.2 Ohjaus-laskentataulu'!AQ:AQ),FALSE)/VLOOKUP(Vertailu[[#This Row],[Y-tunnus]],'1.2 Ohjaus-laskentataulu'!A:AT,COLUMN('1.2 Ohjaus-laskentataulu'!AR:AR),FALSE),0)</f>
        <v>9.4187664395664158E-2</v>
      </c>
      <c r="I103" s="19">
        <f>IFERROR(VLOOKUP(Vertailu[[#This Row],[Y-tunnus]],'1.2 Ohjaus-laskentataulu'!A:AT,COLUMN('1.2 Ohjaus-laskentataulu'!R:R),FALSE)/VLOOKUP(Vertailu[[#This Row],[Y-tunnus]],'1.2 Ohjaus-laskentataulu'!A:AT,COLUMN('1.2 Ohjaus-laskentataulu'!AR:AR),FALSE),0)</f>
        <v>7.3877902418026234E-2</v>
      </c>
      <c r="J103" s="19">
        <f>IFERROR(VLOOKUP(Vertailu[[#This Row],[Y-tunnus]],'1.2 Ohjaus-laskentataulu'!A:AT,COLUMN('1.2 Ohjaus-laskentataulu'!U:U),FALSE)/VLOOKUP(Vertailu[[#This Row],[Y-tunnus]],'1.2 Ohjaus-laskentataulu'!A:AT,COLUMN('1.2 Ohjaus-laskentataulu'!AR:AR),FALSE),0)</f>
        <v>6.0148844764154339E-3</v>
      </c>
      <c r="K103" s="46">
        <f>IFERROR(VLOOKUP(Vertailu[[#This Row],[Y-tunnus]],'1.2 Ohjaus-laskentataulu'!A:AT,COLUMN('1.2 Ohjaus-laskentataulu'!X:X),FALSE)/VLOOKUP(Vertailu[[#This Row],[Y-tunnus]],'1.2 Ohjaus-laskentataulu'!A:AT,COLUMN('1.2 Ohjaus-laskentataulu'!AR:AR),FALSE),0)</f>
        <v>1.4294877501222488E-2</v>
      </c>
      <c r="L103" s="21">
        <f>IFERROR(VLOOKUP(Vertailu[[#This Row],[Y-tunnus]],'3.2 Suoritepäätös 2019'!$A:$S,COLUMN('3.2 Suoritepäätös 2019'!Q:Q),FALSE)-VLOOKUP(Vertailu[[#This Row],[Y-tunnus]],'3.2 Suoritepäätös 2019'!$A:$S,COLUMN('3.2 Suoritepäätös 2019'!L:L),FALSE),0)</f>
        <v>1594490</v>
      </c>
      <c r="M103" s="21">
        <f>IFERROR(VLOOKUP(Vertailu[[#This Row],[Y-tunnus]],'1.2 Ohjaus-laskentataulu'!A:AT,COLUMN('1.2 Ohjaus-laskentataulu'!Z:Z),FALSE),0)</f>
        <v>1640098</v>
      </c>
      <c r="N103" s="21">
        <f>IFERROR(Vertailu[[#This Row],[Rahoitus pl. hark. kor. 2020 ilman alv, €]]-Vertailu[[#This Row],[Rahoitus pl. hark. kor. 2019 ilman alv, €]],0)</f>
        <v>45608</v>
      </c>
      <c r="O103" s="46">
        <f>IFERROR(Vertailu[[#This Row],[Muutos, € 1]]/Vertailu[[#This Row],[Rahoitus pl. hark. kor. 2019 ilman alv, €]],0)</f>
        <v>2.8603503314539445E-2</v>
      </c>
      <c r="P103" s="217">
        <f>IFERROR(VLOOKUP(Vertailu[[#This Row],[Y-tunnus]],'3.2 Suoritepäätös 2019'!$A:$S,COLUMN('3.2 Suoritepäätös 2019'!Q:Q),FALSE),0)</f>
        <v>1594490</v>
      </c>
      <c r="Q103" s="243">
        <f>IFERROR(VLOOKUP(Vertailu[[#This Row],[Y-tunnus]],'1.2 Ohjaus-laskentataulu'!A:AT,COLUMN('1.2 Ohjaus-laskentataulu'!AR:AR),FALSE),0)</f>
        <v>1640098</v>
      </c>
      <c r="R103" s="21">
        <f>IFERROR(Vertailu[[#This Row],[Rahoitus ml. hark. kor. 
2020 ilman alv, €]]-Vertailu[[#This Row],[Rahoitus ml. hark. kor. 
2019 ilman alv, €]],0)</f>
        <v>45608</v>
      </c>
      <c r="S103" s="19">
        <f>IFERROR(Vertailu[[#This Row],[Muutos, € 2]]/Vertailu[[#This Row],[Rahoitus ml. hark. kor. 
2019 ilman alv, €]],0)</f>
        <v>2.8603503314539445E-2</v>
      </c>
      <c r="T103" s="243">
        <f>IFERROR(VLOOKUP(Vertailu[[#This Row],[Y-tunnus]],'3.2 Suoritepäätös 2019'!$A:$S,COLUMN('3.2 Suoritepäätös 2019'!Q:Q),FALSE)+VLOOKUP(Vertailu[[#This Row],[Y-tunnus]],'3.2 Suoritepäätös 2019'!$A:$S,COLUMN('3.2 Suoritepäätös 2019'!R:R),FALSE),0)</f>
        <v>1676783</v>
      </c>
      <c r="U103" s="217">
        <f>IFERROR(VLOOKUP(Vertailu[[#This Row],[Y-tunnus]],'1.2 Ohjaus-laskentataulu'!A:AT,COLUMN('1.2 Ohjaus-laskentataulu'!AT:AT),FALSE),0)</f>
        <v>1678464</v>
      </c>
      <c r="V103" s="249">
        <f>IFERROR(Vertailu[[#This Row],[Rahoitus ml. hark. kor. + alv 2020, €]]-Vertailu[[#This Row],[Rahoitus ml. hark. kor. + alv 2019, €]],0)</f>
        <v>1681</v>
      </c>
      <c r="W103" s="46">
        <f>IFERROR(Vertailu[[#This Row],[Muutos, € 3]]/Vertailu[[#This Row],[Rahoitus ml. hark. kor. + alv 2019, €]],0)</f>
        <v>1.0025149348484568E-3</v>
      </c>
    </row>
    <row r="104" spans="1:23" ht="12.75" customHeight="1" x14ac:dyDescent="0.25">
      <c r="A104" s="12" t="s">
        <v>309</v>
      </c>
      <c r="B104" s="297" t="s">
        <v>108</v>
      </c>
      <c r="C104" s="297" t="s">
        <v>242</v>
      </c>
      <c r="D104" s="297" t="s">
        <v>423</v>
      </c>
      <c r="E104" s="22">
        <f>IFERROR(VLOOKUP(Vertailu[[#This Row],[Y-tunnus]],'1.2 Ohjaus-laskentataulu'!A:AT,COLUMN('1.2 Ohjaus-laskentataulu'!L:L),FALSE)/VLOOKUP(Vertailu[[#This Row],[Y-tunnus]],'1.2 Ohjaus-laskentataulu'!A:AT,COLUMN('1.2 Ohjaus-laskentataulu'!AR:AR),FALSE),0)</f>
        <v>0.60976786342596334</v>
      </c>
      <c r="F104" s="46">
        <f>IFERROR(VLOOKUP(Vertailu[[#This Row],[Y-tunnus]],'1.2 Ohjaus-laskentataulu'!A:AT,COLUMN('1.2 Ohjaus-laskentataulu'!AO:AO),FALSE)/VLOOKUP(Vertailu[[#This Row],[Y-tunnus]],'1.2 Ohjaus-laskentataulu'!A:AT,COLUMN('1.2 Ohjaus-laskentataulu'!AR:AR),FALSE),0)</f>
        <v>0.60976786342596334</v>
      </c>
      <c r="G104" s="299">
        <f>IFERROR(VLOOKUP(Vertailu[[#This Row],[Y-tunnus]],'1.2 Ohjaus-laskentataulu'!A:AT,COLUMN('1.2 Ohjaus-laskentataulu'!AP:AP),FALSE)/VLOOKUP(Vertailu[[#This Row],[Y-tunnus]],'1.2 Ohjaus-laskentataulu'!A:AT,COLUMN('1.2 Ohjaus-laskentataulu'!AR:AR),FALSE),0)</f>
        <v>0.2542797499972026</v>
      </c>
      <c r="H104" s="22">
        <f>IFERROR(VLOOKUP(Vertailu[[#This Row],[Y-tunnus]],'1.2 Ohjaus-laskentataulu'!A:AT,COLUMN('1.2 Ohjaus-laskentataulu'!AQ:AQ),FALSE)/VLOOKUP(Vertailu[[#This Row],[Y-tunnus]],'1.2 Ohjaus-laskentataulu'!A:AT,COLUMN('1.2 Ohjaus-laskentataulu'!AR:AR),FALSE),0)</f>
        <v>0.13595238657683409</v>
      </c>
      <c r="I104" s="19">
        <f>IFERROR(VLOOKUP(Vertailu[[#This Row],[Y-tunnus]],'1.2 Ohjaus-laskentataulu'!A:AT,COLUMN('1.2 Ohjaus-laskentataulu'!R:R),FALSE)/VLOOKUP(Vertailu[[#This Row],[Y-tunnus]],'1.2 Ohjaus-laskentataulu'!A:AT,COLUMN('1.2 Ohjaus-laskentataulu'!AR:AR),FALSE),0)</f>
        <v>9.5783844806300047E-2</v>
      </c>
      <c r="J104" s="19">
        <f>IFERROR(VLOOKUP(Vertailu[[#This Row],[Y-tunnus]],'1.2 Ohjaus-laskentataulu'!A:AT,COLUMN('1.2 Ohjaus-laskentataulu'!U:U),FALSE)/VLOOKUP(Vertailu[[#This Row],[Y-tunnus]],'1.2 Ohjaus-laskentataulu'!A:AT,COLUMN('1.2 Ohjaus-laskentataulu'!AR:AR),FALSE),0)</f>
        <v>6.5745712790201798E-3</v>
      </c>
      <c r="K104" s="46">
        <f>IFERROR(VLOOKUP(Vertailu[[#This Row],[Y-tunnus]],'1.2 Ohjaus-laskentataulu'!A:AT,COLUMN('1.2 Ohjaus-laskentataulu'!X:X),FALSE)/VLOOKUP(Vertailu[[#This Row],[Y-tunnus]],'1.2 Ohjaus-laskentataulu'!A:AT,COLUMN('1.2 Ohjaus-laskentataulu'!AR:AR),FALSE),0)</f>
        <v>3.3593970491513858E-2</v>
      </c>
      <c r="L104" s="21">
        <f>IFERROR(VLOOKUP(Vertailu[[#This Row],[Y-tunnus]],'3.2 Suoritepäätös 2019'!$A:$S,COLUMN('3.2 Suoritepäätös 2019'!Q:Q),FALSE)-VLOOKUP(Vertailu[[#This Row],[Y-tunnus]],'3.2 Suoritepäätös 2019'!$A:$S,COLUMN('3.2 Suoritepäätös 2019'!L:L),FALSE),0)</f>
        <v>718673</v>
      </c>
      <c r="M104" s="21">
        <f>IFERROR(VLOOKUP(Vertailu[[#This Row],[Y-tunnus]],'1.2 Ohjaus-laskentataulu'!A:AT,COLUMN('1.2 Ohjaus-laskentataulu'!Z:Z),FALSE),0)</f>
        <v>804311</v>
      </c>
      <c r="N104" s="21">
        <f>IFERROR(Vertailu[[#This Row],[Rahoitus pl. hark. kor. 2020 ilman alv, €]]-Vertailu[[#This Row],[Rahoitus pl. hark. kor. 2019 ilman alv, €]],0)</f>
        <v>85638</v>
      </c>
      <c r="O104" s="46">
        <f>IFERROR(Vertailu[[#This Row],[Muutos, € 1]]/Vertailu[[#This Row],[Rahoitus pl. hark. kor. 2019 ilman alv, €]],0)</f>
        <v>0.11916128753967381</v>
      </c>
      <c r="P104" s="217">
        <f>IFERROR(VLOOKUP(Vertailu[[#This Row],[Y-tunnus]],'3.2 Suoritepäätös 2019'!$A:$S,COLUMN('3.2 Suoritepäätös 2019'!Q:Q),FALSE),0)</f>
        <v>718673</v>
      </c>
      <c r="Q104" s="243">
        <f>IFERROR(VLOOKUP(Vertailu[[#This Row],[Y-tunnus]],'1.2 Ohjaus-laskentataulu'!A:AT,COLUMN('1.2 Ohjaus-laskentataulu'!AR:AR),FALSE),0)</f>
        <v>804311</v>
      </c>
      <c r="R104" s="21">
        <f>IFERROR(Vertailu[[#This Row],[Rahoitus ml. hark. kor. 
2020 ilman alv, €]]-Vertailu[[#This Row],[Rahoitus ml. hark. kor. 
2019 ilman alv, €]],0)</f>
        <v>85638</v>
      </c>
      <c r="S104" s="19">
        <f>IFERROR(Vertailu[[#This Row],[Muutos, € 2]]/Vertailu[[#This Row],[Rahoitus ml. hark. kor. 
2019 ilman alv, €]],0)</f>
        <v>0.11916128753967381</v>
      </c>
      <c r="T104" s="243">
        <f>IFERROR(VLOOKUP(Vertailu[[#This Row],[Y-tunnus]],'3.2 Suoritepäätös 2019'!$A:$S,COLUMN('3.2 Suoritepäätös 2019'!Q:Q),FALSE)+VLOOKUP(Vertailu[[#This Row],[Y-tunnus]],'3.2 Suoritepäätös 2019'!$A:$S,COLUMN('3.2 Suoritepäätös 2019'!R:R),FALSE),0)</f>
        <v>756274</v>
      </c>
      <c r="U104" s="217">
        <f>IFERROR(VLOOKUP(Vertailu[[#This Row],[Y-tunnus]],'1.2 Ohjaus-laskentataulu'!A:AT,COLUMN('1.2 Ohjaus-laskentataulu'!AT:AT),FALSE),0)</f>
        <v>833307</v>
      </c>
      <c r="V104" s="249">
        <f>IFERROR(Vertailu[[#This Row],[Rahoitus ml. hark. kor. + alv 2020, €]]-Vertailu[[#This Row],[Rahoitus ml. hark. kor. + alv 2019, €]],0)</f>
        <v>77033</v>
      </c>
      <c r="W104" s="46">
        <f>IFERROR(Vertailu[[#This Row],[Muutos, € 3]]/Vertailu[[#This Row],[Rahoitus ml. hark. kor. + alv 2019, €]],0)</f>
        <v>0.10185858564488531</v>
      </c>
    </row>
    <row r="105" spans="1:23" ht="12.75" customHeight="1" x14ac:dyDescent="0.25">
      <c r="A105" s="12" t="s">
        <v>305</v>
      </c>
      <c r="B105" s="297" t="s">
        <v>109</v>
      </c>
      <c r="C105" s="297" t="s">
        <v>246</v>
      </c>
      <c r="D105" s="297" t="s">
        <v>422</v>
      </c>
      <c r="E105" s="22">
        <f>IFERROR(VLOOKUP(Vertailu[[#This Row],[Y-tunnus]],'1.2 Ohjaus-laskentataulu'!A:AT,COLUMN('1.2 Ohjaus-laskentataulu'!L:L),FALSE)/VLOOKUP(Vertailu[[#This Row],[Y-tunnus]],'1.2 Ohjaus-laskentataulu'!A:AT,COLUMN('1.2 Ohjaus-laskentataulu'!AR:AR),FALSE),0)</f>
        <v>0.69716259096269229</v>
      </c>
      <c r="F105" s="46">
        <f>IFERROR(VLOOKUP(Vertailu[[#This Row],[Y-tunnus]],'1.2 Ohjaus-laskentataulu'!A:AT,COLUMN('1.2 Ohjaus-laskentataulu'!AO:AO),FALSE)/VLOOKUP(Vertailu[[#This Row],[Y-tunnus]],'1.2 Ohjaus-laskentataulu'!A:AT,COLUMN('1.2 Ohjaus-laskentataulu'!AR:AR),FALSE),0)</f>
        <v>0.69716259096269229</v>
      </c>
      <c r="G105" s="299">
        <f>IFERROR(VLOOKUP(Vertailu[[#This Row],[Y-tunnus]],'1.2 Ohjaus-laskentataulu'!A:AT,COLUMN('1.2 Ohjaus-laskentataulu'!AP:AP),FALSE)/VLOOKUP(Vertailu[[#This Row],[Y-tunnus]],'1.2 Ohjaus-laskentataulu'!A:AT,COLUMN('1.2 Ohjaus-laskentataulu'!AR:AR),FALSE),0)</f>
        <v>0.20982654440651283</v>
      </c>
      <c r="H105" s="22">
        <f>IFERROR(VLOOKUP(Vertailu[[#This Row],[Y-tunnus]],'1.2 Ohjaus-laskentataulu'!A:AT,COLUMN('1.2 Ohjaus-laskentataulu'!AQ:AQ),FALSE)/VLOOKUP(Vertailu[[#This Row],[Y-tunnus]],'1.2 Ohjaus-laskentataulu'!A:AT,COLUMN('1.2 Ohjaus-laskentataulu'!AR:AR),FALSE),0)</f>
        <v>9.3010864630794901E-2</v>
      </c>
      <c r="I105" s="19">
        <f>IFERROR(VLOOKUP(Vertailu[[#This Row],[Y-tunnus]],'1.2 Ohjaus-laskentataulu'!A:AT,COLUMN('1.2 Ohjaus-laskentataulu'!R:R),FALSE)/VLOOKUP(Vertailu[[#This Row],[Y-tunnus]],'1.2 Ohjaus-laskentataulu'!A:AT,COLUMN('1.2 Ohjaus-laskentataulu'!AR:AR),FALSE),0)</f>
        <v>6.2169853271560813E-2</v>
      </c>
      <c r="J105" s="19">
        <f>IFERROR(VLOOKUP(Vertailu[[#This Row],[Y-tunnus]],'1.2 Ohjaus-laskentataulu'!A:AT,COLUMN('1.2 Ohjaus-laskentataulu'!U:U),FALSE)/VLOOKUP(Vertailu[[#This Row],[Y-tunnus]],'1.2 Ohjaus-laskentataulu'!A:AT,COLUMN('1.2 Ohjaus-laskentataulu'!AR:AR),FALSE),0)</f>
        <v>9.0931731200527572E-3</v>
      </c>
      <c r="K105" s="46">
        <f>IFERROR(VLOOKUP(Vertailu[[#This Row],[Y-tunnus]],'1.2 Ohjaus-laskentataulu'!A:AT,COLUMN('1.2 Ohjaus-laskentataulu'!X:X),FALSE)/VLOOKUP(Vertailu[[#This Row],[Y-tunnus]],'1.2 Ohjaus-laskentataulu'!A:AT,COLUMN('1.2 Ohjaus-laskentataulu'!AR:AR),FALSE),0)</f>
        <v>2.1747838239181326E-2</v>
      </c>
      <c r="L105" s="21">
        <f>IFERROR(VLOOKUP(Vertailu[[#This Row],[Y-tunnus]],'3.2 Suoritepäätös 2019'!$A:$S,COLUMN('3.2 Suoritepäätös 2019'!Q:Q),FALSE)-VLOOKUP(Vertailu[[#This Row],[Y-tunnus]],'3.2 Suoritepäätös 2019'!$A:$S,COLUMN('3.2 Suoritepäätös 2019'!L:L),FALSE),0)</f>
        <v>9487084</v>
      </c>
      <c r="M105" s="21">
        <f>IFERROR(VLOOKUP(Vertailu[[#This Row],[Y-tunnus]],'1.2 Ohjaus-laskentataulu'!A:AT,COLUMN('1.2 Ohjaus-laskentataulu'!Z:Z),FALSE),0)</f>
        <v>10335556</v>
      </c>
      <c r="N105" s="21">
        <f>IFERROR(Vertailu[[#This Row],[Rahoitus pl. hark. kor. 2020 ilman alv, €]]-Vertailu[[#This Row],[Rahoitus pl. hark. kor. 2019 ilman alv, €]],0)</f>
        <v>848472</v>
      </c>
      <c r="O105" s="46">
        <f>IFERROR(Vertailu[[#This Row],[Muutos, € 1]]/Vertailu[[#This Row],[Rahoitus pl. hark. kor. 2019 ilman alv, €]],0)</f>
        <v>8.9434435280640504E-2</v>
      </c>
      <c r="P105" s="217">
        <f>IFERROR(VLOOKUP(Vertailu[[#This Row],[Y-tunnus]],'3.2 Suoritepäätös 2019'!$A:$S,COLUMN('3.2 Suoritepäätös 2019'!Q:Q),FALSE),0)</f>
        <v>9487084</v>
      </c>
      <c r="Q105" s="243">
        <f>IFERROR(VLOOKUP(Vertailu[[#This Row],[Y-tunnus]],'1.2 Ohjaus-laskentataulu'!A:AT,COLUMN('1.2 Ohjaus-laskentataulu'!AR:AR),FALSE),0)</f>
        <v>10335556</v>
      </c>
      <c r="R105" s="21">
        <f>IFERROR(Vertailu[[#This Row],[Rahoitus ml. hark. kor. 
2020 ilman alv, €]]-Vertailu[[#This Row],[Rahoitus ml. hark. kor. 
2019 ilman alv, €]],0)</f>
        <v>848472</v>
      </c>
      <c r="S105" s="19">
        <f>IFERROR(Vertailu[[#This Row],[Muutos, € 2]]/Vertailu[[#This Row],[Rahoitus ml. hark. kor. 
2019 ilman alv, €]],0)</f>
        <v>8.9434435280640504E-2</v>
      </c>
      <c r="T105" s="243">
        <f>IFERROR(VLOOKUP(Vertailu[[#This Row],[Y-tunnus]],'3.2 Suoritepäätös 2019'!$A:$S,COLUMN('3.2 Suoritepäätös 2019'!Q:Q),FALSE)+VLOOKUP(Vertailu[[#This Row],[Y-tunnus]],'3.2 Suoritepäätös 2019'!$A:$S,COLUMN('3.2 Suoritepäätös 2019'!R:R),FALSE),0)</f>
        <v>9487084</v>
      </c>
      <c r="U105" s="217">
        <f>IFERROR(VLOOKUP(Vertailu[[#This Row],[Y-tunnus]],'1.2 Ohjaus-laskentataulu'!A:AT,COLUMN('1.2 Ohjaus-laskentataulu'!AT:AT),FALSE),0)</f>
        <v>10335556</v>
      </c>
      <c r="V105" s="249">
        <f>IFERROR(Vertailu[[#This Row],[Rahoitus ml. hark. kor. + alv 2020, €]]-Vertailu[[#This Row],[Rahoitus ml. hark. kor. + alv 2019, €]],0)</f>
        <v>848472</v>
      </c>
      <c r="W105" s="46">
        <f>IFERROR(Vertailu[[#This Row],[Muutos, € 3]]/Vertailu[[#This Row],[Rahoitus ml. hark. kor. + alv 2019, €]],0)</f>
        <v>8.9434435280640504E-2</v>
      </c>
    </row>
    <row r="106" spans="1:23" ht="12.75" customHeight="1" x14ac:dyDescent="0.25">
      <c r="A106" s="12" t="s">
        <v>304</v>
      </c>
      <c r="B106" s="297" t="s">
        <v>110</v>
      </c>
      <c r="C106" s="297" t="s">
        <v>246</v>
      </c>
      <c r="D106" s="297" t="s">
        <v>423</v>
      </c>
      <c r="E106" s="22">
        <f>IFERROR(VLOOKUP(Vertailu[[#This Row],[Y-tunnus]],'1.2 Ohjaus-laskentataulu'!A:AT,COLUMN('1.2 Ohjaus-laskentataulu'!L:L),FALSE)/VLOOKUP(Vertailu[[#This Row],[Y-tunnus]],'1.2 Ohjaus-laskentataulu'!A:AT,COLUMN('1.2 Ohjaus-laskentataulu'!AR:AR),FALSE),0)</f>
        <v>0.7193339009073908</v>
      </c>
      <c r="F106" s="46">
        <f>IFERROR(VLOOKUP(Vertailu[[#This Row],[Y-tunnus]],'1.2 Ohjaus-laskentataulu'!A:AT,COLUMN('1.2 Ohjaus-laskentataulu'!AO:AO),FALSE)/VLOOKUP(Vertailu[[#This Row],[Y-tunnus]],'1.2 Ohjaus-laskentataulu'!A:AT,COLUMN('1.2 Ohjaus-laskentataulu'!AR:AR),FALSE),0)</f>
        <v>0.7193339009073908</v>
      </c>
      <c r="G106" s="299">
        <f>IFERROR(VLOOKUP(Vertailu[[#This Row],[Y-tunnus]],'1.2 Ohjaus-laskentataulu'!A:AT,COLUMN('1.2 Ohjaus-laskentataulu'!AP:AP),FALSE)/VLOOKUP(Vertailu[[#This Row],[Y-tunnus]],'1.2 Ohjaus-laskentataulu'!A:AT,COLUMN('1.2 Ohjaus-laskentataulu'!AR:AR),FALSE),0)</f>
        <v>0.15651582294600042</v>
      </c>
      <c r="H106" s="22">
        <f>IFERROR(VLOOKUP(Vertailu[[#This Row],[Y-tunnus]],'1.2 Ohjaus-laskentataulu'!A:AT,COLUMN('1.2 Ohjaus-laskentataulu'!AQ:AQ),FALSE)/VLOOKUP(Vertailu[[#This Row],[Y-tunnus]],'1.2 Ohjaus-laskentataulu'!A:AT,COLUMN('1.2 Ohjaus-laskentataulu'!AR:AR),FALSE),0)</f>
        <v>0.12415027614660874</v>
      </c>
      <c r="I106" s="19">
        <f>IFERROR(VLOOKUP(Vertailu[[#This Row],[Y-tunnus]],'1.2 Ohjaus-laskentataulu'!A:AT,COLUMN('1.2 Ohjaus-laskentataulu'!R:R),FALSE)/VLOOKUP(Vertailu[[#This Row],[Y-tunnus]],'1.2 Ohjaus-laskentataulu'!A:AT,COLUMN('1.2 Ohjaus-laskentataulu'!AR:AR),FALSE),0)</f>
        <v>0.11377094748484649</v>
      </c>
      <c r="J106" s="19">
        <f>IFERROR(VLOOKUP(Vertailu[[#This Row],[Y-tunnus]],'1.2 Ohjaus-laskentataulu'!A:AT,COLUMN('1.2 Ohjaus-laskentataulu'!U:U),FALSE)/VLOOKUP(Vertailu[[#This Row],[Y-tunnus]],'1.2 Ohjaus-laskentataulu'!A:AT,COLUMN('1.2 Ohjaus-laskentataulu'!AR:AR),FALSE),0)</f>
        <v>1.0154482015906626E-2</v>
      </c>
      <c r="K106" s="46">
        <f>IFERROR(VLOOKUP(Vertailu[[#This Row],[Y-tunnus]],'1.2 Ohjaus-laskentataulu'!A:AT,COLUMN('1.2 Ohjaus-laskentataulu'!X:X),FALSE)/VLOOKUP(Vertailu[[#This Row],[Y-tunnus]],'1.2 Ohjaus-laskentataulu'!A:AT,COLUMN('1.2 Ohjaus-laskentataulu'!AR:AR),FALSE),0)</f>
        <v>2.2484664585561788E-4</v>
      </c>
      <c r="L106" s="21">
        <f>IFERROR(VLOOKUP(Vertailu[[#This Row],[Y-tunnus]],'3.2 Suoritepäätös 2019'!$A:$S,COLUMN('3.2 Suoritepäätös 2019'!Q:Q),FALSE)-VLOOKUP(Vertailu[[#This Row],[Y-tunnus]],'3.2 Suoritepäätös 2019'!$A:$S,COLUMN('3.2 Suoritepäätös 2019'!L:L),FALSE),0)</f>
        <v>1219750</v>
      </c>
      <c r="M106" s="21">
        <f>IFERROR(VLOOKUP(Vertailu[[#This Row],[Y-tunnus]],'1.2 Ohjaus-laskentataulu'!A:AT,COLUMN('1.2 Ohjaus-laskentataulu'!Z:Z),FALSE),0)</f>
        <v>1374270</v>
      </c>
      <c r="N106" s="21">
        <f>IFERROR(Vertailu[[#This Row],[Rahoitus pl. hark. kor. 2020 ilman alv, €]]-Vertailu[[#This Row],[Rahoitus pl. hark. kor. 2019 ilman alv, €]],0)</f>
        <v>154520</v>
      </c>
      <c r="O106" s="46">
        <f>IFERROR(Vertailu[[#This Row],[Muutos, € 1]]/Vertailu[[#This Row],[Rahoitus pl. hark. kor. 2019 ilman alv, €]],0)</f>
        <v>0.12668169706907154</v>
      </c>
      <c r="P106" s="217">
        <f>IFERROR(VLOOKUP(Vertailu[[#This Row],[Y-tunnus]],'3.2 Suoritepäätös 2019'!$A:$S,COLUMN('3.2 Suoritepäätös 2019'!Q:Q),FALSE),0)</f>
        <v>1219750</v>
      </c>
      <c r="Q106" s="243">
        <f>IFERROR(VLOOKUP(Vertailu[[#This Row],[Y-tunnus]],'1.2 Ohjaus-laskentataulu'!A:AT,COLUMN('1.2 Ohjaus-laskentataulu'!AR:AR),FALSE),0)</f>
        <v>1374270</v>
      </c>
      <c r="R106" s="21">
        <f>IFERROR(Vertailu[[#This Row],[Rahoitus ml. hark. kor. 
2020 ilman alv, €]]-Vertailu[[#This Row],[Rahoitus ml. hark. kor. 
2019 ilman alv, €]],0)</f>
        <v>154520</v>
      </c>
      <c r="S106" s="19">
        <f>IFERROR(Vertailu[[#This Row],[Muutos, € 2]]/Vertailu[[#This Row],[Rahoitus ml. hark. kor. 
2019 ilman alv, €]],0)</f>
        <v>0.12668169706907154</v>
      </c>
      <c r="T106" s="243">
        <f>IFERROR(VLOOKUP(Vertailu[[#This Row],[Y-tunnus]],'3.2 Suoritepäätös 2019'!$A:$S,COLUMN('3.2 Suoritepäätös 2019'!Q:Q),FALSE)+VLOOKUP(Vertailu[[#This Row],[Y-tunnus]],'3.2 Suoritepäätös 2019'!$A:$S,COLUMN('3.2 Suoritepäätös 2019'!R:R),FALSE),0)</f>
        <v>1283700</v>
      </c>
      <c r="U106" s="217">
        <f>IFERROR(VLOOKUP(Vertailu[[#This Row],[Y-tunnus]],'1.2 Ohjaus-laskentataulu'!A:AT,COLUMN('1.2 Ohjaus-laskentataulu'!AT:AT),FALSE),0)</f>
        <v>1422544</v>
      </c>
      <c r="V106" s="249">
        <f>IFERROR(Vertailu[[#This Row],[Rahoitus ml. hark. kor. + alv 2020, €]]-Vertailu[[#This Row],[Rahoitus ml. hark. kor. + alv 2019, €]],0)</f>
        <v>138844</v>
      </c>
      <c r="W106" s="46">
        <f>IFERROR(Vertailu[[#This Row],[Muutos, € 3]]/Vertailu[[#This Row],[Rahoitus ml. hark. kor. + alv 2019, €]],0)</f>
        <v>0.10815922723377737</v>
      </c>
    </row>
    <row r="107" spans="1:23" ht="12.75" customHeight="1" x14ac:dyDescent="0.25">
      <c r="A107" s="12" t="s">
        <v>303</v>
      </c>
      <c r="B107" s="297" t="s">
        <v>111</v>
      </c>
      <c r="C107" s="297" t="s">
        <v>254</v>
      </c>
      <c r="D107" s="297" t="s">
        <v>422</v>
      </c>
      <c r="E107" s="22">
        <f>IFERROR(VLOOKUP(Vertailu[[#This Row],[Y-tunnus]],'1.2 Ohjaus-laskentataulu'!A:AT,COLUMN('1.2 Ohjaus-laskentataulu'!L:L),FALSE)/VLOOKUP(Vertailu[[#This Row],[Y-tunnus]],'1.2 Ohjaus-laskentataulu'!A:AT,COLUMN('1.2 Ohjaus-laskentataulu'!AR:AR),FALSE),0)</f>
        <v>0.61289160281706512</v>
      </c>
      <c r="F107" s="46">
        <f>IFERROR(VLOOKUP(Vertailu[[#This Row],[Y-tunnus]],'1.2 Ohjaus-laskentataulu'!A:AT,COLUMN('1.2 Ohjaus-laskentataulu'!AO:AO),FALSE)/VLOOKUP(Vertailu[[#This Row],[Y-tunnus]],'1.2 Ohjaus-laskentataulu'!A:AT,COLUMN('1.2 Ohjaus-laskentataulu'!AR:AR),FALSE),0)</f>
        <v>0.61790203453590375</v>
      </c>
      <c r="G107" s="299">
        <f>IFERROR(VLOOKUP(Vertailu[[#This Row],[Y-tunnus]],'1.2 Ohjaus-laskentataulu'!A:AT,COLUMN('1.2 Ohjaus-laskentataulu'!AP:AP),FALSE)/VLOOKUP(Vertailu[[#This Row],[Y-tunnus]],'1.2 Ohjaus-laskentataulu'!A:AT,COLUMN('1.2 Ohjaus-laskentataulu'!AR:AR),FALSE),0)</f>
        <v>0.2401700340108105</v>
      </c>
      <c r="H107" s="22">
        <f>IFERROR(VLOOKUP(Vertailu[[#This Row],[Y-tunnus]],'1.2 Ohjaus-laskentataulu'!A:AT,COLUMN('1.2 Ohjaus-laskentataulu'!AQ:AQ),FALSE)/VLOOKUP(Vertailu[[#This Row],[Y-tunnus]],'1.2 Ohjaus-laskentataulu'!A:AT,COLUMN('1.2 Ohjaus-laskentataulu'!AR:AR),FALSE),0)</f>
        <v>0.14192793145328575</v>
      </c>
      <c r="I107" s="19">
        <f>IFERROR(VLOOKUP(Vertailu[[#This Row],[Y-tunnus]],'1.2 Ohjaus-laskentataulu'!A:AT,COLUMN('1.2 Ohjaus-laskentataulu'!R:R),FALSE)/VLOOKUP(Vertailu[[#This Row],[Y-tunnus]],'1.2 Ohjaus-laskentataulu'!A:AT,COLUMN('1.2 Ohjaus-laskentataulu'!AR:AR),FALSE),0)</f>
        <v>0.10280848476528132</v>
      </c>
      <c r="J107" s="19">
        <f>IFERROR(VLOOKUP(Vertailu[[#This Row],[Y-tunnus]],'1.2 Ohjaus-laskentataulu'!A:AT,COLUMN('1.2 Ohjaus-laskentataulu'!U:U),FALSE)/VLOOKUP(Vertailu[[#This Row],[Y-tunnus]],'1.2 Ohjaus-laskentataulu'!A:AT,COLUMN('1.2 Ohjaus-laskentataulu'!AR:AR),FALSE),0)</f>
        <v>1.004366090199796E-2</v>
      </c>
      <c r="K107" s="46">
        <f>IFERROR(VLOOKUP(Vertailu[[#This Row],[Y-tunnus]],'1.2 Ohjaus-laskentataulu'!A:AT,COLUMN('1.2 Ohjaus-laskentataulu'!X:X),FALSE)/VLOOKUP(Vertailu[[#This Row],[Y-tunnus]],'1.2 Ohjaus-laskentataulu'!A:AT,COLUMN('1.2 Ohjaus-laskentataulu'!AR:AR),FALSE),0)</f>
        <v>2.9075785786006465E-2</v>
      </c>
      <c r="L107" s="21">
        <f>IFERROR(VLOOKUP(Vertailu[[#This Row],[Y-tunnus]],'3.2 Suoritepäätös 2019'!$A:$S,COLUMN('3.2 Suoritepäätös 2019'!Q:Q),FALSE)-VLOOKUP(Vertailu[[#This Row],[Y-tunnus]],'3.2 Suoritepäätös 2019'!$A:$S,COLUMN('3.2 Suoritepäätös 2019'!L:L),FALSE),0)</f>
        <v>14438245</v>
      </c>
      <c r="M107" s="21">
        <f>IFERROR(VLOOKUP(Vertailu[[#This Row],[Y-tunnus]],'1.2 Ohjaus-laskentataulu'!A:AT,COLUMN('1.2 Ohjaus-laskentataulu'!Z:Z),FALSE),0)</f>
        <v>15886688</v>
      </c>
      <c r="N107" s="21">
        <f>IFERROR(Vertailu[[#This Row],[Rahoitus pl. hark. kor. 2020 ilman alv, €]]-Vertailu[[#This Row],[Rahoitus pl. hark. kor. 2019 ilman alv, €]],0)</f>
        <v>1448443</v>
      </c>
      <c r="O107" s="46">
        <f>IFERROR(Vertailu[[#This Row],[Muutos, € 1]]/Vertailu[[#This Row],[Rahoitus pl. hark. kor. 2019 ilman alv, €]],0)</f>
        <v>0.10031987959755496</v>
      </c>
      <c r="P107" s="217">
        <f>IFERROR(VLOOKUP(Vertailu[[#This Row],[Y-tunnus]],'3.2 Suoritepäätös 2019'!$A:$S,COLUMN('3.2 Suoritepäätös 2019'!Q:Q),FALSE),0)</f>
        <v>14438245</v>
      </c>
      <c r="Q107" s="243">
        <f>IFERROR(VLOOKUP(Vertailu[[#This Row],[Y-tunnus]],'1.2 Ohjaus-laskentataulu'!A:AT,COLUMN('1.2 Ohjaus-laskentataulu'!AR:AR),FALSE),0)</f>
        <v>15966688</v>
      </c>
      <c r="R107" s="21">
        <f>IFERROR(Vertailu[[#This Row],[Rahoitus ml. hark. kor. 
2020 ilman alv, €]]-Vertailu[[#This Row],[Rahoitus ml. hark. kor. 
2019 ilman alv, €]],0)</f>
        <v>1528443</v>
      </c>
      <c r="S107" s="19">
        <f>IFERROR(Vertailu[[#This Row],[Muutos, € 2]]/Vertailu[[#This Row],[Rahoitus ml. hark. kor. 
2019 ilman alv, €]],0)</f>
        <v>0.10586071922176137</v>
      </c>
      <c r="T107" s="243">
        <f>IFERROR(VLOOKUP(Vertailu[[#This Row],[Y-tunnus]],'3.2 Suoritepäätös 2019'!$A:$S,COLUMN('3.2 Suoritepäätös 2019'!Q:Q),FALSE)+VLOOKUP(Vertailu[[#This Row],[Y-tunnus]],'3.2 Suoritepäätös 2019'!$A:$S,COLUMN('3.2 Suoritepäätös 2019'!R:R),FALSE),0)</f>
        <v>14438245</v>
      </c>
      <c r="U107" s="217">
        <f>IFERROR(VLOOKUP(Vertailu[[#This Row],[Y-tunnus]],'1.2 Ohjaus-laskentataulu'!A:AT,COLUMN('1.2 Ohjaus-laskentataulu'!AT:AT),FALSE),0)</f>
        <v>15966688</v>
      </c>
      <c r="V107" s="249">
        <f>IFERROR(Vertailu[[#This Row],[Rahoitus ml. hark. kor. + alv 2020, €]]-Vertailu[[#This Row],[Rahoitus ml. hark. kor. + alv 2019, €]],0)</f>
        <v>1528443</v>
      </c>
      <c r="W107" s="46">
        <f>IFERROR(Vertailu[[#This Row],[Muutos, € 3]]/Vertailu[[#This Row],[Rahoitus ml. hark. kor. + alv 2019, €]],0)</f>
        <v>0.10586071922176137</v>
      </c>
    </row>
    <row r="108" spans="1:23" ht="12.75" customHeight="1" x14ac:dyDescent="0.25">
      <c r="A108" s="12" t="s">
        <v>302</v>
      </c>
      <c r="B108" s="297" t="s">
        <v>112</v>
      </c>
      <c r="C108" s="297" t="s">
        <v>238</v>
      </c>
      <c r="D108" s="297" t="s">
        <v>423</v>
      </c>
      <c r="E108" s="22">
        <f>IFERROR(VLOOKUP(Vertailu[[#This Row],[Y-tunnus]],'1.2 Ohjaus-laskentataulu'!A:AT,COLUMN('1.2 Ohjaus-laskentataulu'!L:L),FALSE)/VLOOKUP(Vertailu[[#This Row],[Y-tunnus]],'1.2 Ohjaus-laskentataulu'!A:AT,COLUMN('1.2 Ohjaus-laskentataulu'!AR:AR),FALSE),0)</f>
        <v>0.58413961329212538</v>
      </c>
      <c r="F108" s="46">
        <f>IFERROR(VLOOKUP(Vertailu[[#This Row],[Y-tunnus]],'1.2 Ohjaus-laskentataulu'!A:AT,COLUMN('1.2 Ohjaus-laskentataulu'!AO:AO),FALSE)/VLOOKUP(Vertailu[[#This Row],[Y-tunnus]],'1.2 Ohjaus-laskentataulu'!A:AT,COLUMN('1.2 Ohjaus-laskentataulu'!AR:AR),FALSE),0)</f>
        <v>0.58413961329212538</v>
      </c>
      <c r="G108" s="299">
        <f>IFERROR(VLOOKUP(Vertailu[[#This Row],[Y-tunnus]],'1.2 Ohjaus-laskentataulu'!A:AT,COLUMN('1.2 Ohjaus-laskentataulu'!AP:AP),FALSE)/VLOOKUP(Vertailu[[#This Row],[Y-tunnus]],'1.2 Ohjaus-laskentataulu'!A:AT,COLUMN('1.2 Ohjaus-laskentataulu'!AR:AR),FALSE),0)</f>
        <v>0.25600495517355881</v>
      </c>
      <c r="H108" s="22">
        <f>IFERROR(VLOOKUP(Vertailu[[#This Row],[Y-tunnus]],'1.2 Ohjaus-laskentataulu'!A:AT,COLUMN('1.2 Ohjaus-laskentataulu'!AQ:AQ),FALSE)/VLOOKUP(Vertailu[[#This Row],[Y-tunnus]],'1.2 Ohjaus-laskentataulu'!A:AT,COLUMN('1.2 Ohjaus-laskentataulu'!AR:AR),FALSE),0)</f>
        <v>0.15985543153431586</v>
      </c>
      <c r="I108" s="19">
        <f>IFERROR(VLOOKUP(Vertailu[[#This Row],[Y-tunnus]],'1.2 Ohjaus-laskentataulu'!A:AT,COLUMN('1.2 Ohjaus-laskentataulu'!R:R),FALSE)/VLOOKUP(Vertailu[[#This Row],[Y-tunnus]],'1.2 Ohjaus-laskentataulu'!A:AT,COLUMN('1.2 Ohjaus-laskentataulu'!AR:AR),FALSE),0)</f>
        <v>0.10559628106561773</v>
      </c>
      <c r="J108" s="19">
        <f>IFERROR(VLOOKUP(Vertailu[[#This Row],[Y-tunnus]],'1.2 Ohjaus-laskentataulu'!A:AT,COLUMN('1.2 Ohjaus-laskentataulu'!U:U),FALSE)/VLOOKUP(Vertailu[[#This Row],[Y-tunnus]],'1.2 Ohjaus-laskentataulu'!A:AT,COLUMN('1.2 Ohjaus-laskentataulu'!AR:AR),FALSE),0)</f>
        <v>1.4732701591274808E-2</v>
      </c>
      <c r="K108" s="46">
        <f>IFERROR(VLOOKUP(Vertailu[[#This Row],[Y-tunnus]],'1.2 Ohjaus-laskentataulu'!A:AT,COLUMN('1.2 Ohjaus-laskentataulu'!X:X),FALSE)/VLOOKUP(Vertailu[[#This Row],[Y-tunnus]],'1.2 Ohjaus-laskentataulu'!A:AT,COLUMN('1.2 Ohjaus-laskentataulu'!AR:AR),FALSE),0)</f>
        <v>3.9526448877423306E-2</v>
      </c>
      <c r="L108" s="21">
        <f>IFERROR(VLOOKUP(Vertailu[[#This Row],[Y-tunnus]],'3.2 Suoritepäätös 2019'!$A:$S,COLUMN('3.2 Suoritepäätös 2019'!Q:Q),FALSE)-VLOOKUP(Vertailu[[#This Row],[Y-tunnus]],'3.2 Suoritepäätös 2019'!$A:$S,COLUMN('3.2 Suoritepäätös 2019'!L:L),FALSE),0)</f>
        <v>479380</v>
      </c>
      <c r="M108" s="21">
        <f>IFERROR(VLOOKUP(Vertailu[[#This Row],[Y-tunnus]],'1.2 Ohjaus-laskentataulu'!A:AT,COLUMN('1.2 Ohjaus-laskentataulu'!Z:Z),FALSE),0)</f>
        <v>783020</v>
      </c>
      <c r="N108" s="21">
        <f>IFERROR(Vertailu[[#This Row],[Rahoitus pl. hark. kor. 2020 ilman alv, €]]-Vertailu[[#This Row],[Rahoitus pl. hark. kor. 2019 ilman alv, €]],0)</f>
        <v>303640</v>
      </c>
      <c r="O108" s="46">
        <f>IFERROR(Vertailu[[#This Row],[Muutos, € 1]]/Vertailu[[#This Row],[Rahoitus pl. hark. kor. 2019 ilman alv, €]],0)</f>
        <v>0.63340147690767246</v>
      </c>
      <c r="P108" s="217">
        <f>IFERROR(VLOOKUP(Vertailu[[#This Row],[Y-tunnus]],'3.2 Suoritepäätös 2019'!$A:$S,COLUMN('3.2 Suoritepäätös 2019'!Q:Q),FALSE),0)</f>
        <v>579380</v>
      </c>
      <c r="Q108" s="243">
        <f>IFERROR(VLOOKUP(Vertailu[[#This Row],[Y-tunnus]],'1.2 Ohjaus-laskentataulu'!A:AT,COLUMN('1.2 Ohjaus-laskentataulu'!AR:AR),FALSE),0)</f>
        <v>783020</v>
      </c>
      <c r="R108" s="21">
        <f>IFERROR(Vertailu[[#This Row],[Rahoitus ml. hark. kor. 
2020 ilman alv, €]]-Vertailu[[#This Row],[Rahoitus ml. hark. kor. 
2019 ilman alv, €]],0)</f>
        <v>203640</v>
      </c>
      <c r="S108" s="19">
        <f>IFERROR(Vertailu[[#This Row],[Muutos, € 2]]/Vertailu[[#This Row],[Rahoitus ml. hark. kor. 
2019 ilman alv, €]],0)</f>
        <v>0.35147916738582624</v>
      </c>
      <c r="T108" s="243">
        <f>IFERROR(VLOOKUP(Vertailu[[#This Row],[Y-tunnus]],'3.2 Suoritepäätös 2019'!$A:$S,COLUMN('3.2 Suoritepäätös 2019'!Q:Q),FALSE)+VLOOKUP(Vertailu[[#This Row],[Y-tunnus]],'3.2 Suoritepäätös 2019'!$A:$S,COLUMN('3.2 Suoritepäätös 2019'!R:R),FALSE),0)</f>
        <v>611324</v>
      </c>
      <c r="U108" s="217">
        <f>IFERROR(VLOOKUP(Vertailu[[#This Row],[Y-tunnus]],'1.2 Ohjaus-laskentataulu'!A:AT,COLUMN('1.2 Ohjaus-laskentataulu'!AT:AT),FALSE),0)</f>
        <v>938515</v>
      </c>
      <c r="V108" s="249">
        <f>IFERROR(Vertailu[[#This Row],[Rahoitus ml. hark. kor. + alv 2020, €]]-Vertailu[[#This Row],[Rahoitus ml. hark. kor. + alv 2019, €]],0)</f>
        <v>327191</v>
      </c>
      <c r="W108" s="46">
        <f>IFERROR(Vertailu[[#This Row],[Muutos, € 3]]/Vertailu[[#This Row],[Rahoitus ml. hark. kor. + alv 2019, €]],0)</f>
        <v>0.53521700440355691</v>
      </c>
    </row>
    <row r="109" spans="1:23" ht="12.75" customHeight="1" x14ac:dyDescent="0.25">
      <c r="A109" s="12" t="s">
        <v>301</v>
      </c>
      <c r="B109" s="297" t="s">
        <v>114</v>
      </c>
      <c r="C109" s="297" t="s">
        <v>246</v>
      </c>
      <c r="D109" s="297" t="s">
        <v>423</v>
      </c>
      <c r="E109" s="22">
        <f>IFERROR(VLOOKUP(Vertailu[[#This Row],[Y-tunnus]],'1.2 Ohjaus-laskentataulu'!A:AT,COLUMN('1.2 Ohjaus-laskentataulu'!L:L),FALSE)/VLOOKUP(Vertailu[[#This Row],[Y-tunnus]],'1.2 Ohjaus-laskentataulu'!A:AT,COLUMN('1.2 Ohjaus-laskentataulu'!AR:AR),FALSE),0)</f>
        <v>0.57666025782456587</v>
      </c>
      <c r="F109" s="46">
        <f>IFERROR(VLOOKUP(Vertailu[[#This Row],[Y-tunnus]],'1.2 Ohjaus-laskentataulu'!A:AT,COLUMN('1.2 Ohjaus-laskentataulu'!AO:AO),FALSE)/VLOOKUP(Vertailu[[#This Row],[Y-tunnus]],'1.2 Ohjaus-laskentataulu'!A:AT,COLUMN('1.2 Ohjaus-laskentataulu'!AR:AR),FALSE),0)</f>
        <v>0.57666025782456587</v>
      </c>
      <c r="G109" s="299">
        <f>IFERROR(VLOOKUP(Vertailu[[#This Row],[Y-tunnus]],'1.2 Ohjaus-laskentataulu'!A:AT,COLUMN('1.2 Ohjaus-laskentataulu'!AP:AP),FALSE)/VLOOKUP(Vertailu[[#This Row],[Y-tunnus]],'1.2 Ohjaus-laskentataulu'!A:AT,COLUMN('1.2 Ohjaus-laskentataulu'!AR:AR),FALSE),0)</f>
        <v>0.21107889179563147</v>
      </c>
      <c r="H109" s="22">
        <f>IFERROR(VLOOKUP(Vertailu[[#This Row],[Y-tunnus]],'1.2 Ohjaus-laskentataulu'!A:AT,COLUMN('1.2 Ohjaus-laskentataulu'!AQ:AQ),FALSE)/VLOOKUP(Vertailu[[#This Row],[Y-tunnus]],'1.2 Ohjaus-laskentataulu'!A:AT,COLUMN('1.2 Ohjaus-laskentataulu'!AR:AR),FALSE),0)</f>
        <v>0.21226085037980269</v>
      </c>
      <c r="I109" s="19">
        <f>IFERROR(VLOOKUP(Vertailu[[#This Row],[Y-tunnus]],'1.2 Ohjaus-laskentataulu'!A:AT,COLUMN('1.2 Ohjaus-laskentataulu'!R:R),FALSE)/VLOOKUP(Vertailu[[#This Row],[Y-tunnus]],'1.2 Ohjaus-laskentataulu'!A:AT,COLUMN('1.2 Ohjaus-laskentataulu'!AR:AR),FALSE),0)</f>
        <v>0.15548901566489109</v>
      </c>
      <c r="J109" s="19">
        <f>IFERROR(VLOOKUP(Vertailu[[#This Row],[Y-tunnus]],'1.2 Ohjaus-laskentataulu'!A:AT,COLUMN('1.2 Ohjaus-laskentataulu'!U:U),FALSE)/VLOOKUP(Vertailu[[#This Row],[Y-tunnus]],'1.2 Ohjaus-laskentataulu'!A:AT,COLUMN('1.2 Ohjaus-laskentataulu'!AR:AR),FALSE),0)</f>
        <v>6.6977653103035273E-3</v>
      </c>
      <c r="K109" s="46">
        <f>IFERROR(VLOOKUP(Vertailu[[#This Row],[Y-tunnus]],'1.2 Ohjaus-laskentataulu'!A:AT,COLUMN('1.2 Ohjaus-laskentataulu'!X:X),FALSE)/VLOOKUP(Vertailu[[#This Row],[Y-tunnus]],'1.2 Ohjaus-laskentataulu'!A:AT,COLUMN('1.2 Ohjaus-laskentataulu'!AR:AR),FALSE),0)</f>
        <v>5.0074069404608061E-2</v>
      </c>
      <c r="L109" s="21">
        <f>IFERROR(VLOOKUP(Vertailu[[#This Row],[Y-tunnus]],'3.2 Suoritepäätös 2019'!$A:$S,COLUMN('3.2 Suoritepäätös 2019'!Q:Q),FALSE)-VLOOKUP(Vertailu[[#This Row],[Y-tunnus]],'3.2 Suoritepäätös 2019'!$A:$S,COLUMN('3.2 Suoritepäätös 2019'!L:L),FALSE),0)</f>
        <v>236476</v>
      </c>
      <c r="M109" s="21">
        <f>IFERROR(VLOOKUP(Vertailu[[#This Row],[Y-tunnus]],'1.2 Ohjaus-laskentataulu'!A:AT,COLUMN('1.2 Ohjaus-laskentataulu'!Z:Z),FALSE),0)</f>
        <v>317270</v>
      </c>
      <c r="N109" s="21">
        <f>IFERROR(Vertailu[[#This Row],[Rahoitus pl. hark. kor. 2020 ilman alv, €]]-Vertailu[[#This Row],[Rahoitus pl. hark. kor. 2019 ilman alv, €]],0)</f>
        <v>80794</v>
      </c>
      <c r="O109" s="46">
        <f>IFERROR(Vertailu[[#This Row],[Muutos, € 1]]/Vertailu[[#This Row],[Rahoitus pl. hark. kor. 2019 ilman alv, €]],0)</f>
        <v>0.34165835010741047</v>
      </c>
      <c r="P109" s="217">
        <f>IFERROR(VLOOKUP(Vertailu[[#This Row],[Y-tunnus]],'3.2 Suoritepäätös 2019'!$A:$S,COLUMN('3.2 Suoritepäätös 2019'!Q:Q),FALSE),0)</f>
        <v>236476</v>
      </c>
      <c r="Q109" s="243">
        <f>IFERROR(VLOOKUP(Vertailu[[#This Row],[Y-tunnus]],'1.2 Ohjaus-laskentataulu'!A:AT,COLUMN('1.2 Ohjaus-laskentataulu'!AR:AR),FALSE),0)</f>
        <v>317270</v>
      </c>
      <c r="R109" s="21">
        <f>IFERROR(Vertailu[[#This Row],[Rahoitus ml. hark. kor. 
2020 ilman alv, €]]-Vertailu[[#This Row],[Rahoitus ml. hark. kor. 
2019 ilman alv, €]],0)</f>
        <v>80794</v>
      </c>
      <c r="S109" s="19">
        <f>IFERROR(Vertailu[[#This Row],[Muutos, € 2]]/Vertailu[[#This Row],[Rahoitus ml. hark. kor. 
2019 ilman alv, €]],0)</f>
        <v>0.34165835010741047</v>
      </c>
      <c r="T109" s="243">
        <f>IFERROR(VLOOKUP(Vertailu[[#This Row],[Y-tunnus]],'3.2 Suoritepäätös 2019'!$A:$S,COLUMN('3.2 Suoritepäätös 2019'!Q:Q),FALSE)+VLOOKUP(Vertailu[[#This Row],[Y-tunnus]],'3.2 Suoritepäätös 2019'!$A:$S,COLUMN('3.2 Suoritepäätös 2019'!R:R),FALSE),0)</f>
        <v>249147</v>
      </c>
      <c r="U109" s="217">
        <f>IFERROR(VLOOKUP(Vertailu[[#This Row],[Y-tunnus]],'1.2 Ohjaus-laskentataulu'!A:AT,COLUMN('1.2 Ohjaus-laskentataulu'!AT:AT),FALSE),0)</f>
        <v>324996</v>
      </c>
      <c r="V109" s="249">
        <f>IFERROR(Vertailu[[#This Row],[Rahoitus ml. hark. kor. + alv 2020, €]]-Vertailu[[#This Row],[Rahoitus ml. hark. kor. + alv 2019, €]],0)</f>
        <v>75849</v>
      </c>
      <c r="W109" s="46">
        <f>IFERROR(Vertailu[[#This Row],[Muutos, € 3]]/Vertailu[[#This Row],[Rahoitus ml. hark. kor. + alv 2019, €]],0)</f>
        <v>0.30443473130320653</v>
      </c>
    </row>
    <row r="110" spans="1:23" ht="12.75" customHeight="1" x14ac:dyDescent="0.25">
      <c r="A110" s="12" t="s">
        <v>298</v>
      </c>
      <c r="B110" s="297" t="s">
        <v>115</v>
      </c>
      <c r="C110" s="297" t="s">
        <v>296</v>
      </c>
      <c r="D110" s="297" t="s">
        <v>423</v>
      </c>
      <c r="E110" s="22">
        <f>IFERROR(VLOOKUP(Vertailu[[#This Row],[Y-tunnus]],'1.2 Ohjaus-laskentataulu'!A:AT,COLUMN('1.2 Ohjaus-laskentataulu'!L:L),FALSE)/VLOOKUP(Vertailu[[#This Row],[Y-tunnus]],'1.2 Ohjaus-laskentataulu'!A:AT,COLUMN('1.2 Ohjaus-laskentataulu'!AR:AR),FALSE),0)</f>
        <v>0.65467777683525497</v>
      </c>
      <c r="F110" s="46">
        <f>IFERROR(VLOOKUP(Vertailu[[#This Row],[Y-tunnus]],'1.2 Ohjaus-laskentataulu'!A:AT,COLUMN('1.2 Ohjaus-laskentataulu'!AO:AO),FALSE)/VLOOKUP(Vertailu[[#This Row],[Y-tunnus]],'1.2 Ohjaus-laskentataulu'!A:AT,COLUMN('1.2 Ohjaus-laskentataulu'!AR:AR),FALSE),0)</f>
        <v>0.66120293458094348</v>
      </c>
      <c r="G110" s="299">
        <f>IFERROR(VLOOKUP(Vertailu[[#This Row],[Y-tunnus]],'1.2 Ohjaus-laskentataulu'!A:AT,COLUMN('1.2 Ohjaus-laskentataulu'!AP:AP),FALSE)/VLOOKUP(Vertailu[[#This Row],[Y-tunnus]],'1.2 Ohjaus-laskentataulu'!A:AT,COLUMN('1.2 Ohjaus-laskentataulu'!AR:AR),FALSE),0)</f>
        <v>0.18072511902975255</v>
      </c>
      <c r="H110" s="22">
        <f>IFERROR(VLOOKUP(Vertailu[[#This Row],[Y-tunnus]],'1.2 Ohjaus-laskentataulu'!A:AT,COLUMN('1.2 Ohjaus-laskentataulu'!AQ:AQ),FALSE)/VLOOKUP(Vertailu[[#This Row],[Y-tunnus]],'1.2 Ohjaus-laskentataulu'!A:AT,COLUMN('1.2 Ohjaus-laskentataulu'!AR:AR),FALSE),0)</f>
        <v>0.15807194638930397</v>
      </c>
      <c r="I110" s="19">
        <f>IFERROR(VLOOKUP(Vertailu[[#This Row],[Y-tunnus]],'1.2 Ohjaus-laskentataulu'!A:AT,COLUMN('1.2 Ohjaus-laskentataulu'!R:R),FALSE)/VLOOKUP(Vertailu[[#This Row],[Y-tunnus]],'1.2 Ohjaus-laskentataulu'!A:AT,COLUMN('1.2 Ohjaus-laskentataulu'!AR:AR),FALSE),0)</f>
        <v>0.11160412302967425</v>
      </c>
      <c r="J110" s="19">
        <f>IFERROR(VLOOKUP(Vertailu[[#This Row],[Y-tunnus]],'1.2 Ohjaus-laskentataulu'!A:AT,COLUMN('1.2 Ohjaus-laskentataulu'!U:U),FALSE)/VLOOKUP(Vertailu[[#This Row],[Y-tunnus]],'1.2 Ohjaus-laskentataulu'!A:AT,COLUMN('1.2 Ohjaus-laskentataulu'!AR:AR),FALSE),0)</f>
        <v>1.2469576452010727E-2</v>
      </c>
      <c r="K110" s="46">
        <f>IFERROR(VLOOKUP(Vertailu[[#This Row],[Y-tunnus]],'1.2 Ohjaus-laskentataulu'!A:AT,COLUMN('1.2 Ohjaus-laskentataulu'!X:X),FALSE)/VLOOKUP(Vertailu[[#This Row],[Y-tunnus]],'1.2 Ohjaus-laskentataulu'!A:AT,COLUMN('1.2 Ohjaus-laskentataulu'!AR:AR),FALSE),0)</f>
        <v>3.399824690761899E-2</v>
      </c>
      <c r="L110" s="21">
        <f>IFERROR(VLOOKUP(Vertailu[[#This Row],[Y-tunnus]],'3.2 Suoritepäätös 2019'!$A:$S,COLUMN('3.2 Suoritepäätös 2019'!Q:Q),FALSE)-VLOOKUP(Vertailu[[#This Row],[Y-tunnus]],'3.2 Suoritepäätös 2019'!$A:$S,COLUMN('3.2 Suoritepäätös 2019'!L:L),FALSE),0)</f>
        <v>460663</v>
      </c>
      <c r="M110" s="21">
        <f>IFERROR(VLOOKUP(Vertailu[[#This Row],[Y-tunnus]],'1.2 Ohjaus-laskentataulu'!A:AT,COLUMN('1.2 Ohjaus-laskentataulu'!Z:Z),FALSE),0)</f>
        <v>456759</v>
      </c>
      <c r="N110" s="21">
        <f>IFERROR(Vertailu[[#This Row],[Rahoitus pl. hark. kor. 2020 ilman alv, €]]-Vertailu[[#This Row],[Rahoitus pl. hark. kor. 2019 ilman alv, €]],0)</f>
        <v>-3904</v>
      </c>
      <c r="O110" s="46">
        <f>IFERROR(Vertailu[[#This Row],[Muutos, € 1]]/Vertailu[[#This Row],[Rahoitus pl. hark. kor. 2019 ilman alv, €]],0)</f>
        <v>-8.474741839479185E-3</v>
      </c>
      <c r="P110" s="217">
        <f>IFERROR(VLOOKUP(Vertailu[[#This Row],[Y-tunnus]],'3.2 Suoritepäätös 2019'!$A:$S,COLUMN('3.2 Suoritepäätös 2019'!Q:Q),FALSE),0)</f>
        <v>460663</v>
      </c>
      <c r="Q110" s="243">
        <f>IFERROR(VLOOKUP(Vertailu[[#This Row],[Y-tunnus]],'1.2 Ohjaus-laskentataulu'!A:AT,COLUMN('1.2 Ohjaus-laskentataulu'!AR:AR),FALSE),0)</f>
        <v>459759</v>
      </c>
      <c r="R110" s="21">
        <f>IFERROR(Vertailu[[#This Row],[Rahoitus ml. hark. kor. 
2020 ilman alv, €]]-Vertailu[[#This Row],[Rahoitus ml. hark. kor. 
2019 ilman alv, €]],0)</f>
        <v>-904</v>
      </c>
      <c r="S110" s="19">
        <f>IFERROR(Vertailu[[#This Row],[Muutos, € 2]]/Vertailu[[#This Row],[Rahoitus ml. hark. kor. 
2019 ilman alv, €]],0)</f>
        <v>-1.9623889915187458E-3</v>
      </c>
      <c r="T110" s="243">
        <f>IFERROR(VLOOKUP(Vertailu[[#This Row],[Y-tunnus]],'3.2 Suoritepäätös 2019'!$A:$S,COLUMN('3.2 Suoritepäätös 2019'!Q:Q),FALSE)+VLOOKUP(Vertailu[[#This Row],[Y-tunnus]],'3.2 Suoritepäätös 2019'!$A:$S,COLUMN('3.2 Suoritepäätös 2019'!R:R),FALSE),0)</f>
        <v>484633</v>
      </c>
      <c r="U110" s="217">
        <f>IFERROR(VLOOKUP(Vertailu[[#This Row],[Y-tunnus]],'1.2 Ohjaus-laskentataulu'!A:AT,COLUMN('1.2 Ohjaus-laskentataulu'!AT:AT),FALSE),0)</f>
        <v>485736</v>
      </c>
      <c r="V110" s="249">
        <f>IFERROR(Vertailu[[#This Row],[Rahoitus ml. hark. kor. + alv 2020, €]]-Vertailu[[#This Row],[Rahoitus ml. hark. kor. + alv 2019, €]],0)</f>
        <v>1103</v>
      </c>
      <c r="W110" s="46">
        <f>IFERROR(Vertailu[[#This Row],[Muutos, € 3]]/Vertailu[[#This Row],[Rahoitus ml. hark. kor. + alv 2019, €]],0)</f>
        <v>2.2759490170912835E-3</v>
      </c>
    </row>
    <row r="111" spans="1:23" ht="12.75" customHeight="1" x14ac:dyDescent="0.25">
      <c r="A111" s="12" t="s">
        <v>297</v>
      </c>
      <c r="B111" s="297" t="s">
        <v>116</v>
      </c>
      <c r="C111" s="297" t="s">
        <v>296</v>
      </c>
      <c r="D111" s="297" t="s">
        <v>422</v>
      </c>
      <c r="E111" s="22">
        <f>IFERROR(VLOOKUP(Vertailu[[#This Row],[Y-tunnus]],'1.2 Ohjaus-laskentataulu'!A:AT,COLUMN('1.2 Ohjaus-laskentataulu'!L:L),FALSE)/VLOOKUP(Vertailu[[#This Row],[Y-tunnus]],'1.2 Ohjaus-laskentataulu'!A:AT,COLUMN('1.2 Ohjaus-laskentataulu'!AR:AR),FALSE),0)</f>
        <v>0.68477034362586608</v>
      </c>
      <c r="F111" s="46">
        <f>IFERROR(VLOOKUP(Vertailu[[#This Row],[Y-tunnus]],'1.2 Ohjaus-laskentataulu'!A:AT,COLUMN('1.2 Ohjaus-laskentataulu'!AO:AO),FALSE)/VLOOKUP(Vertailu[[#This Row],[Y-tunnus]],'1.2 Ohjaus-laskentataulu'!A:AT,COLUMN('1.2 Ohjaus-laskentataulu'!AR:AR),FALSE),0)</f>
        <v>0.69122228801902075</v>
      </c>
      <c r="G111" s="299">
        <f>IFERROR(VLOOKUP(Vertailu[[#This Row],[Y-tunnus]],'1.2 Ohjaus-laskentataulu'!A:AT,COLUMN('1.2 Ohjaus-laskentataulu'!AP:AP),FALSE)/VLOOKUP(Vertailu[[#This Row],[Y-tunnus]],'1.2 Ohjaus-laskentataulu'!A:AT,COLUMN('1.2 Ohjaus-laskentataulu'!AR:AR),FALSE),0)</f>
        <v>0.19644003410380498</v>
      </c>
      <c r="H111" s="22">
        <f>IFERROR(VLOOKUP(Vertailu[[#This Row],[Y-tunnus]],'1.2 Ohjaus-laskentataulu'!A:AT,COLUMN('1.2 Ohjaus-laskentataulu'!AQ:AQ),FALSE)/VLOOKUP(Vertailu[[#This Row],[Y-tunnus]],'1.2 Ohjaus-laskentataulu'!A:AT,COLUMN('1.2 Ohjaus-laskentataulu'!AR:AR),FALSE),0)</f>
        <v>0.11233767787717422</v>
      </c>
      <c r="I111" s="19">
        <f>IFERROR(VLOOKUP(Vertailu[[#This Row],[Y-tunnus]],'1.2 Ohjaus-laskentataulu'!A:AT,COLUMN('1.2 Ohjaus-laskentataulu'!R:R),FALSE)/VLOOKUP(Vertailu[[#This Row],[Y-tunnus]],'1.2 Ohjaus-laskentataulu'!A:AT,COLUMN('1.2 Ohjaus-laskentataulu'!AR:AR),FALSE),0)</f>
        <v>8.5739038557054309E-2</v>
      </c>
      <c r="J111" s="19">
        <f>IFERROR(VLOOKUP(Vertailu[[#This Row],[Y-tunnus]],'1.2 Ohjaus-laskentataulu'!A:AT,COLUMN('1.2 Ohjaus-laskentataulu'!U:U),FALSE)/VLOOKUP(Vertailu[[#This Row],[Y-tunnus]],'1.2 Ohjaus-laskentataulu'!A:AT,COLUMN('1.2 Ohjaus-laskentataulu'!AR:AR),FALSE),0)</f>
        <v>5.8892761880317132E-3</v>
      </c>
      <c r="K111" s="46">
        <f>IFERROR(VLOOKUP(Vertailu[[#This Row],[Y-tunnus]],'1.2 Ohjaus-laskentataulu'!A:AT,COLUMN('1.2 Ohjaus-laskentataulu'!X:X),FALSE)/VLOOKUP(Vertailu[[#This Row],[Y-tunnus]],'1.2 Ohjaus-laskentataulu'!A:AT,COLUMN('1.2 Ohjaus-laskentataulu'!AR:AR),FALSE),0)</f>
        <v>2.0709363132088193E-2</v>
      </c>
      <c r="L111" s="21">
        <f>IFERROR(VLOOKUP(Vertailu[[#This Row],[Y-tunnus]],'3.2 Suoritepäätös 2019'!$A:$S,COLUMN('3.2 Suoritepäätös 2019'!Q:Q),FALSE)-VLOOKUP(Vertailu[[#This Row],[Y-tunnus]],'3.2 Suoritepäätös 2019'!$A:$S,COLUMN('3.2 Suoritepäätös 2019'!L:L),FALSE),0)</f>
        <v>34319969</v>
      </c>
      <c r="M111" s="21">
        <f>IFERROR(VLOOKUP(Vertailu[[#This Row],[Y-tunnus]],'1.2 Ohjaus-laskentataulu'!A:AT,COLUMN('1.2 Ohjaus-laskentataulu'!Z:Z),FALSE),0)</f>
        <v>33878248</v>
      </c>
      <c r="N111" s="21">
        <f>IFERROR(Vertailu[[#This Row],[Rahoitus pl. hark. kor. 2020 ilman alv, €]]-Vertailu[[#This Row],[Rahoitus pl. hark. kor. 2019 ilman alv, €]],0)</f>
        <v>-441721</v>
      </c>
      <c r="O111" s="46">
        <f>IFERROR(Vertailu[[#This Row],[Muutos, € 1]]/Vertailu[[#This Row],[Rahoitus pl. hark. kor. 2019 ilman alv, €]],0)</f>
        <v>-1.2870670133763815E-2</v>
      </c>
      <c r="P111" s="217">
        <f>IFERROR(VLOOKUP(Vertailu[[#This Row],[Y-tunnus]],'3.2 Suoritepäätös 2019'!$A:$S,COLUMN('3.2 Suoritepäätös 2019'!Q:Q),FALSE),0)</f>
        <v>34409969</v>
      </c>
      <c r="Q111" s="243">
        <f>IFERROR(VLOOKUP(Vertailu[[#This Row],[Y-tunnus]],'1.2 Ohjaus-laskentataulu'!A:AT,COLUMN('1.2 Ohjaus-laskentataulu'!AR:AR),FALSE),0)</f>
        <v>34098248</v>
      </c>
      <c r="R111" s="21">
        <f>IFERROR(Vertailu[[#This Row],[Rahoitus ml. hark. kor. 
2020 ilman alv, €]]-Vertailu[[#This Row],[Rahoitus ml. hark. kor. 
2019 ilman alv, €]],0)</f>
        <v>-311721</v>
      </c>
      <c r="S111" s="19">
        <f>IFERROR(Vertailu[[#This Row],[Muutos, € 2]]/Vertailu[[#This Row],[Rahoitus ml. hark. kor. 
2019 ilman alv, €]],0)</f>
        <v>-9.0590317009585225E-3</v>
      </c>
      <c r="T111" s="243">
        <f>IFERROR(VLOOKUP(Vertailu[[#This Row],[Y-tunnus]],'3.2 Suoritepäätös 2019'!$A:$S,COLUMN('3.2 Suoritepäätös 2019'!Q:Q),FALSE)+VLOOKUP(Vertailu[[#This Row],[Y-tunnus]],'3.2 Suoritepäätös 2019'!$A:$S,COLUMN('3.2 Suoritepäätös 2019'!R:R),FALSE),0)</f>
        <v>34409969</v>
      </c>
      <c r="U111" s="217">
        <f>IFERROR(VLOOKUP(Vertailu[[#This Row],[Y-tunnus]],'1.2 Ohjaus-laskentataulu'!A:AT,COLUMN('1.2 Ohjaus-laskentataulu'!AT:AT),FALSE),0)</f>
        <v>34098248</v>
      </c>
      <c r="V111" s="249">
        <f>IFERROR(Vertailu[[#This Row],[Rahoitus ml. hark. kor. + alv 2020, €]]-Vertailu[[#This Row],[Rahoitus ml. hark. kor. + alv 2019, €]],0)</f>
        <v>-311721</v>
      </c>
      <c r="W111" s="46">
        <f>IFERROR(Vertailu[[#This Row],[Muutos, € 3]]/Vertailu[[#This Row],[Rahoitus ml. hark. kor. + alv 2019, €]],0)</f>
        <v>-9.0590317009585225E-3</v>
      </c>
    </row>
    <row r="112" spans="1:23" ht="12.75" customHeight="1" x14ac:dyDescent="0.25">
      <c r="A112" s="12" t="s">
        <v>295</v>
      </c>
      <c r="B112" s="297" t="s">
        <v>117</v>
      </c>
      <c r="C112" s="297" t="s">
        <v>254</v>
      </c>
      <c r="D112" s="297" t="s">
        <v>422</v>
      </c>
      <c r="E112" s="22">
        <f>IFERROR(VLOOKUP(Vertailu[[#This Row],[Y-tunnus]],'1.2 Ohjaus-laskentataulu'!A:AT,COLUMN('1.2 Ohjaus-laskentataulu'!L:L),FALSE)/VLOOKUP(Vertailu[[#This Row],[Y-tunnus]],'1.2 Ohjaus-laskentataulu'!A:AT,COLUMN('1.2 Ohjaus-laskentataulu'!AR:AR),FALSE),0)</f>
        <v>0.67083425415517839</v>
      </c>
      <c r="F112" s="46">
        <f>IFERROR(VLOOKUP(Vertailu[[#This Row],[Y-tunnus]],'1.2 Ohjaus-laskentataulu'!A:AT,COLUMN('1.2 Ohjaus-laskentataulu'!AO:AO),FALSE)/VLOOKUP(Vertailu[[#This Row],[Y-tunnus]],'1.2 Ohjaus-laskentataulu'!A:AT,COLUMN('1.2 Ohjaus-laskentataulu'!AR:AR),FALSE),0)</f>
        <v>0.67490699763001971</v>
      </c>
      <c r="G112" s="299">
        <f>IFERROR(VLOOKUP(Vertailu[[#This Row],[Y-tunnus]],'1.2 Ohjaus-laskentataulu'!A:AT,COLUMN('1.2 Ohjaus-laskentataulu'!AP:AP),FALSE)/VLOOKUP(Vertailu[[#This Row],[Y-tunnus]],'1.2 Ohjaus-laskentataulu'!A:AT,COLUMN('1.2 Ohjaus-laskentataulu'!AR:AR),FALSE),0)</f>
        <v>0.22945521099636665</v>
      </c>
      <c r="H112" s="22">
        <f>IFERROR(VLOOKUP(Vertailu[[#This Row],[Y-tunnus]],'1.2 Ohjaus-laskentataulu'!A:AT,COLUMN('1.2 Ohjaus-laskentataulu'!AQ:AQ),FALSE)/VLOOKUP(Vertailu[[#This Row],[Y-tunnus]],'1.2 Ohjaus-laskentataulu'!A:AT,COLUMN('1.2 Ohjaus-laskentataulu'!AR:AR),FALSE),0)</f>
        <v>9.5637791373613681E-2</v>
      </c>
      <c r="I112" s="19">
        <f>IFERROR(VLOOKUP(Vertailu[[#This Row],[Y-tunnus]],'1.2 Ohjaus-laskentataulu'!A:AT,COLUMN('1.2 Ohjaus-laskentataulu'!R:R),FALSE)/VLOOKUP(Vertailu[[#This Row],[Y-tunnus]],'1.2 Ohjaus-laskentataulu'!A:AT,COLUMN('1.2 Ohjaus-laskentataulu'!AR:AR),FALSE),0)</f>
        <v>7.7869786143803785E-2</v>
      </c>
      <c r="J112" s="19">
        <f>IFERROR(VLOOKUP(Vertailu[[#This Row],[Y-tunnus]],'1.2 Ohjaus-laskentataulu'!A:AT,COLUMN('1.2 Ohjaus-laskentataulu'!U:U),FALSE)/VLOOKUP(Vertailu[[#This Row],[Y-tunnus]],'1.2 Ohjaus-laskentataulu'!A:AT,COLUMN('1.2 Ohjaus-laskentataulu'!AR:AR),FALSE),0)</f>
        <v>3.7750259268304145E-3</v>
      </c>
      <c r="K112" s="46">
        <f>IFERROR(VLOOKUP(Vertailu[[#This Row],[Y-tunnus]],'1.2 Ohjaus-laskentataulu'!A:AT,COLUMN('1.2 Ohjaus-laskentataulu'!X:X),FALSE)/VLOOKUP(Vertailu[[#This Row],[Y-tunnus]],'1.2 Ohjaus-laskentataulu'!A:AT,COLUMN('1.2 Ohjaus-laskentataulu'!AR:AR),FALSE),0)</f>
        <v>1.3992979302979481E-2</v>
      </c>
      <c r="L112" s="21">
        <f>IFERROR(VLOOKUP(Vertailu[[#This Row],[Y-tunnus]],'3.2 Suoritepäätös 2019'!$A:$S,COLUMN('3.2 Suoritepäätös 2019'!Q:Q),FALSE)-VLOOKUP(Vertailu[[#This Row],[Y-tunnus]],'3.2 Suoritepäätös 2019'!$A:$S,COLUMN('3.2 Suoritepäätös 2019'!L:L),FALSE),0)</f>
        <v>19038478</v>
      </c>
      <c r="M112" s="21">
        <f>IFERROR(VLOOKUP(Vertailu[[#This Row],[Y-tunnus]],'1.2 Ohjaus-laskentataulu'!A:AT,COLUMN('1.2 Ohjaus-laskentataulu'!Z:Z),FALSE),0)</f>
        <v>19562779</v>
      </c>
      <c r="N112" s="21">
        <f>IFERROR(Vertailu[[#This Row],[Rahoitus pl. hark. kor. 2020 ilman alv, €]]-Vertailu[[#This Row],[Rahoitus pl. hark. kor. 2019 ilman alv, €]],0)</f>
        <v>524301</v>
      </c>
      <c r="O112" s="46">
        <f>IFERROR(Vertailu[[#This Row],[Muutos, € 1]]/Vertailu[[#This Row],[Rahoitus pl. hark. kor. 2019 ilman alv, €]],0)</f>
        <v>2.753901861272734E-2</v>
      </c>
      <c r="P112" s="217">
        <f>IFERROR(VLOOKUP(Vertailu[[#This Row],[Y-tunnus]],'3.2 Suoritepäätös 2019'!$A:$S,COLUMN('3.2 Suoritepäätös 2019'!Q:Q),FALSE),0)</f>
        <v>19038478</v>
      </c>
      <c r="Q112" s="243">
        <f>IFERROR(VLOOKUP(Vertailu[[#This Row],[Y-tunnus]],'1.2 Ohjaus-laskentataulu'!A:AT,COLUMN('1.2 Ohjaus-laskentataulu'!AR:AR),FALSE),0)</f>
        <v>19642779</v>
      </c>
      <c r="R112" s="21">
        <f>IFERROR(Vertailu[[#This Row],[Rahoitus ml. hark. kor. 
2020 ilman alv, €]]-Vertailu[[#This Row],[Rahoitus ml. hark. kor. 
2019 ilman alv, €]],0)</f>
        <v>604301</v>
      </c>
      <c r="S112" s="19">
        <f>IFERROR(Vertailu[[#This Row],[Muutos, € 2]]/Vertailu[[#This Row],[Rahoitus ml. hark. kor. 
2019 ilman alv, €]],0)</f>
        <v>3.1741035181488769E-2</v>
      </c>
      <c r="T112" s="243">
        <f>IFERROR(VLOOKUP(Vertailu[[#This Row],[Y-tunnus]],'3.2 Suoritepäätös 2019'!$A:$S,COLUMN('3.2 Suoritepäätös 2019'!Q:Q),FALSE)+VLOOKUP(Vertailu[[#This Row],[Y-tunnus]],'3.2 Suoritepäätös 2019'!$A:$S,COLUMN('3.2 Suoritepäätös 2019'!R:R),FALSE),0)</f>
        <v>19038478</v>
      </c>
      <c r="U112" s="217">
        <f>IFERROR(VLOOKUP(Vertailu[[#This Row],[Y-tunnus]],'1.2 Ohjaus-laskentataulu'!A:AT,COLUMN('1.2 Ohjaus-laskentataulu'!AT:AT),FALSE),0)</f>
        <v>19642779</v>
      </c>
      <c r="V112" s="249">
        <f>IFERROR(Vertailu[[#This Row],[Rahoitus ml. hark. kor. + alv 2020, €]]-Vertailu[[#This Row],[Rahoitus ml. hark. kor. + alv 2019, €]],0)</f>
        <v>604301</v>
      </c>
      <c r="W112" s="46">
        <f>IFERROR(Vertailu[[#This Row],[Muutos, € 3]]/Vertailu[[#This Row],[Rahoitus ml. hark. kor. + alv 2019, €]],0)</f>
        <v>3.1741035181488769E-2</v>
      </c>
    </row>
    <row r="113" spans="1:23" ht="12.75" customHeight="1" x14ac:dyDescent="0.25">
      <c r="A113" s="12" t="s">
        <v>294</v>
      </c>
      <c r="B113" s="297" t="s">
        <v>212</v>
      </c>
      <c r="C113" s="297" t="s">
        <v>238</v>
      </c>
      <c r="D113" s="297" t="s">
        <v>423</v>
      </c>
      <c r="E113" s="22">
        <f>IFERROR(VLOOKUP(Vertailu[[#This Row],[Y-tunnus]],'1.2 Ohjaus-laskentataulu'!A:AT,COLUMN('1.2 Ohjaus-laskentataulu'!L:L),FALSE)/VLOOKUP(Vertailu[[#This Row],[Y-tunnus]],'1.2 Ohjaus-laskentataulu'!A:AT,COLUMN('1.2 Ohjaus-laskentataulu'!AR:AR),FALSE),0)</f>
        <v>0</v>
      </c>
      <c r="F113" s="46">
        <f>IFERROR(VLOOKUP(Vertailu[[#This Row],[Y-tunnus]],'1.2 Ohjaus-laskentataulu'!A:AT,COLUMN('1.2 Ohjaus-laskentataulu'!AO:AO),FALSE)/VLOOKUP(Vertailu[[#This Row],[Y-tunnus]],'1.2 Ohjaus-laskentataulu'!A:AT,COLUMN('1.2 Ohjaus-laskentataulu'!AR:AR),FALSE),0)</f>
        <v>0</v>
      </c>
      <c r="G113" s="299">
        <f>IFERROR(VLOOKUP(Vertailu[[#This Row],[Y-tunnus]],'1.2 Ohjaus-laskentataulu'!A:AT,COLUMN('1.2 Ohjaus-laskentataulu'!AP:AP),FALSE)/VLOOKUP(Vertailu[[#This Row],[Y-tunnus]],'1.2 Ohjaus-laskentataulu'!A:AT,COLUMN('1.2 Ohjaus-laskentataulu'!AR:AR),FALSE),0)</f>
        <v>0</v>
      </c>
      <c r="H113" s="22">
        <f>IFERROR(VLOOKUP(Vertailu[[#This Row],[Y-tunnus]],'1.2 Ohjaus-laskentataulu'!A:AT,COLUMN('1.2 Ohjaus-laskentataulu'!AQ:AQ),FALSE)/VLOOKUP(Vertailu[[#This Row],[Y-tunnus]],'1.2 Ohjaus-laskentataulu'!A:AT,COLUMN('1.2 Ohjaus-laskentataulu'!AR:AR),FALSE),0)</f>
        <v>0</v>
      </c>
      <c r="I113" s="19">
        <f>IFERROR(VLOOKUP(Vertailu[[#This Row],[Y-tunnus]],'1.2 Ohjaus-laskentataulu'!A:AT,COLUMN('1.2 Ohjaus-laskentataulu'!R:R),FALSE)/VLOOKUP(Vertailu[[#This Row],[Y-tunnus]],'1.2 Ohjaus-laskentataulu'!A:AT,COLUMN('1.2 Ohjaus-laskentataulu'!AR:AR),FALSE),0)</f>
        <v>0</v>
      </c>
      <c r="J113" s="19">
        <f>IFERROR(VLOOKUP(Vertailu[[#This Row],[Y-tunnus]],'1.2 Ohjaus-laskentataulu'!A:AT,COLUMN('1.2 Ohjaus-laskentataulu'!U:U),FALSE)/VLOOKUP(Vertailu[[#This Row],[Y-tunnus]],'1.2 Ohjaus-laskentataulu'!A:AT,COLUMN('1.2 Ohjaus-laskentataulu'!AR:AR),FALSE),0)</f>
        <v>0</v>
      </c>
      <c r="K113" s="46">
        <f>IFERROR(VLOOKUP(Vertailu[[#This Row],[Y-tunnus]],'1.2 Ohjaus-laskentataulu'!A:AT,COLUMN('1.2 Ohjaus-laskentataulu'!X:X),FALSE)/VLOOKUP(Vertailu[[#This Row],[Y-tunnus]],'1.2 Ohjaus-laskentataulu'!A:AT,COLUMN('1.2 Ohjaus-laskentataulu'!AR:AR),FALSE),0)</f>
        <v>0</v>
      </c>
      <c r="L113" s="21">
        <f>IFERROR(VLOOKUP(Vertailu[[#This Row],[Y-tunnus]],'3.2 Suoritepäätös 2019'!$A:$S,COLUMN('3.2 Suoritepäätös 2019'!Q:Q),FALSE)-VLOOKUP(Vertailu[[#This Row],[Y-tunnus]],'3.2 Suoritepäätös 2019'!$A:$S,COLUMN('3.2 Suoritepäätös 2019'!L:L),FALSE),0)</f>
        <v>0</v>
      </c>
      <c r="M113" s="21">
        <f>IFERROR(VLOOKUP(Vertailu[[#This Row],[Y-tunnus]],'1.2 Ohjaus-laskentataulu'!A:AT,COLUMN('1.2 Ohjaus-laskentataulu'!Z:Z),FALSE),0)</f>
        <v>0</v>
      </c>
      <c r="N113" s="21">
        <f>IFERROR(Vertailu[[#This Row],[Rahoitus pl. hark. kor. 2020 ilman alv, €]]-Vertailu[[#This Row],[Rahoitus pl. hark. kor. 2019 ilman alv, €]],0)</f>
        <v>0</v>
      </c>
      <c r="O113" s="46">
        <f>IFERROR(Vertailu[[#This Row],[Muutos, € 1]]/Vertailu[[#This Row],[Rahoitus pl. hark. kor. 2019 ilman alv, €]],0)</f>
        <v>0</v>
      </c>
      <c r="P113" s="217">
        <f>IFERROR(VLOOKUP(Vertailu[[#This Row],[Y-tunnus]],'3.2 Suoritepäätös 2019'!$A:$S,COLUMN('3.2 Suoritepäätös 2019'!Q:Q),FALSE),0)</f>
        <v>0</v>
      </c>
      <c r="Q113" s="243">
        <f>IFERROR(VLOOKUP(Vertailu[[#This Row],[Y-tunnus]],'1.2 Ohjaus-laskentataulu'!A:AT,COLUMN('1.2 Ohjaus-laskentataulu'!AR:AR),FALSE),0)</f>
        <v>0</v>
      </c>
      <c r="R113" s="21">
        <f>IFERROR(Vertailu[[#This Row],[Rahoitus ml. hark. kor. 
2020 ilman alv, €]]-Vertailu[[#This Row],[Rahoitus ml. hark. kor. 
2019 ilman alv, €]],0)</f>
        <v>0</v>
      </c>
      <c r="S113" s="19">
        <f>IFERROR(Vertailu[[#This Row],[Muutos, € 2]]/Vertailu[[#This Row],[Rahoitus ml. hark. kor. 
2019 ilman alv, €]],0)</f>
        <v>0</v>
      </c>
      <c r="T113" s="243">
        <f>IFERROR(VLOOKUP(Vertailu[[#This Row],[Y-tunnus]],'3.2 Suoritepäätös 2019'!$A:$S,COLUMN('3.2 Suoritepäätös 2019'!Q:Q),FALSE)+VLOOKUP(Vertailu[[#This Row],[Y-tunnus]],'3.2 Suoritepäätös 2019'!$A:$S,COLUMN('3.2 Suoritepäätös 2019'!R:R),FALSE),0)</f>
        <v>0</v>
      </c>
      <c r="U113" s="217">
        <f>IFERROR(VLOOKUP(Vertailu[[#This Row],[Y-tunnus]],'1.2 Ohjaus-laskentataulu'!A:AT,COLUMN('1.2 Ohjaus-laskentataulu'!AT:AT),FALSE),0)</f>
        <v>0</v>
      </c>
      <c r="V113" s="249">
        <f>IFERROR(Vertailu[[#This Row],[Rahoitus ml. hark. kor. + alv 2020, €]]-Vertailu[[#This Row],[Rahoitus ml. hark. kor. + alv 2019, €]],0)</f>
        <v>0</v>
      </c>
      <c r="W113" s="46">
        <f>IFERROR(Vertailu[[#This Row],[Muutos, € 3]]/Vertailu[[#This Row],[Rahoitus ml. hark. kor. + alv 2019, €]],0)</f>
        <v>0</v>
      </c>
    </row>
    <row r="114" spans="1:23" ht="12.75" customHeight="1" x14ac:dyDescent="0.25">
      <c r="A114" s="12" t="s">
        <v>293</v>
      </c>
      <c r="B114" s="297" t="s">
        <v>118</v>
      </c>
      <c r="C114" s="297" t="s">
        <v>249</v>
      </c>
      <c r="D114" s="297" t="s">
        <v>422</v>
      </c>
      <c r="E114" s="22">
        <f>IFERROR(VLOOKUP(Vertailu[[#This Row],[Y-tunnus]],'1.2 Ohjaus-laskentataulu'!A:AT,COLUMN('1.2 Ohjaus-laskentataulu'!L:L),FALSE)/VLOOKUP(Vertailu[[#This Row],[Y-tunnus]],'1.2 Ohjaus-laskentataulu'!A:AT,COLUMN('1.2 Ohjaus-laskentataulu'!AR:AR),FALSE),0)</f>
        <v>0.70104168306570647</v>
      </c>
      <c r="F114" s="46">
        <f>IFERROR(VLOOKUP(Vertailu[[#This Row],[Y-tunnus]],'1.2 Ohjaus-laskentataulu'!A:AT,COLUMN('1.2 Ohjaus-laskentataulu'!AO:AO),FALSE)/VLOOKUP(Vertailu[[#This Row],[Y-tunnus]],'1.2 Ohjaus-laskentataulu'!A:AT,COLUMN('1.2 Ohjaus-laskentataulu'!AR:AR),FALSE),0)</f>
        <v>0.70104168306570647</v>
      </c>
      <c r="G114" s="299">
        <f>IFERROR(VLOOKUP(Vertailu[[#This Row],[Y-tunnus]],'1.2 Ohjaus-laskentataulu'!A:AT,COLUMN('1.2 Ohjaus-laskentataulu'!AP:AP),FALSE)/VLOOKUP(Vertailu[[#This Row],[Y-tunnus]],'1.2 Ohjaus-laskentataulu'!A:AT,COLUMN('1.2 Ohjaus-laskentataulu'!AR:AR),FALSE),0)</f>
        <v>0.20056868333291744</v>
      </c>
      <c r="H114" s="22">
        <f>IFERROR(VLOOKUP(Vertailu[[#This Row],[Y-tunnus]],'1.2 Ohjaus-laskentataulu'!A:AT,COLUMN('1.2 Ohjaus-laskentataulu'!AQ:AQ),FALSE)/VLOOKUP(Vertailu[[#This Row],[Y-tunnus]],'1.2 Ohjaus-laskentataulu'!A:AT,COLUMN('1.2 Ohjaus-laskentataulu'!AR:AR),FALSE),0)</f>
        <v>9.838963360137605E-2</v>
      </c>
      <c r="I114" s="19">
        <f>IFERROR(VLOOKUP(Vertailu[[#This Row],[Y-tunnus]],'1.2 Ohjaus-laskentataulu'!A:AT,COLUMN('1.2 Ohjaus-laskentataulu'!R:R),FALSE)/VLOOKUP(Vertailu[[#This Row],[Y-tunnus]],'1.2 Ohjaus-laskentataulu'!A:AT,COLUMN('1.2 Ohjaus-laskentataulu'!AR:AR),FALSE),0)</f>
        <v>7.3191136111132774E-2</v>
      </c>
      <c r="J114" s="19">
        <f>IFERROR(VLOOKUP(Vertailu[[#This Row],[Y-tunnus]],'1.2 Ohjaus-laskentataulu'!A:AT,COLUMN('1.2 Ohjaus-laskentataulu'!U:U),FALSE)/VLOOKUP(Vertailu[[#This Row],[Y-tunnus]],'1.2 Ohjaus-laskentataulu'!A:AT,COLUMN('1.2 Ohjaus-laskentataulu'!AR:AR),FALSE),0)</f>
        <v>5.4742867219115263E-3</v>
      </c>
      <c r="K114" s="46">
        <f>IFERROR(VLOOKUP(Vertailu[[#This Row],[Y-tunnus]],'1.2 Ohjaus-laskentataulu'!A:AT,COLUMN('1.2 Ohjaus-laskentataulu'!X:X),FALSE)/VLOOKUP(Vertailu[[#This Row],[Y-tunnus]],'1.2 Ohjaus-laskentataulu'!A:AT,COLUMN('1.2 Ohjaus-laskentataulu'!AR:AR),FALSE),0)</f>
        <v>1.9724210768331755E-2</v>
      </c>
      <c r="L114" s="21">
        <f>IFERROR(VLOOKUP(Vertailu[[#This Row],[Y-tunnus]],'3.2 Suoritepäätös 2019'!$A:$S,COLUMN('3.2 Suoritepäätös 2019'!Q:Q),FALSE)-VLOOKUP(Vertailu[[#This Row],[Y-tunnus]],'3.2 Suoritepäätös 2019'!$A:$S,COLUMN('3.2 Suoritepäätös 2019'!L:L),FALSE),0)</f>
        <v>32692901</v>
      </c>
      <c r="M114" s="21">
        <f>IFERROR(VLOOKUP(Vertailu[[#This Row],[Y-tunnus]],'1.2 Ohjaus-laskentataulu'!A:AT,COLUMN('1.2 Ohjaus-laskentataulu'!Z:Z),FALSE),0)</f>
        <v>33220949</v>
      </c>
      <c r="N114" s="21">
        <f>IFERROR(Vertailu[[#This Row],[Rahoitus pl. hark. kor. 2020 ilman alv, €]]-Vertailu[[#This Row],[Rahoitus pl. hark. kor. 2019 ilman alv, €]],0)</f>
        <v>528048</v>
      </c>
      <c r="O114" s="46">
        <f>IFERROR(Vertailu[[#This Row],[Muutos, € 1]]/Vertailu[[#This Row],[Rahoitus pl. hark. kor. 2019 ilman alv, €]],0)</f>
        <v>1.6151763344586643E-2</v>
      </c>
      <c r="P114" s="217">
        <f>IFERROR(VLOOKUP(Vertailu[[#This Row],[Y-tunnus]],'3.2 Suoritepäätös 2019'!$A:$S,COLUMN('3.2 Suoritepäätös 2019'!Q:Q),FALSE),0)</f>
        <v>32692901</v>
      </c>
      <c r="Q114" s="243">
        <f>IFERROR(VLOOKUP(Vertailu[[#This Row],[Y-tunnus]],'1.2 Ohjaus-laskentataulu'!A:AT,COLUMN('1.2 Ohjaus-laskentataulu'!AR:AR),FALSE),0)</f>
        <v>33220949</v>
      </c>
      <c r="R114" s="21">
        <f>IFERROR(Vertailu[[#This Row],[Rahoitus ml. hark. kor. 
2020 ilman alv, €]]-Vertailu[[#This Row],[Rahoitus ml. hark. kor. 
2019 ilman alv, €]],0)</f>
        <v>528048</v>
      </c>
      <c r="S114" s="19">
        <f>IFERROR(Vertailu[[#This Row],[Muutos, € 2]]/Vertailu[[#This Row],[Rahoitus ml. hark. kor. 
2019 ilman alv, €]],0)</f>
        <v>1.6151763344586643E-2</v>
      </c>
      <c r="T114" s="243">
        <f>IFERROR(VLOOKUP(Vertailu[[#This Row],[Y-tunnus]],'3.2 Suoritepäätös 2019'!$A:$S,COLUMN('3.2 Suoritepäätös 2019'!Q:Q),FALSE)+VLOOKUP(Vertailu[[#This Row],[Y-tunnus]],'3.2 Suoritepäätös 2019'!$A:$S,COLUMN('3.2 Suoritepäätös 2019'!R:R),FALSE),0)</f>
        <v>32692901</v>
      </c>
      <c r="U114" s="217">
        <f>IFERROR(VLOOKUP(Vertailu[[#This Row],[Y-tunnus]],'1.2 Ohjaus-laskentataulu'!A:AT,COLUMN('1.2 Ohjaus-laskentataulu'!AT:AT),FALSE),0)</f>
        <v>33220949</v>
      </c>
      <c r="V114" s="249">
        <f>IFERROR(Vertailu[[#This Row],[Rahoitus ml. hark. kor. + alv 2020, €]]-Vertailu[[#This Row],[Rahoitus ml. hark. kor. + alv 2019, €]],0)</f>
        <v>528048</v>
      </c>
      <c r="W114" s="46">
        <f>IFERROR(Vertailu[[#This Row],[Muutos, € 3]]/Vertailu[[#This Row],[Rahoitus ml. hark. kor. + alv 2019, €]],0)</f>
        <v>1.6151763344586643E-2</v>
      </c>
    </row>
    <row r="115" spans="1:23" ht="12.75" customHeight="1" x14ac:dyDescent="0.25">
      <c r="A115" s="12" t="s">
        <v>292</v>
      </c>
      <c r="B115" s="297" t="s">
        <v>119</v>
      </c>
      <c r="C115" s="297" t="s">
        <v>287</v>
      </c>
      <c r="D115" s="297" t="s">
        <v>422</v>
      </c>
      <c r="E115" s="22">
        <f>IFERROR(VLOOKUP(Vertailu[[#This Row],[Y-tunnus]],'1.2 Ohjaus-laskentataulu'!A:AT,COLUMN('1.2 Ohjaus-laskentataulu'!L:L),FALSE)/VLOOKUP(Vertailu[[#This Row],[Y-tunnus]],'1.2 Ohjaus-laskentataulu'!A:AT,COLUMN('1.2 Ohjaus-laskentataulu'!AR:AR),FALSE),0)</f>
        <v>0.66643478860026939</v>
      </c>
      <c r="F115" s="46">
        <f>IFERROR(VLOOKUP(Vertailu[[#This Row],[Y-tunnus]],'1.2 Ohjaus-laskentataulu'!A:AT,COLUMN('1.2 Ohjaus-laskentataulu'!AO:AO),FALSE)/VLOOKUP(Vertailu[[#This Row],[Y-tunnus]],'1.2 Ohjaus-laskentataulu'!A:AT,COLUMN('1.2 Ohjaus-laskentataulu'!AR:AR),FALSE),0)</f>
        <v>0.66643478860026939</v>
      </c>
      <c r="G115" s="299">
        <f>IFERROR(VLOOKUP(Vertailu[[#This Row],[Y-tunnus]],'1.2 Ohjaus-laskentataulu'!A:AT,COLUMN('1.2 Ohjaus-laskentataulu'!AP:AP),FALSE)/VLOOKUP(Vertailu[[#This Row],[Y-tunnus]],'1.2 Ohjaus-laskentataulu'!A:AT,COLUMN('1.2 Ohjaus-laskentataulu'!AR:AR),FALSE),0)</f>
        <v>0.20439190264183571</v>
      </c>
      <c r="H115" s="22">
        <f>IFERROR(VLOOKUP(Vertailu[[#This Row],[Y-tunnus]],'1.2 Ohjaus-laskentataulu'!A:AT,COLUMN('1.2 Ohjaus-laskentataulu'!AQ:AQ),FALSE)/VLOOKUP(Vertailu[[#This Row],[Y-tunnus]],'1.2 Ohjaus-laskentataulu'!A:AT,COLUMN('1.2 Ohjaus-laskentataulu'!AR:AR),FALSE),0)</f>
        <v>0.12917330875789484</v>
      </c>
      <c r="I115" s="19">
        <f>IFERROR(VLOOKUP(Vertailu[[#This Row],[Y-tunnus]],'1.2 Ohjaus-laskentataulu'!A:AT,COLUMN('1.2 Ohjaus-laskentataulu'!R:R),FALSE)/VLOOKUP(Vertailu[[#This Row],[Y-tunnus]],'1.2 Ohjaus-laskentataulu'!A:AT,COLUMN('1.2 Ohjaus-laskentataulu'!AR:AR),FALSE),0)</f>
        <v>8.4742868230240659E-2</v>
      </c>
      <c r="J115" s="19">
        <f>IFERROR(VLOOKUP(Vertailu[[#This Row],[Y-tunnus]],'1.2 Ohjaus-laskentataulu'!A:AT,COLUMN('1.2 Ohjaus-laskentataulu'!U:U),FALSE)/VLOOKUP(Vertailu[[#This Row],[Y-tunnus]],'1.2 Ohjaus-laskentataulu'!A:AT,COLUMN('1.2 Ohjaus-laskentataulu'!AR:AR),FALSE),0)</f>
        <v>1.2125605563733811E-2</v>
      </c>
      <c r="K115" s="46">
        <f>IFERROR(VLOOKUP(Vertailu[[#This Row],[Y-tunnus]],'1.2 Ohjaus-laskentataulu'!A:AT,COLUMN('1.2 Ohjaus-laskentataulu'!X:X),FALSE)/VLOOKUP(Vertailu[[#This Row],[Y-tunnus]],'1.2 Ohjaus-laskentataulu'!A:AT,COLUMN('1.2 Ohjaus-laskentataulu'!AR:AR),FALSE),0)</f>
        <v>3.2304834963920379E-2</v>
      </c>
      <c r="L115" s="21">
        <f>IFERROR(VLOOKUP(Vertailu[[#This Row],[Y-tunnus]],'3.2 Suoritepäätös 2019'!$A:$S,COLUMN('3.2 Suoritepäätös 2019'!Q:Q),FALSE)-VLOOKUP(Vertailu[[#This Row],[Y-tunnus]],'3.2 Suoritepäätös 2019'!$A:$S,COLUMN('3.2 Suoritepäätös 2019'!L:L),FALSE),0)</f>
        <v>19110251</v>
      </c>
      <c r="M115" s="21">
        <f>IFERROR(VLOOKUP(Vertailu[[#This Row],[Y-tunnus]],'1.2 Ohjaus-laskentataulu'!A:AT,COLUMN('1.2 Ohjaus-laskentataulu'!Z:Z),FALSE),0)</f>
        <v>20898915</v>
      </c>
      <c r="N115" s="21">
        <f>IFERROR(Vertailu[[#This Row],[Rahoitus pl. hark. kor. 2020 ilman alv, €]]-Vertailu[[#This Row],[Rahoitus pl. hark. kor. 2019 ilman alv, €]],0)</f>
        <v>1788664</v>
      </c>
      <c r="O115" s="46">
        <f>IFERROR(Vertailu[[#This Row],[Muutos, € 1]]/Vertailu[[#This Row],[Rahoitus pl. hark. kor. 2019 ilman alv, €]],0)</f>
        <v>9.3597096134425448E-2</v>
      </c>
      <c r="P115" s="217">
        <f>IFERROR(VLOOKUP(Vertailu[[#This Row],[Y-tunnus]],'3.2 Suoritepäätös 2019'!$A:$S,COLUMN('3.2 Suoritepäätös 2019'!Q:Q),FALSE),0)</f>
        <v>19110251</v>
      </c>
      <c r="Q115" s="243">
        <f>IFERROR(VLOOKUP(Vertailu[[#This Row],[Y-tunnus]],'1.2 Ohjaus-laskentataulu'!A:AT,COLUMN('1.2 Ohjaus-laskentataulu'!AR:AR),FALSE),0)</f>
        <v>20898915</v>
      </c>
      <c r="R115" s="21">
        <f>IFERROR(Vertailu[[#This Row],[Rahoitus ml. hark. kor. 
2020 ilman alv, €]]-Vertailu[[#This Row],[Rahoitus ml. hark. kor. 
2019 ilman alv, €]],0)</f>
        <v>1788664</v>
      </c>
      <c r="S115" s="19">
        <f>IFERROR(Vertailu[[#This Row],[Muutos, € 2]]/Vertailu[[#This Row],[Rahoitus ml. hark. kor. 
2019 ilman alv, €]],0)</f>
        <v>9.3597096134425448E-2</v>
      </c>
      <c r="T115" s="243">
        <f>IFERROR(VLOOKUP(Vertailu[[#This Row],[Y-tunnus]],'3.2 Suoritepäätös 2019'!$A:$S,COLUMN('3.2 Suoritepäätös 2019'!Q:Q),FALSE)+VLOOKUP(Vertailu[[#This Row],[Y-tunnus]],'3.2 Suoritepäätös 2019'!$A:$S,COLUMN('3.2 Suoritepäätös 2019'!R:R),FALSE),0)</f>
        <v>19110251</v>
      </c>
      <c r="U115" s="217">
        <f>IFERROR(VLOOKUP(Vertailu[[#This Row],[Y-tunnus]],'1.2 Ohjaus-laskentataulu'!A:AT,COLUMN('1.2 Ohjaus-laskentataulu'!AT:AT),FALSE),0)</f>
        <v>20898915</v>
      </c>
      <c r="V115" s="249">
        <f>IFERROR(Vertailu[[#This Row],[Rahoitus ml. hark. kor. + alv 2020, €]]-Vertailu[[#This Row],[Rahoitus ml. hark. kor. + alv 2019, €]],0)</f>
        <v>1788664</v>
      </c>
      <c r="W115" s="46">
        <f>IFERROR(Vertailu[[#This Row],[Muutos, € 3]]/Vertailu[[#This Row],[Rahoitus ml. hark. kor. + alv 2019, €]],0)</f>
        <v>9.3597096134425448E-2</v>
      </c>
    </row>
    <row r="116" spans="1:23" ht="12.75" customHeight="1" x14ac:dyDescent="0.25">
      <c r="A116" s="12" t="s">
        <v>291</v>
      </c>
      <c r="B116" s="297" t="s">
        <v>120</v>
      </c>
      <c r="C116" s="297" t="s">
        <v>242</v>
      </c>
      <c r="D116" s="297" t="s">
        <v>422</v>
      </c>
      <c r="E116" s="22">
        <f>IFERROR(VLOOKUP(Vertailu[[#This Row],[Y-tunnus]],'1.2 Ohjaus-laskentataulu'!A:AT,COLUMN('1.2 Ohjaus-laskentataulu'!L:L),FALSE)/VLOOKUP(Vertailu[[#This Row],[Y-tunnus]],'1.2 Ohjaus-laskentataulu'!A:AT,COLUMN('1.2 Ohjaus-laskentataulu'!AR:AR),FALSE),0)</f>
        <v>0.65340218963410657</v>
      </c>
      <c r="F116" s="46">
        <f>IFERROR(VLOOKUP(Vertailu[[#This Row],[Y-tunnus]],'1.2 Ohjaus-laskentataulu'!A:AT,COLUMN('1.2 Ohjaus-laskentataulu'!AO:AO),FALSE)/VLOOKUP(Vertailu[[#This Row],[Y-tunnus]],'1.2 Ohjaus-laskentataulu'!A:AT,COLUMN('1.2 Ohjaus-laskentataulu'!AR:AR),FALSE),0)</f>
        <v>0.65655046959024221</v>
      </c>
      <c r="G116" s="299">
        <f>IFERROR(VLOOKUP(Vertailu[[#This Row],[Y-tunnus]],'1.2 Ohjaus-laskentataulu'!A:AT,COLUMN('1.2 Ohjaus-laskentataulu'!AP:AP),FALSE)/VLOOKUP(Vertailu[[#This Row],[Y-tunnus]],'1.2 Ohjaus-laskentataulu'!A:AT,COLUMN('1.2 Ohjaus-laskentataulu'!AR:AR),FALSE),0)</f>
        <v>0.22139402670187558</v>
      </c>
      <c r="H116" s="22">
        <f>IFERROR(VLOOKUP(Vertailu[[#This Row],[Y-tunnus]],'1.2 Ohjaus-laskentataulu'!A:AT,COLUMN('1.2 Ohjaus-laskentataulu'!AQ:AQ),FALSE)/VLOOKUP(Vertailu[[#This Row],[Y-tunnus]],'1.2 Ohjaus-laskentataulu'!A:AT,COLUMN('1.2 Ohjaus-laskentataulu'!AR:AR),FALSE),0)</f>
        <v>0.12205550370788222</v>
      </c>
      <c r="I116" s="19">
        <f>IFERROR(VLOOKUP(Vertailu[[#This Row],[Y-tunnus]],'1.2 Ohjaus-laskentataulu'!A:AT,COLUMN('1.2 Ohjaus-laskentataulu'!R:R),FALSE)/VLOOKUP(Vertailu[[#This Row],[Y-tunnus]],'1.2 Ohjaus-laskentataulu'!A:AT,COLUMN('1.2 Ohjaus-laskentataulu'!AR:AR),FALSE),0)</f>
        <v>8.5917513482014179E-2</v>
      </c>
      <c r="J116" s="19">
        <f>IFERROR(VLOOKUP(Vertailu[[#This Row],[Y-tunnus]],'1.2 Ohjaus-laskentataulu'!A:AT,COLUMN('1.2 Ohjaus-laskentataulu'!U:U),FALSE)/VLOOKUP(Vertailu[[#This Row],[Y-tunnus]],'1.2 Ohjaus-laskentataulu'!A:AT,COLUMN('1.2 Ohjaus-laskentataulu'!AR:AR),FALSE),0)</f>
        <v>9.2181457213939902E-3</v>
      </c>
      <c r="K116" s="46">
        <f>IFERROR(VLOOKUP(Vertailu[[#This Row],[Y-tunnus]],'1.2 Ohjaus-laskentataulu'!A:AT,COLUMN('1.2 Ohjaus-laskentataulu'!X:X),FALSE)/VLOOKUP(Vertailu[[#This Row],[Y-tunnus]],'1.2 Ohjaus-laskentataulu'!A:AT,COLUMN('1.2 Ohjaus-laskentataulu'!AR:AR),FALSE),0)</f>
        <v>2.6919844504474048E-2</v>
      </c>
      <c r="L116" s="21">
        <f>IFERROR(VLOOKUP(Vertailu[[#This Row],[Y-tunnus]],'3.2 Suoritepäätös 2019'!$A:$S,COLUMN('3.2 Suoritepäätös 2019'!Q:Q),FALSE)-VLOOKUP(Vertailu[[#This Row],[Y-tunnus]],'3.2 Suoritepäätös 2019'!$A:$S,COLUMN('3.2 Suoritepäätös 2019'!L:L),FALSE),0)</f>
        <v>55126649</v>
      </c>
      <c r="M116" s="21">
        <f>IFERROR(VLOOKUP(Vertailu[[#This Row],[Y-tunnus]],'1.2 Ohjaus-laskentataulu'!A:AT,COLUMN('1.2 Ohjaus-laskentataulu'!Z:Z),FALSE),0)</f>
        <v>55410908</v>
      </c>
      <c r="N116" s="21">
        <f>IFERROR(Vertailu[[#This Row],[Rahoitus pl. hark. kor. 2020 ilman alv, €]]-Vertailu[[#This Row],[Rahoitus pl. hark. kor. 2019 ilman alv, €]],0)</f>
        <v>284259</v>
      </c>
      <c r="O116" s="46">
        <f>IFERROR(Vertailu[[#This Row],[Muutos, € 1]]/Vertailu[[#This Row],[Rahoitus pl. hark. kor. 2019 ilman alv, €]],0)</f>
        <v>5.1564716005139365E-3</v>
      </c>
      <c r="P116" s="217">
        <f>IFERROR(VLOOKUP(Vertailu[[#This Row],[Y-tunnus]],'3.2 Suoritepäätös 2019'!$A:$S,COLUMN('3.2 Suoritepäätös 2019'!Q:Q),FALSE),0)</f>
        <v>55216649</v>
      </c>
      <c r="Q116" s="243">
        <f>IFERROR(VLOOKUP(Vertailu[[#This Row],[Y-tunnus]],'1.2 Ohjaus-laskentataulu'!A:AT,COLUMN('1.2 Ohjaus-laskentataulu'!AR:AR),FALSE),0)</f>
        <v>55585908</v>
      </c>
      <c r="R116" s="21">
        <f>IFERROR(Vertailu[[#This Row],[Rahoitus ml. hark. kor. 
2020 ilman alv, €]]-Vertailu[[#This Row],[Rahoitus ml. hark. kor. 
2019 ilman alv, €]],0)</f>
        <v>369259</v>
      </c>
      <c r="S116" s="19">
        <f>IFERROR(Vertailu[[#This Row],[Muutos, € 2]]/Vertailu[[#This Row],[Rahoitus ml. hark. kor. 
2019 ilman alv, €]],0)</f>
        <v>6.6874576180818218E-3</v>
      </c>
      <c r="T116" s="243">
        <f>IFERROR(VLOOKUP(Vertailu[[#This Row],[Y-tunnus]],'3.2 Suoritepäätös 2019'!$A:$S,COLUMN('3.2 Suoritepäätös 2019'!Q:Q),FALSE)+VLOOKUP(Vertailu[[#This Row],[Y-tunnus]],'3.2 Suoritepäätös 2019'!$A:$S,COLUMN('3.2 Suoritepäätös 2019'!R:R),FALSE),0)</f>
        <v>55216649</v>
      </c>
      <c r="U116" s="217">
        <f>IFERROR(VLOOKUP(Vertailu[[#This Row],[Y-tunnus]],'1.2 Ohjaus-laskentataulu'!A:AT,COLUMN('1.2 Ohjaus-laskentataulu'!AT:AT),FALSE),0)</f>
        <v>55585908</v>
      </c>
      <c r="V116" s="249">
        <f>IFERROR(Vertailu[[#This Row],[Rahoitus ml. hark. kor. + alv 2020, €]]-Vertailu[[#This Row],[Rahoitus ml. hark. kor. + alv 2019, €]],0)</f>
        <v>369259</v>
      </c>
      <c r="W116" s="46">
        <f>IFERROR(Vertailu[[#This Row],[Muutos, € 3]]/Vertailu[[#This Row],[Rahoitus ml. hark. kor. + alv 2019, €]],0)</f>
        <v>6.6874576180818218E-3</v>
      </c>
    </row>
    <row r="117" spans="1:23" ht="12.75" customHeight="1" x14ac:dyDescent="0.25">
      <c r="A117" s="12" t="s">
        <v>290</v>
      </c>
      <c r="B117" s="297" t="s">
        <v>121</v>
      </c>
      <c r="C117" s="297" t="s">
        <v>271</v>
      </c>
      <c r="D117" s="297" t="s">
        <v>422</v>
      </c>
      <c r="E117" s="22">
        <f>IFERROR(VLOOKUP(Vertailu[[#This Row],[Y-tunnus]],'1.2 Ohjaus-laskentataulu'!A:AT,COLUMN('1.2 Ohjaus-laskentataulu'!L:L),FALSE)/VLOOKUP(Vertailu[[#This Row],[Y-tunnus]],'1.2 Ohjaus-laskentataulu'!A:AT,COLUMN('1.2 Ohjaus-laskentataulu'!AR:AR),FALSE),0)</f>
        <v>0.65648192676461459</v>
      </c>
      <c r="F117" s="46">
        <f>IFERROR(VLOOKUP(Vertailu[[#This Row],[Y-tunnus]],'1.2 Ohjaus-laskentataulu'!A:AT,COLUMN('1.2 Ohjaus-laskentataulu'!AO:AO),FALSE)/VLOOKUP(Vertailu[[#This Row],[Y-tunnus]],'1.2 Ohjaus-laskentataulu'!A:AT,COLUMN('1.2 Ohjaus-laskentataulu'!AR:AR),FALSE),0)</f>
        <v>0.65681508706189307</v>
      </c>
      <c r="G117" s="299">
        <f>IFERROR(VLOOKUP(Vertailu[[#This Row],[Y-tunnus]],'1.2 Ohjaus-laskentataulu'!A:AT,COLUMN('1.2 Ohjaus-laskentataulu'!AP:AP),FALSE)/VLOOKUP(Vertailu[[#This Row],[Y-tunnus]],'1.2 Ohjaus-laskentataulu'!A:AT,COLUMN('1.2 Ohjaus-laskentataulu'!AR:AR),FALSE),0)</f>
        <v>0.22437879597290047</v>
      </c>
      <c r="H117" s="22">
        <f>IFERROR(VLOOKUP(Vertailu[[#This Row],[Y-tunnus]],'1.2 Ohjaus-laskentataulu'!A:AT,COLUMN('1.2 Ohjaus-laskentataulu'!AQ:AQ),FALSE)/VLOOKUP(Vertailu[[#This Row],[Y-tunnus]],'1.2 Ohjaus-laskentataulu'!A:AT,COLUMN('1.2 Ohjaus-laskentataulu'!AR:AR),FALSE),0)</f>
        <v>0.11880611696520643</v>
      </c>
      <c r="I117" s="19">
        <f>IFERROR(VLOOKUP(Vertailu[[#This Row],[Y-tunnus]],'1.2 Ohjaus-laskentataulu'!A:AT,COLUMN('1.2 Ohjaus-laskentataulu'!R:R),FALSE)/VLOOKUP(Vertailu[[#This Row],[Y-tunnus]],'1.2 Ohjaus-laskentataulu'!A:AT,COLUMN('1.2 Ohjaus-laskentataulu'!AR:AR),FALSE),0)</f>
        <v>8.4389547722014249E-2</v>
      </c>
      <c r="J117" s="19">
        <f>IFERROR(VLOOKUP(Vertailu[[#This Row],[Y-tunnus]],'1.2 Ohjaus-laskentataulu'!A:AT,COLUMN('1.2 Ohjaus-laskentataulu'!U:U),FALSE)/VLOOKUP(Vertailu[[#This Row],[Y-tunnus]],'1.2 Ohjaus-laskentataulu'!A:AT,COLUMN('1.2 Ohjaus-laskentataulu'!AR:AR),FALSE),0)</f>
        <v>6.5945749243304123E-3</v>
      </c>
      <c r="K117" s="46">
        <f>IFERROR(VLOOKUP(Vertailu[[#This Row],[Y-tunnus]],'1.2 Ohjaus-laskentataulu'!A:AT,COLUMN('1.2 Ohjaus-laskentataulu'!X:X),FALSE)/VLOOKUP(Vertailu[[#This Row],[Y-tunnus]],'1.2 Ohjaus-laskentataulu'!A:AT,COLUMN('1.2 Ohjaus-laskentataulu'!AR:AR),FALSE),0)</f>
        <v>2.782199431886177E-2</v>
      </c>
      <c r="L117" s="21">
        <f>IFERROR(VLOOKUP(Vertailu[[#This Row],[Y-tunnus]],'3.2 Suoritepäätös 2019'!$A:$S,COLUMN('3.2 Suoritepäätös 2019'!Q:Q),FALSE)-VLOOKUP(Vertailu[[#This Row],[Y-tunnus]],'3.2 Suoritepäätös 2019'!$A:$S,COLUMN('3.2 Suoritepäätös 2019'!L:L),FALSE),0)</f>
        <v>42482605</v>
      </c>
      <c r="M117" s="21">
        <f>IFERROR(VLOOKUP(Vertailu[[#This Row],[Y-tunnus]],'1.2 Ohjaus-laskentataulu'!A:AT,COLUMN('1.2 Ohjaus-laskentataulu'!Z:Z),FALSE),0)</f>
        <v>45008372</v>
      </c>
      <c r="N117" s="21">
        <f>IFERROR(Vertailu[[#This Row],[Rahoitus pl. hark. kor. 2020 ilman alv, €]]-Vertailu[[#This Row],[Rahoitus pl. hark. kor. 2019 ilman alv, €]],0)</f>
        <v>2525767</v>
      </c>
      <c r="O117" s="46">
        <f>IFERROR(Vertailu[[#This Row],[Muutos, € 1]]/Vertailu[[#This Row],[Rahoitus pl. hark. kor. 2019 ilman alv, €]],0)</f>
        <v>5.9454145996932155E-2</v>
      </c>
      <c r="P117" s="217">
        <f>IFERROR(VLOOKUP(Vertailu[[#This Row],[Y-tunnus]],'3.2 Suoritepäätös 2019'!$A:$S,COLUMN('3.2 Suoritepäätös 2019'!Q:Q),FALSE),0)</f>
        <v>42952605</v>
      </c>
      <c r="Q117" s="243">
        <f>IFERROR(VLOOKUP(Vertailu[[#This Row],[Y-tunnus]],'1.2 Ohjaus-laskentataulu'!A:AT,COLUMN('1.2 Ohjaus-laskentataulu'!AR:AR),FALSE),0)</f>
        <v>45023372</v>
      </c>
      <c r="R117" s="21">
        <f>IFERROR(Vertailu[[#This Row],[Rahoitus ml. hark. kor. 
2020 ilman alv, €]]-Vertailu[[#This Row],[Rahoitus ml. hark. kor. 
2019 ilman alv, €]],0)</f>
        <v>2070767</v>
      </c>
      <c r="S117" s="19">
        <f>IFERROR(Vertailu[[#This Row],[Muutos, € 2]]/Vertailu[[#This Row],[Rahoitus ml. hark. kor. 
2019 ilman alv, €]],0)</f>
        <v>4.821051016579786E-2</v>
      </c>
      <c r="T117" s="243">
        <f>IFERROR(VLOOKUP(Vertailu[[#This Row],[Y-tunnus]],'3.2 Suoritepäätös 2019'!$A:$S,COLUMN('3.2 Suoritepäätös 2019'!Q:Q),FALSE)+VLOOKUP(Vertailu[[#This Row],[Y-tunnus]],'3.2 Suoritepäätös 2019'!$A:$S,COLUMN('3.2 Suoritepäätös 2019'!R:R),FALSE),0)</f>
        <v>42952605</v>
      </c>
      <c r="U117" s="217">
        <f>IFERROR(VLOOKUP(Vertailu[[#This Row],[Y-tunnus]],'1.2 Ohjaus-laskentataulu'!A:AT,COLUMN('1.2 Ohjaus-laskentataulu'!AT:AT),FALSE),0)</f>
        <v>45023372</v>
      </c>
      <c r="V117" s="249">
        <f>IFERROR(Vertailu[[#This Row],[Rahoitus ml. hark. kor. + alv 2020, €]]-Vertailu[[#This Row],[Rahoitus ml. hark. kor. + alv 2019, €]],0)</f>
        <v>2070767</v>
      </c>
      <c r="W117" s="46">
        <f>IFERROR(Vertailu[[#This Row],[Muutos, € 3]]/Vertailu[[#This Row],[Rahoitus ml. hark. kor. + alv 2019, €]],0)</f>
        <v>4.821051016579786E-2</v>
      </c>
    </row>
    <row r="118" spans="1:23" ht="12.75" customHeight="1" x14ac:dyDescent="0.25">
      <c r="A118" s="12" t="s">
        <v>289</v>
      </c>
      <c r="B118" s="297" t="s">
        <v>122</v>
      </c>
      <c r="C118" s="297" t="s">
        <v>238</v>
      </c>
      <c r="D118" s="297" t="s">
        <v>423</v>
      </c>
      <c r="E118" s="22">
        <f>IFERROR(VLOOKUP(Vertailu[[#This Row],[Y-tunnus]],'1.2 Ohjaus-laskentataulu'!A:AT,COLUMN('1.2 Ohjaus-laskentataulu'!L:L),FALSE)/VLOOKUP(Vertailu[[#This Row],[Y-tunnus]],'1.2 Ohjaus-laskentataulu'!A:AT,COLUMN('1.2 Ohjaus-laskentataulu'!AR:AR),FALSE),0)</f>
        <v>0.67086418670029335</v>
      </c>
      <c r="F118" s="46">
        <f>IFERROR(VLOOKUP(Vertailu[[#This Row],[Y-tunnus]],'1.2 Ohjaus-laskentataulu'!A:AT,COLUMN('1.2 Ohjaus-laskentataulu'!AO:AO),FALSE)/VLOOKUP(Vertailu[[#This Row],[Y-tunnus]],'1.2 Ohjaus-laskentataulu'!A:AT,COLUMN('1.2 Ohjaus-laskentataulu'!AR:AR),FALSE),0)</f>
        <v>0.67351590328349908</v>
      </c>
      <c r="G118" s="299">
        <f>IFERROR(VLOOKUP(Vertailu[[#This Row],[Y-tunnus]],'1.2 Ohjaus-laskentataulu'!A:AT,COLUMN('1.2 Ohjaus-laskentataulu'!AP:AP),FALSE)/VLOOKUP(Vertailu[[#This Row],[Y-tunnus]],'1.2 Ohjaus-laskentataulu'!A:AT,COLUMN('1.2 Ohjaus-laskentataulu'!AR:AR),FALSE),0)</f>
        <v>0.22291125113402316</v>
      </c>
      <c r="H118" s="22">
        <f>IFERROR(VLOOKUP(Vertailu[[#This Row],[Y-tunnus]],'1.2 Ohjaus-laskentataulu'!A:AT,COLUMN('1.2 Ohjaus-laskentataulu'!AQ:AQ),FALSE)/VLOOKUP(Vertailu[[#This Row],[Y-tunnus]],'1.2 Ohjaus-laskentataulu'!A:AT,COLUMN('1.2 Ohjaus-laskentataulu'!AR:AR),FALSE),0)</f>
        <v>0.10357284558247772</v>
      </c>
      <c r="I118" s="19">
        <f>IFERROR(VLOOKUP(Vertailu[[#This Row],[Y-tunnus]],'1.2 Ohjaus-laskentataulu'!A:AT,COLUMN('1.2 Ohjaus-laskentataulu'!R:R),FALSE)/VLOOKUP(Vertailu[[#This Row],[Y-tunnus]],'1.2 Ohjaus-laskentataulu'!A:AT,COLUMN('1.2 Ohjaus-laskentataulu'!AR:AR),FALSE),0)</f>
        <v>6.7273773495451925E-2</v>
      </c>
      <c r="J118" s="19">
        <f>IFERROR(VLOOKUP(Vertailu[[#This Row],[Y-tunnus]],'1.2 Ohjaus-laskentataulu'!A:AT,COLUMN('1.2 Ohjaus-laskentataulu'!U:U),FALSE)/VLOOKUP(Vertailu[[#This Row],[Y-tunnus]],'1.2 Ohjaus-laskentataulu'!A:AT,COLUMN('1.2 Ohjaus-laskentataulu'!AR:AR),FALSE),0)</f>
        <v>7.4432579608675132E-3</v>
      </c>
      <c r="K118" s="46">
        <f>IFERROR(VLOOKUP(Vertailu[[#This Row],[Y-tunnus]],'1.2 Ohjaus-laskentataulu'!A:AT,COLUMN('1.2 Ohjaus-laskentataulu'!X:X),FALSE)/VLOOKUP(Vertailu[[#This Row],[Y-tunnus]],'1.2 Ohjaus-laskentataulu'!A:AT,COLUMN('1.2 Ohjaus-laskentataulu'!AR:AR),FALSE),0)</f>
        <v>2.8855814126158289E-2</v>
      </c>
      <c r="L118" s="21">
        <f>IFERROR(VLOOKUP(Vertailu[[#This Row],[Y-tunnus]],'3.2 Suoritepäätös 2019'!$A:$S,COLUMN('3.2 Suoritepäätös 2019'!Q:Q),FALSE)-VLOOKUP(Vertailu[[#This Row],[Y-tunnus]],'3.2 Suoritepäätös 2019'!$A:$S,COLUMN('3.2 Suoritepäätös 2019'!L:L),FALSE),0)</f>
        <v>17219758</v>
      </c>
      <c r="M118" s="21">
        <f>IFERROR(VLOOKUP(Vertailu[[#This Row],[Y-tunnus]],'1.2 Ohjaus-laskentataulu'!A:AT,COLUMN('1.2 Ohjaus-laskentataulu'!Z:Z),FALSE),0)</f>
        <v>18053482</v>
      </c>
      <c r="N118" s="21">
        <f>IFERROR(Vertailu[[#This Row],[Rahoitus pl. hark. kor. 2020 ilman alv, €]]-Vertailu[[#This Row],[Rahoitus pl. hark. kor. 2019 ilman alv, €]],0)</f>
        <v>833724</v>
      </c>
      <c r="O118" s="46">
        <f>IFERROR(Vertailu[[#This Row],[Muutos, € 1]]/Vertailu[[#This Row],[Rahoitus pl. hark. kor. 2019 ilman alv, €]],0)</f>
        <v>4.8416708295203684E-2</v>
      </c>
      <c r="P118" s="217">
        <f>IFERROR(VLOOKUP(Vertailu[[#This Row],[Y-tunnus]],'3.2 Suoritepäätös 2019'!$A:$S,COLUMN('3.2 Suoritepäätös 2019'!Q:Q),FALSE),0)</f>
        <v>17219758</v>
      </c>
      <c r="Q118" s="243">
        <f>IFERROR(VLOOKUP(Vertailu[[#This Row],[Y-tunnus]],'1.2 Ohjaus-laskentataulu'!A:AT,COLUMN('1.2 Ohjaus-laskentataulu'!AR:AR),FALSE),0)</f>
        <v>18101482</v>
      </c>
      <c r="R118" s="21">
        <f>IFERROR(Vertailu[[#This Row],[Rahoitus ml. hark. kor. 
2020 ilman alv, €]]-Vertailu[[#This Row],[Rahoitus ml. hark. kor. 
2019 ilman alv, €]],0)</f>
        <v>881724</v>
      </c>
      <c r="S118" s="19">
        <f>IFERROR(Vertailu[[#This Row],[Muutos, € 2]]/Vertailu[[#This Row],[Rahoitus ml. hark. kor. 
2019 ilman alv, €]],0)</f>
        <v>5.1204203915060829E-2</v>
      </c>
      <c r="T118" s="243">
        <f>IFERROR(VLOOKUP(Vertailu[[#This Row],[Y-tunnus]],'3.2 Suoritepäätös 2019'!$A:$S,COLUMN('3.2 Suoritepäätös 2019'!Q:Q),FALSE)+VLOOKUP(Vertailu[[#This Row],[Y-tunnus]],'3.2 Suoritepäätös 2019'!$A:$S,COLUMN('3.2 Suoritepäätös 2019'!R:R),FALSE),0)</f>
        <v>18142956</v>
      </c>
      <c r="U118" s="217">
        <f>IFERROR(VLOOKUP(Vertailu[[#This Row],[Y-tunnus]],'1.2 Ohjaus-laskentataulu'!A:AT,COLUMN('1.2 Ohjaus-laskentataulu'!AT:AT),FALSE),0)</f>
        <v>18521632</v>
      </c>
      <c r="V118" s="249">
        <f>IFERROR(Vertailu[[#This Row],[Rahoitus ml. hark. kor. + alv 2020, €]]-Vertailu[[#This Row],[Rahoitus ml. hark. kor. + alv 2019, €]],0)</f>
        <v>378676</v>
      </c>
      <c r="W118" s="46">
        <f>IFERROR(Vertailu[[#This Row],[Muutos, € 3]]/Vertailu[[#This Row],[Rahoitus ml. hark. kor. + alv 2019, €]],0)</f>
        <v>2.0871791785197515E-2</v>
      </c>
    </row>
    <row r="119" spans="1:23" ht="12.75" customHeight="1" x14ac:dyDescent="0.25">
      <c r="A119" s="12" t="s">
        <v>288</v>
      </c>
      <c r="B119" s="297" t="s">
        <v>184</v>
      </c>
      <c r="C119" s="297" t="s">
        <v>287</v>
      </c>
      <c r="D119" s="297" t="s">
        <v>423</v>
      </c>
      <c r="E119" s="22">
        <f>IFERROR(VLOOKUP(Vertailu[[#This Row],[Y-tunnus]],'1.2 Ohjaus-laskentataulu'!A:AT,COLUMN('1.2 Ohjaus-laskentataulu'!L:L),FALSE)/VLOOKUP(Vertailu[[#This Row],[Y-tunnus]],'1.2 Ohjaus-laskentataulu'!A:AT,COLUMN('1.2 Ohjaus-laskentataulu'!AR:AR),FALSE),0)</f>
        <v>6.9301371074196844E-2</v>
      </c>
      <c r="F119" s="46">
        <f>IFERROR(VLOOKUP(Vertailu[[#This Row],[Y-tunnus]],'1.2 Ohjaus-laskentataulu'!A:AT,COLUMN('1.2 Ohjaus-laskentataulu'!AO:AO),FALSE)/VLOOKUP(Vertailu[[#This Row],[Y-tunnus]],'1.2 Ohjaus-laskentataulu'!A:AT,COLUMN('1.2 Ohjaus-laskentataulu'!AR:AR),FALSE),0)</f>
        <v>1</v>
      </c>
      <c r="G119" s="299">
        <f>IFERROR(VLOOKUP(Vertailu[[#This Row],[Y-tunnus]],'1.2 Ohjaus-laskentataulu'!A:AT,COLUMN('1.2 Ohjaus-laskentataulu'!AP:AP),FALSE)/VLOOKUP(Vertailu[[#This Row],[Y-tunnus]],'1.2 Ohjaus-laskentataulu'!A:AT,COLUMN('1.2 Ohjaus-laskentataulu'!AR:AR),FALSE),0)</f>
        <v>0</v>
      </c>
      <c r="H119" s="22">
        <f>IFERROR(VLOOKUP(Vertailu[[#This Row],[Y-tunnus]],'1.2 Ohjaus-laskentataulu'!A:AT,COLUMN('1.2 Ohjaus-laskentataulu'!AQ:AQ),FALSE)/VLOOKUP(Vertailu[[#This Row],[Y-tunnus]],'1.2 Ohjaus-laskentataulu'!A:AT,COLUMN('1.2 Ohjaus-laskentataulu'!AR:AR),FALSE),0)</f>
        <v>0</v>
      </c>
      <c r="I119" s="19">
        <f>IFERROR(VLOOKUP(Vertailu[[#This Row],[Y-tunnus]],'1.2 Ohjaus-laskentataulu'!A:AT,COLUMN('1.2 Ohjaus-laskentataulu'!R:R),FALSE)/VLOOKUP(Vertailu[[#This Row],[Y-tunnus]],'1.2 Ohjaus-laskentataulu'!A:AT,COLUMN('1.2 Ohjaus-laskentataulu'!AR:AR),FALSE),0)</f>
        <v>0</v>
      </c>
      <c r="J119" s="19">
        <f>IFERROR(VLOOKUP(Vertailu[[#This Row],[Y-tunnus]],'1.2 Ohjaus-laskentataulu'!A:AT,COLUMN('1.2 Ohjaus-laskentataulu'!U:U),FALSE)/VLOOKUP(Vertailu[[#This Row],[Y-tunnus]],'1.2 Ohjaus-laskentataulu'!A:AT,COLUMN('1.2 Ohjaus-laskentataulu'!AR:AR),FALSE),0)</f>
        <v>0</v>
      </c>
      <c r="K119" s="46">
        <f>IFERROR(VLOOKUP(Vertailu[[#This Row],[Y-tunnus]],'1.2 Ohjaus-laskentataulu'!A:AT,COLUMN('1.2 Ohjaus-laskentataulu'!X:X),FALSE)/VLOOKUP(Vertailu[[#This Row],[Y-tunnus]],'1.2 Ohjaus-laskentataulu'!A:AT,COLUMN('1.2 Ohjaus-laskentataulu'!AR:AR),FALSE),0)</f>
        <v>0</v>
      </c>
      <c r="L119" s="21">
        <f>IFERROR(VLOOKUP(Vertailu[[#This Row],[Y-tunnus]],'3.2 Suoritepäätös 2019'!$A:$S,COLUMN('3.2 Suoritepäätös 2019'!Q:Q),FALSE)-VLOOKUP(Vertailu[[#This Row],[Y-tunnus]],'3.2 Suoritepäätös 2019'!$A:$S,COLUMN('3.2 Suoritepäätös 2019'!L:L),FALSE),0)</f>
        <v>427577</v>
      </c>
      <c r="M119" s="21">
        <f>IFERROR(VLOOKUP(Vertailu[[#This Row],[Y-tunnus]],'1.2 Ohjaus-laskentataulu'!A:AT,COLUMN('1.2 Ohjaus-laskentataulu'!Z:Z),FALSE),0)</f>
        <v>446770</v>
      </c>
      <c r="N119" s="21">
        <f>IFERROR(Vertailu[[#This Row],[Rahoitus pl. hark. kor. 2020 ilman alv, €]]-Vertailu[[#This Row],[Rahoitus pl. hark. kor. 2019 ilman alv, €]],0)</f>
        <v>19193</v>
      </c>
      <c r="O119" s="46">
        <f>IFERROR(Vertailu[[#This Row],[Muutos, € 1]]/Vertailu[[#This Row],[Rahoitus pl. hark. kor. 2019 ilman alv, €]],0)</f>
        <v>4.4887821374863475E-2</v>
      </c>
      <c r="P119" s="217">
        <f>IFERROR(VLOOKUP(Vertailu[[#This Row],[Y-tunnus]],'3.2 Suoritepäätös 2019'!$A:$S,COLUMN('3.2 Suoritepäätös 2019'!Q:Q),FALSE),0)</f>
        <v>7077577</v>
      </c>
      <c r="Q119" s="243">
        <f>IFERROR(VLOOKUP(Vertailu[[#This Row],[Y-tunnus]],'1.2 Ohjaus-laskentataulu'!A:AT,COLUMN('1.2 Ohjaus-laskentataulu'!AR:AR),FALSE),0)</f>
        <v>6446770</v>
      </c>
      <c r="R119" s="21">
        <f>IFERROR(Vertailu[[#This Row],[Rahoitus ml. hark. kor. 
2020 ilman alv, €]]-Vertailu[[#This Row],[Rahoitus ml. hark. kor. 
2019 ilman alv, €]],0)</f>
        <v>-630807</v>
      </c>
      <c r="S119" s="19">
        <f>IFERROR(Vertailu[[#This Row],[Muutos, € 2]]/Vertailu[[#This Row],[Rahoitus ml. hark. kor. 
2019 ilman alv, €]],0)</f>
        <v>-8.9127536161033638E-2</v>
      </c>
      <c r="T119" s="243">
        <f>IFERROR(VLOOKUP(Vertailu[[#This Row],[Y-tunnus]],'3.2 Suoritepäätös 2019'!$A:$S,COLUMN('3.2 Suoritepäätös 2019'!Q:Q),FALSE)+VLOOKUP(Vertailu[[#This Row],[Y-tunnus]],'3.2 Suoritepäätös 2019'!$A:$S,COLUMN('3.2 Suoritepäätös 2019'!R:R),FALSE),0)</f>
        <v>7473584</v>
      </c>
      <c r="U119" s="217">
        <f>IFERROR(VLOOKUP(Vertailu[[#This Row],[Y-tunnus]],'1.2 Ohjaus-laskentataulu'!A:AT,COLUMN('1.2 Ohjaus-laskentataulu'!AT:AT),FALSE),0)</f>
        <v>7696710</v>
      </c>
      <c r="V119" s="249">
        <f>IFERROR(Vertailu[[#This Row],[Rahoitus ml. hark. kor. + alv 2020, €]]-Vertailu[[#This Row],[Rahoitus ml. hark. kor. + alv 2019, €]],0)</f>
        <v>223126</v>
      </c>
      <c r="W119" s="46">
        <f>IFERROR(Vertailu[[#This Row],[Muutos, € 3]]/Vertailu[[#This Row],[Rahoitus ml. hark. kor. + alv 2019, €]],0)</f>
        <v>2.9855287637096203E-2</v>
      </c>
    </row>
    <row r="120" spans="1:23" ht="12.75" customHeight="1" x14ac:dyDescent="0.25">
      <c r="A120" s="12" t="s">
        <v>286</v>
      </c>
      <c r="B120" s="297" t="s">
        <v>123</v>
      </c>
      <c r="C120" s="297" t="s">
        <v>238</v>
      </c>
      <c r="D120" s="297" t="s">
        <v>423</v>
      </c>
      <c r="E120" s="22">
        <f>IFERROR(VLOOKUP(Vertailu[[#This Row],[Y-tunnus]],'1.2 Ohjaus-laskentataulu'!A:AT,COLUMN('1.2 Ohjaus-laskentataulu'!L:L),FALSE)/VLOOKUP(Vertailu[[#This Row],[Y-tunnus]],'1.2 Ohjaus-laskentataulu'!A:AT,COLUMN('1.2 Ohjaus-laskentataulu'!AR:AR),FALSE),0)</f>
        <v>0.36139807257804213</v>
      </c>
      <c r="F120" s="46">
        <f>IFERROR(VLOOKUP(Vertailu[[#This Row],[Y-tunnus]],'1.2 Ohjaus-laskentataulu'!A:AT,COLUMN('1.2 Ohjaus-laskentataulu'!AO:AO),FALSE)/VLOOKUP(Vertailu[[#This Row],[Y-tunnus]],'1.2 Ohjaus-laskentataulu'!A:AT,COLUMN('1.2 Ohjaus-laskentataulu'!AR:AR),FALSE),0)</f>
        <v>0.82250380412228519</v>
      </c>
      <c r="G120" s="299">
        <f>IFERROR(VLOOKUP(Vertailu[[#This Row],[Y-tunnus]],'1.2 Ohjaus-laskentataulu'!A:AT,COLUMN('1.2 Ohjaus-laskentataulu'!AP:AP),FALSE)/VLOOKUP(Vertailu[[#This Row],[Y-tunnus]],'1.2 Ohjaus-laskentataulu'!A:AT,COLUMN('1.2 Ohjaus-laskentataulu'!AR:AR),FALSE),0)</f>
        <v>0.12884400793101858</v>
      </c>
      <c r="H120" s="22">
        <f>IFERROR(VLOOKUP(Vertailu[[#This Row],[Y-tunnus]],'1.2 Ohjaus-laskentataulu'!A:AT,COLUMN('1.2 Ohjaus-laskentataulu'!AQ:AQ),FALSE)/VLOOKUP(Vertailu[[#This Row],[Y-tunnus]],'1.2 Ohjaus-laskentataulu'!A:AT,COLUMN('1.2 Ohjaus-laskentataulu'!AR:AR),FALSE),0)</f>
        <v>4.8652187946696179E-2</v>
      </c>
      <c r="I120" s="19">
        <f>IFERROR(VLOOKUP(Vertailu[[#This Row],[Y-tunnus]],'1.2 Ohjaus-laskentataulu'!A:AT,COLUMN('1.2 Ohjaus-laskentataulu'!R:R),FALSE)/VLOOKUP(Vertailu[[#This Row],[Y-tunnus]],'1.2 Ohjaus-laskentataulu'!A:AT,COLUMN('1.2 Ohjaus-laskentataulu'!AR:AR),FALSE),0)</f>
        <v>3.0420067321436806E-2</v>
      </c>
      <c r="J120" s="19">
        <f>IFERROR(VLOOKUP(Vertailu[[#This Row],[Y-tunnus]],'1.2 Ohjaus-laskentataulu'!A:AT,COLUMN('1.2 Ohjaus-laskentataulu'!U:U),FALSE)/VLOOKUP(Vertailu[[#This Row],[Y-tunnus]],'1.2 Ohjaus-laskentataulu'!A:AT,COLUMN('1.2 Ohjaus-laskentataulu'!AR:AR),FALSE),0)</f>
        <v>2.7426568912251579E-3</v>
      </c>
      <c r="K120" s="46">
        <f>IFERROR(VLOOKUP(Vertailu[[#This Row],[Y-tunnus]],'1.2 Ohjaus-laskentataulu'!A:AT,COLUMN('1.2 Ohjaus-laskentataulu'!X:X),FALSE)/VLOOKUP(Vertailu[[#This Row],[Y-tunnus]],'1.2 Ohjaus-laskentataulu'!A:AT,COLUMN('1.2 Ohjaus-laskentataulu'!AR:AR),FALSE),0)</f>
        <v>1.5489463734034214E-2</v>
      </c>
      <c r="L120" s="21">
        <f>IFERROR(VLOOKUP(Vertailu[[#This Row],[Y-tunnus]],'3.2 Suoritepäätös 2019'!$A:$S,COLUMN('3.2 Suoritepäätös 2019'!Q:Q),FALSE)-VLOOKUP(Vertailu[[#This Row],[Y-tunnus]],'3.2 Suoritepäätös 2019'!$A:$S,COLUMN('3.2 Suoritepäätös 2019'!L:L),FALSE),0)</f>
        <v>290567</v>
      </c>
      <c r="M120" s="21">
        <f>IFERROR(VLOOKUP(Vertailu[[#This Row],[Y-tunnus]],'1.2 Ohjaus-laskentataulu'!A:AT,COLUMN('1.2 Ohjaus-laskentataulu'!Z:Z),FALSE),0)</f>
        <v>292175</v>
      </c>
      <c r="N120" s="21">
        <f>IFERROR(Vertailu[[#This Row],[Rahoitus pl. hark. kor. 2020 ilman alv, €]]-Vertailu[[#This Row],[Rahoitus pl. hark. kor. 2019 ilman alv, €]],0)</f>
        <v>1608</v>
      </c>
      <c r="O120" s="46">
        <f>IFERROR(Vertailu[[#This Row],[Muutos, € 1]]/Vertailu[[#This Row],[Rahoitus pl. hark. kor. 2019 ilman alv, €]],0)</f>
        <v>5.5340076471175319E-3</v>
      </c>
      <c r="P120" s="217">
        <f>IFERROR(VLOOKUP(Vertailu[[#This Row],[Y-tunnus]],'3.2 Suoritepäätös 2019'!$A:$S,COLUMN('3.2 Suoritepäätös 2019'!Q:Q),FALSE),0)</f>
        <v>570567</v>
      </c>
      <c r="Q120" s="243">
        <f>IFERROR(VLOOKUP(Vertailu[[#This Row],[Y-tunnus]],'1.2 Ohjaus-laskentataulu'!A:AT,COLUMN('1.2 Ohjaus-laskentataulu'!AR:AR),FALSE),0)</f>
        <v>542175</v>
      </c>
      <c r="R120" s="21">
        <f>IFERROR(Vertailu[[#This Row],[Rahoitus ml. hark. kor. 
2020 ilman alv, €]]-Vertailu[[#This Row],[Rahoitus ml. hark. kor. 
2019 ilman alv, €]],0)</f>
        <v>-28392</v>
      </c>
      <c r="S120" s="19">
        <f>IFERROR(Vertailu[[#This Row],[Muutos, € 2]]/Vertailu[[#This Row],[Rahoitus ml. hark. kor. 
2019 ilman alv, €]],0)</f>
        <v>-4.9761027188743825E-2</v>
      </c>
      <c r="T120" s="243">
        <f>IFERROR(VLOOKUP(Vertailu[[#This Row],[Y-tunnus]],'3.2 Suoritepäätös 2019'!$A:$S,COLUMN('3.2 Suoritepäätös 2019'!Q:Q),FALSE)+VLOOKUP(Vertailu[[#This Row],[Y-tunnus]],'3.2 Suoritepäätös 2019'!$A:$S,COLUMN('3.2 Suoritepäätös 2019'!R:R),FALSE),0)</f>
        <v>601421</v>
      </c>
      <c r="U120" s="217">
        <f>IFERROR(VLOOKUP(Vertailu[[#This Row],[Y-tunnus]],'1.2 Ohjaus-laskentataulu'!A:AT,COLUMN('1.2 Ohjaus-laskentataulu'!AT:AT),FALSE),0)</f>
        <v>591762</v>
      </c>
      <c r="V120" s="249">
        <f>IFERROR(Vertailu[[#This Row],[Rahoitus ml. hark. kor. + alv 2020, €]]-Vertailu[[#This Row],[Rahoitus ml. hark. kor. + alv 2019, €]],0)</f>
        <v>-9659</v>
      </c>
      <c r="W120" s="46">
        <f>IFERROR(Vertailu[[#This Row],[Muutos, € 3]]/Vertailu[[#This Row],[Rahoitus ml. hark. kor. + alv 2019, €]],0)</f>
        <v>-1.6060297196140473E-2</v>
      </c>
    </row>
    <row r="121" spans="1:23" ht="12.75" customHeight="1" x14ac:dyDescent="0.25">
      <c r="A121" s="12" t="s">
        <v>285</v>
      </c>
      <c r="B121" s="297" t="s">
        <v>155</v>
      </c>
      <c r="C121" s="297" t="s">
        <v>238</v>
      </c>
      <c r="D121" s="297" t="s">
        <v>423</v>
      </c>
      <c r="E121" s="22">
        <f>IFERROR(VLOOKUP(Vertailu[[#This Row],[Y-tunnus]],'1.2 Ohjaus-laskentataulu'!A:AT,COLUMN('1.2 Ohjaus-laskentataulu'!L:L),FALSE)/VLOOKUP(Vertailu[[#This Row],[Y-tunnus]],'1.2 Ohjaus-laskentataulu'!A:AT,COLUMN('1.2 Ohjaus-laskentataulu'!AR:AR),FALSE),0)</f>
        <v>0.62016907893694651</v>
      </c>
      <c r="F121" s="46">
        <f>IFERROR(VLOOKUP(Vertailu[[#This Row],[Y-tunnus]],'1.2 Ohjaus-laskentataulu'!A:AT,COLUMN('1.2 Ohjaus-laskentataulu'!AO:AO),FALSE)/VLOOKUP(Vertailu[[#This Row],[Y-tunnus]],'1.2 Ohjaus-laskentataulu'!A:AT,COLUMN('1.2 Ohjaus-laskentataulu'!AR:AR),FALSE),0)</f>
        <v>0.62016907893694651</v>
      </c>
      <c r="G121" s="299">
        <f>IFERROR(VLOOKUP(Vertailu[[#This Row],[Y-tunnus]],'1.2 Ohjaus-laskentataulu'!A:AT,COLUMN('1.2 Ohjaus-laskentataulu'!AP:AP),FALSE)/VLOOKUP(Vertailu[[#This Row],[Y-tunnus]],'1.2 Ohjaus-laskentataulu'!A:AT,COLUMN('1.2 Ohjaus-laskentataulu'!AR:AR),FALSE),0)</f>
        <v>0.25094123424455722</v>
      </c>
      <c r="H121" s="22">
        <f>IFERROR(VLOOKUP(Vertailu[[#This Row],[Y-tunnus]],'1.2 Ohjaus-laskentataulu'!A:AT,COLUMN('1.2 Ohjaus-laskentataulu'!AQ:AQ),FALSE)/VLOOKUP(Vertailu[[#This Row],[Y-tunnus]],'1.2 Ohjaus-laskentataulu'!A:AT,COLUMN('1.2 Ohjaus-laskentataulu'!AR:AR),FALSE),0)</f>
        <v>0.12888968681849625</v>
      </c>
      <c r="I121" s="19">
        <f>IFERROR(VLOOKUP(Vertailu[[#This Row],[Y-tunnus]],'1.2 Ohjaus-laskentataulu'!A:AT,COLUMN('1.2 Ohjaus-laskentataulu'!R:R),FALSE)/VLOOKUP(Vertailu[[#This Row],[Y-tunnus]],'1.2 Ohjaus-laskentataulu'!A:AT,COLUMN('1.2 Ohjaus-laskentataulu'!AR:AR),FALSE),0)</f>
        <v>0.12888968681849625</v>
      </c>
      <c r="J121" s="19">
        <f>IFERROR(VLOOKUP(Vertailu[[#This Row],[Y-tunnus]],'1.2 Ohjaus-laskentataulu'!A:AT,COLUMN('1.2 Ohjaus-laskentataulu'!U:U),FALSE)/VLOOKUP(Vertailu[[#This Row],[Y-tunnus]],'1.2 Ohjaus-laskentataulu'!A:AT,COLUMN('1.2 Ohjaus-laskentataulu'!AR:AR),FALSE),0)</f>
        <v>0</v>
      </c>
      <c r="K121" s="46">
        <f>IFERROR(VLOOKUP(Vertailu[[#This Row],[Y-tunnus]],'1.2 Ohjaus-laskentataulu'!A:AT,COLUMN('1.2 Ohjaus-laskentataulu'!X:X),FALSE)/VLOOKUP(Vertailu[[#This Row],[Y-tunnus]],'1.2 Ohjaus-laskentataulu'!A:AT,COLUMN('1.2 Ohjaus-laskentataulu'!AR:AR),FALSE),0)</f>
        <v>0</v>
      </c>
      <c r="L121" s="21">
        <f>IFERROR(VLOOKUP(Vertailu[[#This Row],[Y-tunnus]],'3.2 Suoritepäätös 2019'!$A:$S,COLUMN('3.2 Suoritepäätös 2019'!Q:Q),FALSE)-VLOOKUP(Vertailu[[#This Row],[Y-tunnus]],'3.2 Suoritepäätös 2019'!$A:$S,COLUMN('3.2 Suoritepäätös 2019'!L:L),FALSE),0)</f>
        <v>184963</v>
      </c>
      <c r="M121" s="21">
        <f>IFERROR(VLOOKUP(Vertailu[[#This Row],[Y-tunnus]],'1.2 Ohjaus-laskentataulu'!A:AT,COLUMN('1.2 Ohjaus-laskentataulu'!Z:Z),FALSE),0)</f>
        <v>189379</v>
      </c>
      <c r="N121" s="21">
        <f>IFERROR(Vertailu[[#This Row],[Rahoitus pl. hark. kor. 2020 ilman alv, €]]-Vertailu[[#This Row],[Rahoitus pl. hark. kor. 2019 ilman alv, €]],0)</f>
        <v>4416</v>
      </c>
      <c r="O121" s="46">
        <f>IFERROR(Vertailu[[#This Row],[Muutos, € 1]]/Vertailu[[#This Row],[Rahoitus pl. hark. kor. 2019 ilman alv, €]],0)</f>
        <v>2.3875045279326136E-2</v>
      </c>
      <c r="P121" s="217">
        <f>IFERROR(VLOOKUP(Vertailu[[#This Row],[Y-tunnus]],'3.2 Suoritepäätös 2019'!$A:$S,COLUMN('3.2 Suoritepäätös 2019'!Q:Q),FALSE),0)</f>
        <v>184963</v>
      </c>
      <c r="Q121" s="243">
        <f>IFERROR(VLOOKUP(Vertailu[[#This Row],[Y-tunnus]],'1.2 Ohjaus-laskentataulu'!A:AT,COLUMN('1.2 Ohjaus-laskentataulu'!AR:AR),FALSE),0)</f>
        <v>189379</v>
      </c>
      <c r="R121" s="21">
        <f>IFERROR(Vertailu[[#This Row],[Rahoitus ml. hark. kor. 
2020 ilman alv, €]]-Vertailu[[#This Row],[Rahoitus ml. hark. kor. 
2019 ilman alv, €]],0)</f>
        <v>4416</v>
      </c>
      <c r="S121" s="19">
        <f>IFERROR(Vertailu[[#This Row],[Muutos, € 2]]/Vertailu[[#This Row],[Rahoitus ml. hark. kor. 
2019 ilman alv, €]],0)</f>
        <v>2.3875045279326136E-2</v>
      </c>
      <c r="T121" s="243">
        <f>IFERROR(VLOOKUP(Vertailu[[#This Row],[Y-tunnus]],'3.2 Suoritepäätös 2019'!$A:$S,COLUMN('3.2 Suoritepäätös 2019'!Q:Q),FALSE)+VLOOKUP(Vertailu[[#This Row],[Y-tunnus]],'3.2 Suoritepäätös 2019'!$A:$S,COLUMN('3.2 Suoritepäätös 2019'!R:R),FALSE),0)</f>
        <v>195027</v>
      </c>
      <c r="U121" s="217">
        <f>IFERROR(VLOOKUP(Vertailu[[#This Row],[Y-tunnus]],'1.2 Ohjaus-laskentataulu'!A:AT,COLUMN('1.2 Ohjaus-laskentataulu'!AT:AT),FALSE),0)</f>
        <v>199840</v>
      </c>
      <c r="V121" s="249">
        <f>IFERROR(Vertailu[[#This Row],[Rahoitus ml. hark. kor. + alv 2020, €]]-Vertailu[[#This Row],[Rahoitus ml. hark. kor. + alv 2019, €]],0)</f>
        <v>4813</v>
      </c>
      <c r="W121" s="46">
        <f>IFERROR(Vertailu[[#This Row],[Muutos, € 3]]/Vertailu[[#This Row],[Rahoitus ml. hark. kor. + alv 2019, €]],0)</f>
        <v>2.4678634240387229E-2</v>
      </c>
    </row>
    <row r="122" spans="1:23" ht="12.75" customHeight="1" x14ac:dyDescent="0.25">
      <c r="A122" s="12" t="s">
        <v>284</v>
      </c>
      <c r="B122" s="297" t="s">
        <v>124</v>
      </c>
      <c r="C122" s="297" t="s">
        <v>272</v>
      </c>
      <c r="D122" s="297" t="s">
        <v>423</v>
      </c>
      <c r="E122" s="22">
        <f>IFERROR(VLOOKUP(Vertailu[[#This Row],[Y-tunnus]],'1.2 Ohjaus-laskentataulu'!A:AT,COLUMN('1.2 Ohjaus-laskentataulu'!L:L),FALSE)/VLOOKUP(Vertailu[[#This Row],[Y-tunnus]],'1.2 Ohjaus-laskentataulu'!A:AT,COLUMN('1.2 Ohjaus-laskentataulu'!AR:AR),FALSE),0)</f>
        <v>0.74420474673313231</v>
      </c>
      <c r="F122" s="46">
        <f>IFERROR(VLOOKUP(Vertailu[[#This Row],[Y-tunnus]],'1.2 Ohjaus-laskentataulu'!A:AT,COLUMN('1.2 Ohjaus-laskentataulu'!AO:AO),FALSE)/VLOOKUP(Vertailu[[#This Row],[Y-tunnus]],'1.2 Ohjaus-laskentataulu'!A:AT,COLUMN('1.2 Ohjaus-laskentataulu'!AR:AR),FALSE),0)</f>
        <v>0.74420474673313231</v>
      </c>
      <c r="G122" s="299">
        <f>IFERROR(VLOOKUP(Vertailu[[#This Row],[Y-tunnus]],'1.2 Ohjaus-laskentataulu'!A:AT,COLUMN('1.2 Ohjaus-laskentataulu'!AP:AP),FALSE)/VLOOKUP(Vertailu[[#This Row],[Y-tunnus]],'1.2 Ohjaus-laskentataulu'!A:AT,COLUMN('1.2 Ohjaus-laskentataulu'!AR:AR),FALSE),0)</f>
        <v>0.16311817646749988</v>
      </c>
      <c r="H122" s="22">
        <f>IFERROR(VLOOKUP(Vertailu[[#This Row],[Y-tunnus]],'1.2 Ohjaus-laskentataulu'!A:AT,COLUMN('1.2 Ohjaus-laskentataulu'!AQ:AQ),FALSE)/VLOOKUP(Vertailu[[#This Row],[Y-tunnus]],'1.2 Ohjaus-laskentataulu'!A:AT,COLUMN('1.2 Ohjaus-laskentataulu'!AR:AR),FALSE),0)</f>
        <v>9.2677076799367764E-2</v>
      </c>
      <c r="I122" s="19">
        <f>IFERROR(VLOOKUP(Vertailu[[#This Row],[Y-tunnus]],'1.2 Ohjaus-laskentataulu'!A:AT,COLUMN('1.2 Ohjaus-laskentataulu'!R:R),FALSE)/VLOOKUP(Vertailu[[#This Row],[Y-tunnus]],'1.2 Ohjaus-laskentataulu'!A:AT,COLUMN('1.2 Ohjaus-laskentataulu'!AR:AR),FALSE),0)</f>
        <v>7.008279656950113E-2</v>
      </c>
      <c r="J122" s="19">
        <f>IFERROR(VLOOKUP(Vertailu[[#This Row],[Y-tunnus]],'1.2 Ohjaus-laskentataulu'!A:AT,COLUMN('1.2 Ohjaus-laskentataulu'!U:U),FALSE)/VLOOKUP(Vertailu[[#This Row],[Y-tunnus]],'1.2 Ohjaus-laskentataulu'!A:AT,COLUMN('1.2 Ohjaus-laskentataulu'!AR:AR),FALSE),0)</f>
        <v>3.9210701564835818E-3</v>
      </c>
      <c r="K122" s="46">
        <f>IFERROR(VLOOKUP(Vertailu[[#This Row],[Y-tunnus]],'1.2 Ohjaus-laskentataulu'!A:AT,COLUMN('1.2 Ohjaus-laskentataulu'!X:X),FALSE)/VLOOKUP(Vertailu[[#This Row],[Y-tunnus]],'1.2 Ohjaus-laskentataulu'!A:AT,COLUMN('1.2 Ohjaus-laskentataulu'!AR:AR),FALSE),0)</f>
        <v>1.8673210073383052E-2</v>
      </c>
      <c r="L122" s="21">
        <f>IFERROR(VLOOKUP(Vertailu[[#This Row],[Y-tunnus]],'3.2 Suoritepäätös 2019'!$A:$S,COLUMN('3.2 Suoritepäätös 2019'!Q:Q),FALSE)-VLOOKUP(Vertailu[[#This Row],[Y-tunnus]],'3.2 Suoritepäätös 2019'!$A:$S,COLUMN('3.2 Suoritepäätös 2019'!L:L),FALSE),0)</f>
        <v>1115140</v>
      </c>
      <c r="M122" s="21">
        <f>IFERROR(VLOOKUP(Vertailu[[#This Row],[Y-tunnus]],'1.2 Ohjaus-laskentataulu'!A:AT,COLUMN('1.2 Ohjaus-laskentataulu'!Z:Z),FALSE),0)</f>
        <v>1085673</v>
      </c>
      <c r="N122" s="21">
        <f>IFERROR(Vertailu[[#This Row],[Rahoitus pl. hark. kor. 2020 ilman alv, €]]-Vertailu[[#This Row],[Rahoitus pl. hark. kor. 2019 ilman alv, €]],0)</f>
        <v>-29467</v>
      </c>
      <c r="O122" s="46">
        <f>IFERROR(Vertailu[[#This Row],[Muutos, € 1]]/Vertailu[[#This Row],[Rahoitus pl. hark. kor. 2019 ilman alv, €]],0)</f>
        <v>-2.6424484818049751E-2</v>
      </c>
      <c r="P122" s="217">
        <f>IFERROR(VLOOKUP(Vertailu[[#This Row],[Y-tunnus]],'3.2 Suoritepäätös 2019'!$A:$S,COLUMN('3.2 Suoritepäätös 2019'!Q:Q),FALSE),0)</f>
        <v>1115140</v>
      </c>
      <c r="Q122" s="243">
        <f>IFERROR(VLOOKUP(Vertailu[[#This Row],[Y-tunnus]],'1.2 Ohjaus-laskentataulu'!A:AT,COLUMN('1.2 Ohjaus-laskentataulu'!AR:AR),FALSE),0)</f>
        <v>1085673</v>
      </c>
      <c r="R122" s="21">
        <f>IFERROR(Vertailu[[#This Row],[Rahoitus ml. hark. kor. 
2020 ilman alv, €]]-Vertailu[[#This Row],[Rahoitus ml. hark. kor. 
2019 ilman alv, €]],0)</f>
        <v>-29467</v>
      </c>
      <c r="S122" s="19">
        <f>IFERROR(Vertailu[[#This Row],[Muutos, € 2]]/Vertailu[[#This Row],[Rahoitus ml. hark. kor. 
2019 ilman alv, €]],0)</f>
        <v>-2.6424484818049751E-2</v>
      </c>
      <c r="T122" s="243">
        <f>IFERROR(VLOOKUP(Vertailu[[#This Row],[Y-tunnus]],'3.2 Suoritepäätös 2019'!$A:$S,COLUMN('3.2 Suoritepäätös 2019'!Q:Q),FALSE)+VLOOKUP(Vertailu[[#This Row],[Y-tunnus]],'3.2 Suoritepäätös 2019'!$A:$S,COLUMN('3.2 Suoritepäätös 2019'!R:R),FALSE),0)</f>
        <v>1174469</v>
      </c>
      <c r="U122" s="217">
        <f>IFERROR(VLOOKUP(Vertailu[[#This Row],[Y-tunnus]],'1.2 Ohjaus-laskentataulu'!A:AT,COLUMN('1.2 Ohjaus-laskentataulu'!AT:AT),FALSE),0)</f>
        <v>1191944</v>
      </c>
      <c r="V122" s="249">
        <f>IFERROR(Vertailu[[#This Row],[Rahoitus ml. hark. kor. + alv 2020, €]]-Vertailu[[#This Row],[Rahoitus ml. hark. kor. + alv 2019, €]],0)</f>
        <v>17475</v>
      </c>
      <c r="W122" s="46">
        <f>IFERROR(Vertailu[[#This Row],[Muutos, € 3]]/Vertailu[[#This Row],[Rahoitus ml. hark. kor. + alv 2019, €]],0)</f>
        <v>1.4879064496380918E-2</v>
      </c>
    </row>
    <row r="123" spans="1:23" ht="12.75" customHeight="1" x14ac:dyDescent="0.25">
      <c r="A123" s="12" t="s">
        <v>283</v>
      </c>
      <c r="B123" s="297" t="s">
        <v>125</v>
      </c>
      <c r="C123" s="297" t="s">
        <v>252</v>
      </c>
      <c r="D123" s="297" t="s">
        <v>423</v>
      </c>
      <c r="E123" s="22">
        <f>IFERROR(VLOOKUP(Vertailu[[#This Row],[Y-tunnus]],'1.2 Ohjaus-laskentataulu'!A:AT,COLUMN('1.2 Ohjaus-laskentataulu'!L:L),FALSE)/VLOOKUP(Vertailu[[#This Row],[Y-tunnus]],'1.2 Ohjaus-laskentataulu'!A:AT,COLUMN('1.2 Ohjaus-laskentataulu'!AR:AR),FALSE),0)</f>
        <v>0.65057328140258075</v>
      </c>
      <c r="F123" s="46">
        <f>IFERROR(VLOOKUP(Vertailu[[#This Row],[Y-tunnus]],'1.2 Ohjaus-laskentataulu'!A:AT,COLUMN('1.2 Ohjaus-laskentataulu'!AO:AO),FALSE)/VLOOKUP(Vertailu[[#This Row],[Y-tunnus]],'1.2 Ohjaus-laskentataulu'!A:AT,COLUMN('1.2 Ohjaus-laskentataulu'!AR:AR),FALSE),0)</f>
        <v>0.65057328140258075</v>
      </c>
      <c r="G123" s="299">
        <f>IFERROR(VLOOKUP(Vertailu[[#This Row],[Y-tunnus]],'1.2 Ohjaus-laskentataulu'!A:AT,COLUMN('1.2 Ohjaus-laskentataulu'!AP:AP),FALSE)/VLOOKUP(Vertailu[[#This Row],[Y-tunnus]],'1.2 Ohjaus-laskentataulu'!A:AT,COLUMN('1.2 Ohjaus-laskentataulu'!AR:AR),FALSE),0)</f>
        <v>0.24809740072748099</v>
      </c>
      <c r="H123" s="22">
        <f>IFERROR(VLOOKUP(Vertailu[[#This Row],[Y-tunnus]],'1.2 Ohjaus-laskentataulu'!A:AT,COLUMN('1.2 Ohjaus-laskentataulu'!AQ:AQ),FALSE)/VLOOKUP(Vertailu[[#This Row],[Y-tunnus]],'1.2 Ohjaus-laskentataulu'!A:AT,COLUMN('1.2 Ohjaus-laskentataulu'!AR:AR),FALSE),0)</f>
        <v>0.10132931786993823</v>
      </c>
      <c r="I123" s="19">
        <f>IFERROR(VLOOKUP(Vertailu[[#This Row],[Y-tunnus]],'1.2 Ohjaus-laskentataulu'!A:AT,COLUMN('1.2 Ohjaus-laskentataulu'!R:R),FALSE)/VLOOKUP(Vertailu[[#This Row],[Y-tunnus]],'1.2 Ohjaus-laskentataulu'!A:AT,COLUMN('1.2 Ohjaus-laskentataulu'!AR:AR),FALSE),0)</f>
        <v>5.8301761430637533E-2</v>
      </c>
      <c r="J123" s="19">
        <f>IFERROR(VLOOKUP(Vertailu[[#This Row],[Y-tunnus]],'1.2 Ohjaus-laskentataulu'!A:AT,COLUMN('1.2 Ohjaus-laskentataulu'!U:U),FALSE)/VLOOKUP(Vertailu[[#This Row],[Y-tunnus]],'1.2 Ohjaus-laskentataulu'!A:AT,COLUMN('1.2 Ohjaus-laskentataulu'!AR:AR),FALSE),0)</f>
        <v>1.0353010069224915E-2</v>
      </c>
      <c r="K123" s="46">
        <f>IFERROR(VLOOKUP(Vertailu[[#This Row],[Y-tunnus]],'1.2 Ohjaus-laskentataulu'!A:AT,COLUMN('1.2 Ohjaus-laskentataulu'!X:X),FALSE)/VLOOKUP(Vertailu[[#This Row],[Y-tunnus]],'1.2 Ohjaus-laskentataulu'!A:AT,COLUMN('1.2 Ohjaus-laskentataulu'!AR:AR),FALSE),0)</f>
        <v>3.2674546370075788E-2</v>
      </c>
      <c r="L123" s="21">
        <f>IFERROR(VLOOKUP(Vertailu[[#This Row],[Y-tunnus]],'3.2 Suoritepäätös 2019'!$A:$S,COLUMN('3.2 Suoritepäätös 2019'!Q:Q),FALSE)-VLOOKUP(Vertailu[[#This Row],[Y-tunnus]],'3.2 Suoritepäätös 2019'!$A:$S,COLUMN('3.2 Suoritepäätös 2019'!L:L),FALSE),0)</f>
        <v>2841936</v>
      </c>
      <c r="M123" s="21">
        <f>IFERROR(VLOOKUP(Vertailu[[#This Row],[Y-tunnus]],'1.2 Ohjaus-laskentataulu'!A:AT,COLUMN('1.2 Ohjaus-laskentataulu'!Z:Z),FALSE),0)</f>
        <v>3107985</v>
      </c>
      <c r="N123" s="21">
        <f>IFERROR(Vertailu[[#This Row],[Rahoitus pl. hark. kor. 2020 ilman alv, €]]-Vertailu[[#This Row],[Rahoitus pl. hark. kor. 2019 ilman alv, €]],0)</f>
        <v>266049</v>
      </c>
      <c r="O123" s="46">
        <f>IFERROR(Vertailu[[#This Row],[Muutos, € 1]]/Vertailu[[#This Row],[Rahoitus pl. hark. kor. 2019 ilman alv, €]],0)</f>
        <v>9.3615408651004109E-2</v>
      </c>
      <c r="P123" s="217">
        <f>IFERROR(VLOOKUP(Vertailu[[#This Row],[Y-tunnus]],'3.2 Suoritepäätös 2019'!$A:$S,COLUMN('3.2 Suoritepäätös 2019'!Q:Q),FALSE),0)</f>
        <v>2841936</v>
      </c>
      <c r="Q123" s="243">
        <f>IFERROR(VLOOKUP(Vertailu[[#This Row],[Y-tunnus]],'1.2 Ohjaus-laskentataulu'!A:AT,COLUMN('1.2 Ohjaus-laskentataulu'!AR:AR),FALSE),0)</f>
        <v>3107985</v>
      </c>
      <c r="R123" s="21">
        <f>IFERROR(Vertailu[[#This Row],[Rahoitus ml. hark. kor. 
2020 ilman alv, €]]-Vertailu[[#This Row],[Rahoitus ml. hark. kor. 
2019 ilman alv, €]],0)</f>
        <v>266049</v>
      </c>
      <c r="S123" s="19">
        <f>IFERROR(Vertailu[[#This Row],[Muutos, € 2]]/Vertailu[[#This Row],[Rahoitus ml. hark. kor. 
2019 ilman alv, €]],0)</f>
        <v>9.3615408651004109E-2</v>
      </c>
      <c r="T123" s="243">
        <f>IFERROR(VLOOKUP(Vertailu[[#This Row],[Y-tunnus]],'3.2 Suoritepäätös 2019'!$A:$S,COLUMN('3.2 Suoritepäätös 2019'!Q:Q),FALSE)+VLOOKUP(Vertailu[[#This Row],[Y-tunnus]],'3.2 Suoritepäätös 2019'!$A:$S,COLUMN('3.2 Suoritepäätös 2019'!R:R),FALSE),0)</f>
        <v>2991015</v>
      </c>
      <c r="U123" s="217">
        <f>IFERROR(VLOOKUP(Vertailu[[#This Row],[Y-tunnus]],'1.2 Ohjaus-laskentataulu'!A:AT,COLUMN('1.2 Ohjaus-laskentataulu'!AT:AT),FALSE),0)</f>
        <v>3415776</v>
      </c>
      <c r="V123" s="249">
        <f>IFERROR(Vertailu[[#This Row],[Rahoitus ml. hark. kor. + alv 2020, €]]-Vertailu[[#This Row],[Rahoitus ml. hark. kor. + alv 2019, €]],0)</f>
        <v>424761</v>
      </c>
      <c r="W123" s="46">
        <f>IFERROR(Vertailu[[#This Row],[Muutos, € 3]]/Vertailu[[#This Row],[Rahoitus ml. hark. kor. + alv 2019, €]],0)</f>
        <v>0.14201232691912277</v>
      </c>
    </row>
    <row r="124" spans="1:23" ht="12.75" customHeight="1" x14ac:dyDescent="0.25">
      <c r="A124" s="12" t="s">
        <v>282</v>
      </c>
      <c r="B124" s="297" t="s">
        <v>126</v>
      </c>
      <c r="C124" s="297" t="s">
        <v>238</v>
      </c>
      <c r="D124" s="297" t="s">
        <v>423</v>
      </c>
      <c r="E124" s="22">
        <f>IFERROR(VLOOKUP(Vertailu[[#This Row],[Y-tunnus]],'1.2 Ohjaus-laskentataulu'!A:AT,COLUMN('1.2 Ohjaus-laskentataulu'!L:L),FALSE)/VLOOKUP(Vertailu[[#This Row],[Y-tunnus]],'1.2 Ohjaus-laskentataulu'!A:AT,COLUMN('1.2 Ohjaus-laskentataulu'!AR:AR),FALSE),0)</f>
        <v>0.59587443385116756</v>
      </c>
      <c r="F124" s="46">
        <f>IFERROR(VLOOKUP(Vertailu[[#This Row],[Y-tunnus]],'1.2 Ohjaus-laskentataulu'!A:AT,COLUMN('1.2 Ohjaus-laskentataulu'!AO:AO),FALSE)/VLOOKUP(Vertailu[[#This Row],[Y-tunnus]],'1.2 Ohjaus-laskentataulu'!A:AT,COLUMN('1.2 Ohjaus-laskentataulu'!AR:AR),FALSE),0)</f>
        <v>0.60745952314613949</v>
      </c>
      <c r="G124" s="299">
        <f>IFERROR(VLOOKUP(Vertailu[[#This Row],[Y-tunnus]],'1.2 Ohjaus-laskentataulu'!A:AT,COLUMN('1.2 Ohjaus-laskentataulu'!AP:AP),FALSE)/VLOOKUP(Vertailu[[#This Row],[Y-tunnus]],'1.2 Ohjaus-laskentataulu'!A:AT,COLUMN('1.2 Ohjaus-laskentataulu'!AR:AR),FALSE),0)</f>
        <v>0.22533462082292366</v>
      </c>
      <c r="H124" s="22">
        <f>IFERROR(VLOOKUP(Vertailu[[#This Row],[Y-tunnus]],'1.2 Ohjaus-laskentataulu'!A:AT,COLUMN('1.2 Ohjaus-laskentataulu'!AQ:AQ),FALSE)/VLOOKUP(Vertailu[[#This Row],[Y-tunnus]],'1.2 Ohjaus-laskentataulu'!A:AT,COLUMN('1.2 Ohjaus-laskentataulu'!AR:AR),FALSE),0)</f>
        <v>0.16720585603093682</v>
      </c>
      <c r="I124" s="19">
        <f>IFERROR(VLOOKUP(Vertailu[[#This Row],[Y-tunnus]],'1.2 Ohjaus-laskentataulu'!A:AT,COLUMN('1.2 Ohjaus-laskentataulu'!R:R),FALSE)/VLOOKUP(Vertailu[[#This Row],[Y-tunnus]],'1.2 Ohjaus-laskentataulu'!A:AT,COLUMN('1.2 Ohjaus-laskentataulu'!AR:AR),FALSE),0)</f>
        <v>9.0015564567467801E-2</v>
      </c>
      <c r="J124" s="19">
        <f>IFERROR(VLOOKUP(Vertailu[[#This Row],[Y-tunnus]],'1.2 Ohjaus-laskentataulu'!A:AT,COLUMN('1.2 Ohjaus-laskentataulu'!U:U),FALSE)/VLOOKUP(Vertailu[[#This Row],[Y-tunnus]],'1.2 Ohjaus-laskentataulu'!A:AT,COLUMN('1.2 Ohjaus-laskentataulu'!AR:AR),FALSE),0)</f>
        <v>1.2858869862954186E-2</v>
      </c>
      <c r="K124" s="46">
        <f>IFERROR(VLOOKUP(Vertailu[[#This Row],[Y-tunnus]],'1.2 Ohjaus-laskentataulu'!A:AT,COLUMN('1.2 Ohjaus-laskentataulu'!X:X),FALSE)/VLOOKUP(Vertailu[[#This Row],[Y-tunnus]],'1.2 Ohjaus-laskentataulu'!A:AT,COLUMN('1.2 Ohjaus-laskentataulu'!AR:AR),FALSE),0)</f>
        <v>6.4331421600514846E-2</v>
      </c>
      <c r="L124" s="21">
        <f>IFERROR(VLOOKUP(Vertailu[[#This Row],[Y-tunnus]],'3.2 Suoritepäätös 2019'!$A:$S,COLUMN('3.2 Suoritepäätös 2019'!Q:Q),FALSE)-VLOOKUP(Vertailu[[#This Row],[Y-tunnus]],'3.2 Suoritepäätös 2019'!$A:$S,COLUMN('3.2 Suoritepäätös 2019'!L:L),FALSE),0)</f>
        <v>1441691</v>
      </c>
      <c r="M124" s="21">
        <f>IFERROR(VLOOKUP(Vertailu[[#This Row],[Y-tunnus]],'1.2 Ohjaus-laskentataulu'!A:AT,COLUMN('1.2 Ohjaus-laskentataulu'!Z:Z),FALSE),0)</f>
        <v>1706357</v>
      </c>
      <c r="N124" s="21">
        <f>IFERROR(Vertailu[[#This Row],[Rahoitus pl. hark. kor. 2020 ilman alv, €]]-Vertailu[[#This Row],[Rahoitus pl. hark. kor. 2019 ilman alv, €]],0)</f>
        <v>264666</v>
      </c>
      <c r="O124" s="46">
        <f>IFERROR(Vertailu[[#This Row],[Muutos, € 1]]/Vertailu[[#This Row],[Rahoitus pl. hark. kor. 2019 ilman alv, €]],0)</f>
        <v>0.183580254021146</v>
      </c>
      <c r="P124" s="217">
        <f>IFERROR(VLOOKUP(Vertailu[[#This Row],[Y-tunnus]],'3.2 Suoritepäätös 2019'!$A:$S,COLUMN('3.2 Suoritepäätös 2019'!Q:Q),FALSE),0)</f>
        <v>1441691</v>
      </c>
      <c r="Q124" s="243">
        <f>IFERROR(VLOOKUP(Vertailu[[#This Row],[Y-tunnus]],'1.2 Ohjaus-laskentataulu'!A:AT,COLUMN('1.2 Ohjaus-laskentataulu'!AR:AR),FALSE),0)</f>
        <v>1726357</v>
      </c>
      <c r="R124" s="21">
        <f>IFERROR(Vertailu[[#This Row],[Rahoitus ml. hark. kor. 
2020 ilman alv, €]]-Vertailu[[#This Row],[Rahoitus ml. hark. kor. 
2019 ilman alv, €]],0)</f>
        <v>284666</v>
      </c>
      <c r="S124" s="19">
        <f>IFERROR(Vertailu[[#This Row],[Muutos, € 2]]/Vertailu[[#This Row],[Rahoitus ml. hark. kor. 
2019 ilman alv, €]],0)</f>
        <v>0.19745285224087547</v>
      </c>
      <c r="T124" s="243">
        <f>IFERROR(VLOOKUP(Vertailu[[#This Row],[Y-tunnus]],'3.2 Suoritepäätös 2019'!$A:$S,COLUMN('3.2 Suoritepäätös 2019'!Q:Q),FALSE)+VLOOKUP(Vertailu[[#This Row],[Y-tunnus]],'3.2 Suoritepäätös 2019'!$A:$S,COLUMN('3.2 Suoritepäätös 2019'!R:R),FALSE),0)</f>
        <v>1520690</v>
      </c>
      <c r="U124" s="217">
        <f>IFERROR(VLOOKUP(Vertailu[[#This Row],[Y-tunnus]],'1.2 Ohjaus-laskentataulu'!A:AT,COLUMN('1.2 Ohjaus-laskentataulu'!AT:AT),FALSE),0)</f>
        <v>1799763</v>
      </c>
      <c r="V124" s="249">
        <f>IFERROR(Vertailu[[#This Row],[Rahoitus ml. hark. kor. + alv 2020, €]]-Vertailu[[#This Row],[Rahoitus ml. hark. kor. + alv 2019, €]],0)</f>
        <v>279073</v>
      </c>
      <c r="W124" s="46">
        <f>IFERROR(Vertailu[[#This Row],[Muutos, € 3]]/Vertailu[[#This Row],[Rahoitus ml. hark. kor. + alv 2019, €]],0)</f>
        <v>0.1835173506763377</v>
      </c>
    </row>
    <row r="125" spans="1:23" ht="12.75" customHeight="1" x14ac:dyDescent="0.25">
      <c r="A125" s="12" t="s">
        <v>281</v>
      </c>
      <c r="B125" s="297" t="s">
        <v>879</v>
      </c>
      <c r="C125" s="297" t="s">
        <v>271</v>
      </c>
      <c r="D125" s="297" t="s">
        <v>423</v>
      </c>
      <c r="E125" s="22">
        <f>IFERROR(VLOOKUP(Vertailu[[#This Row],[Y-tunnus]],'1.2 Ohjaus-laskentataulu'!A:AT,COLUMN('1.2 Ohjaus-laskentataulu'!L:L),FALSE)/VLOOKUP(Vertailu[[#This Row],[Y-tunnus]],'1.2 Ohjaus-laskentataulu'!A:AT,COLUMN('1.2 Ohjaus-laskentataulu'!AR:AR),FALSE),0)</f>
        <v>0.58103928608493149</v>
      </c>
      <c r="F125" s="46">
        <f>IFERROR(VLOOKUP(Vertailu[[#This Row],[Y-tunnus]],'1.2 Ohjaus-laskentataulu'!A:AT,COLUMN('1.2 Ohjaus-laskentataulu'!AO:AO),FALSE)/VLOOKUP(Vertailu[[#This Row],[Y-tunnus]],'1.2 Ohjaus-laskentataulu'!A:AT,COLUMN('1.2 Ohjaus-laskentataulu'!AR:AR),FALSE),0)</f>
        <v>0.58103928608493149</v>
      </c>
      <c r="G125" s="299">
        <f>IFERROR(VLOOKUP(Vertailu[[#This Row],[Y-tunnus]],'1.2 Ohjaus-laskentataulu'!A:AT,COLUMN('1.2 Ohjaus-laskentataulu'!AP:AP),FALSE)/VLOOKUP(Vertailu[[#This Row],[Y-tunnus]],'1.2 Ohjaus-laskentataulu'!A:AT,COLUMN('1.2 Ohjaus-laskentataulu'!AR:AR),FALSE),0)</f>
        <v>0.22153245896316912</v>
      </c>
      <c r="H125" s="22">
        <f>IFERROR(VLOOKUP(Vertailu[[#This Row],[Y-tunnus]],'1.2 Ohjaus-laskentataulu'!A:AT,COLUMN('1.2 Ohjaus-laskentataulu'!AQ:AQ),FALSE)/VLOOKUP(Vertailu[[#This Row],[Y-tunnus]],'1.2 Ohjaus-laskentataulu'!A:AT,COLUMN('1.2 Ohjaus-laskentataulu'!AR:AR),FALSE),0)</f>
        <v>0.19742825495189942</v>
      </c>
      <c r="I125" s="19">
        <f>IFERROR(VLOOKUP(Vertailu[[#This Row],[Y-tunnus]],'1.2 Ohjaus-laskentataulu'!A:AT,COLUMN('1.2 Ohjaus-laskentataulu'!R:R),FALSE)/VLOOKUP(Vertailu[[#This Row],[Y-tunnus]],'1.2 Ohjaus-laskentataulu'!A:AT,COLUMN('1.2 Ohjaus-laskentataulu'!AR:AR),FALSE),0)</f>
        <v>0.12790278362750684</v>
      </c>
      <c r="J125" s="19">
        <f>IFERROR(VLOOKUP(Vertailu[[#This Row],[Y-tunnus]],'1.2 Ohjaus-laskentataulu'!A:AT,COLUMN('1.2 Ohjaus-laskentataulu'!U:U),FALSE)/VLOOKUP(Vertailu[[#This Row],[Y-tunnus]],'1.2 Ohjaus-laskentataulu'!A:AT,COLUMN('1.2 Ohjaus-laskentataulu'!AR:AR),FALSE),0)</f>
        <v>1.1484941888802697E-2</v>
      </c>
      <c r="K125" s="46">
        <f>IFERROR(VLOOKUP(Vertailu[[#This Row],[Y-tunnus]],'1.2 Ohjaus-laskentataulu'!A:AT,COLUMN('1.2 Ohjaus-laskentataulu'!X:X),FALSE)/VLOOKUP(Vertailu[[#This Row],[Y-tunnus]],'1.2 Ohjaus-laskentataulu'!A:AT,COLUMN('1.2 Ohjaus-laskentataulu'!AR:AR),FALSE),0)</f>
        <v>5.804052943558987E-2</v>
      </c>
      <c r="L125" s="21">
        <f>IFERROR(VLOOKUP(Vertailu[[#This Row],[Y-tunnus]],'3.2 Suoritepäätös 2019'!$A:$S,COLUMN('3.2 Suoritepäätös 2019'!Q:Q),FALSE)-VLOOKUP(Vertailu[[#This Row],[Y-tunnus]],'3.2 Suoritepäätös 2019'!$A:$S,COLUMN('3.2 Suoritepäätös 2019'!L:L),FALSE),0)</f>
        <v>3942347</v>
      </c>
      <c r="M125" s="21">
        <f>IFERROR(VLOOKUP(Vertailu[[#This Row],[Y-tunnus]],'1.2 Ohjaus-laskentataulu'!A:AT,COLUMN('1.2 Ohjaus-laskentataulu'!Z:Z),FALSE),0)</f>
        <v>4952746</v>
      </c>
      <c r="N125" s="21">
        <f>IFERROR(Vertailu[[#This Row],[Rahoitus pl. hark. kor. 2020 ilman alv, €]]-Vertailu[[#This Row],[Rahoitus pl. hark. kor. 2019 ilman alv, €]],0)</f>
        <v>1010399</v>
      </c>
      <c r="O125" s="46">
        <f>IFERROR(Vertailu[[#This Row],[Muutos, € 1]]/Vertailu[[#This Row],[Rahoitus pl. hark. kor. 2019 ilman alv, €]],0)</f>
        <v>0.2562937762708356</v>
      </c>
      <c r="P125" s="217">
        <f>IFERROR(VLOOKUP(Vertailu[[#This Row],[Y-tunnus]],'3.2 Suoritepäätös 2019'!$A:$S,COLUMN('3.2 Suoritepäätös 2019'!Q:Q),FALSE),0)</f>
        <v>3942347</v>
      </c>
      <c r="Q125" s="243">
        <f>IFERROR(VLOOKUP(Vertailu[[#This Row],[Y-tunnus]],'1.2 Ohjaus-laskentataulu'!A:AT,COLUMN('1.2 Ohjaus-laskentataulu'!AR:AR),FALSE),0)</f>
        <v>4952746</v>
      </c>
      <c r="R125" s="21">
        <f>IFERROR(Vertailu[[#This Row],[Rahoitus ml. hark. kor. 
2020 ilman alv, €]]-Vertailu[[#This Row],[Rahoitus ml. hark. kor. 
2019 ilman alv, €]],0)</f>
        <v>1010399</v>
      </c>
      <c r="S125" s="19">
        <f>IFERROR(Vertailu[[#This Row],[Muutos, € 2]]/Vertailu[[#This Row],[Rahoitus ml. hark. kor. 
2019 ilman alv, €]],0)</f>
        <v>0.2562937762708356</v>
      </c>
      <c r="T125" s="243">
        <f>IFERROR(VLOOKUP(Vertailu[[#This Row],[Y-tunnus]],'3.2 Suoritepäätös 2019'!$A:$S,COLUMN('3.2 Suoritepäätös 2019'!Q:Q),FALSE)+VLOOKUP(Vertailu[[#This Row],[Y-tunnus]],'3.2 Suoritepäätös 2019'!$A:$S,COLUMN('3.2 Suoritepäätös 2019'!R:R),FALSE),0)</f>
        <v>4152539</v>
      </c>
      <c r="U125" s="217">
        <f>IFERROR(VLOOKUP(Vertailu[[#This Row],[Y-tunnus]],'1.2 Ohjaus-laskentataulu'!A:AT,COLUMN('1.2 Ohjaus-laskentataulu'!AT:AT),FALSE),0)</f>
        <v>5169248</v>
      </c>
      <c r="V125" s="249">
        <f>IFERROR(Vertailu[[#This Row],[Rahoitus ml. hark. kor. + alv 2020, €]]-Vertailu[[#This Row],[Rahoitus ml. hark. kor. + alv 2019, €]],0)</f>
        <v>1016709</v>
      </c>
      <c r="W125" s="46">
        <f>IFERROR(Vertailu[[#This Row],[Muutos, € 3]]/Vertailu[[#This Row],[Rahoitus ml. hark. kor. + alv 2019, €]],0)</f>
        <v>0.24484032540091738</v>
      </c>
    </row>
    <row r="126" spans="1:23" ht="12.75" customHeight="1" x14ac:dyDescent="0.25">
      <c r="A126" s="12" t="s">
        <v>280</v>
      </c>
      <c r="B126" s="297" t="s">
        <v>128</v>
      </c>
      <c r="C126" s="297" t="s">
        <v>271</v>
      </c>
      <c r="D126" s="297" t="s">
        <v>422</v>
      </c>
      <c r="E126" s="22">
        <f>IFERROR(VLOOKUP(Vertailu[[#This Row],[Y-tunnus]],'1.2 Ohjaus-laskentataulu'!A:AT,COLUMN('1.2 Ohjaus-laskentataulu'!L:L),FALSE)/VLOOKUP(Vertailu[[#This Row],[Y-tunnus]],'1.2 Ohjaus-laskentataulu'!A:AT,COLUMN('1.2 Ohjaus-laskentataulu'!AR:AR),FALSE),0)</f>
        <v>0.67466229552624102</v>
      </c>
      <c r="F126" s="46">
        <f>IFERROR(VLOOKUP(Vertailu[[#This Row],[Y-tunnus]],'1.2 Ohjaus-laskentataulu'!A:AT,COLUMN('1.2 Ohjaus-laskentataulu'!AO:AO),FALSE)/VLOOKUP(Vertailu[[#This Row],[Y-tunnus]],'1.2 Ohjaus-laskentataulu'!A:AT,COLUMN('1.2 Ohjaus-laskentataulu'!AR:AR),FALSE),0)</f>
        <v>0.67466229552624102</v>
      </c>
      <c r="G126" s="299">
        <f>IFERROR(VLOOKUP(Vertailu[[#This Row],[Y-tunnus]],'1.2 Ohjaus-laskentataulu'!A:AT,COLUMN('1.2 Ohjaus-laskentataulu'!AP:AP),FALSE)/VLOOKUP(Vertailu[[#This Row],[Y-tunnus]],'1.2 Ohjaus-laskentataulu'!A:AT,COLUMN('1.2 Ohjaus-laskentataulu'!AR:AR),FALSE),0)</f>
        <v>0.2046471136024092</v>
      </c>
      <c r="H126" s="22">
        <f>IFERROR(VLOOKUP(Vertailu[[#This Row],[Y-tunnus]],'1.2 Ohjaus-laskentataulu'!A:AT,COLUMN('1.2 Ohjaus-laskentataulu'!AQ:AQ),FALSE)/VLOOKUP(Vertailu[[#This Row],[Y-tunnus]],'1.2 Ohjaus-laskentataulu'!A:AT,COLUMN('1.2 Ohjaus-laskentataulu'!AR:AR),FALSE),0)</f>
        <v>0.12069059087134978</v>
      </c>
      <c r="I126" s="19">
        <f>IFERROR(VLOOKUP(Vertailu[[#This Row],[Y-tunnus]],'1.2 Ohjaus-laskentataulu'!A:AT,COLUMN('1.2 Ohjaus-laskentataulu'!R:R),FALSE)/VLOOKUP(Vertailu[[#This Row],[Y-tunnus]],'1.2 Ohjaus-laskentataulu'!A:AT,COLUMN('1.2 Ohjaus-laskentataulu'!AR:AR),FALSE),0)</f>
        <v>9.722290396465294E-2</v>
      </c>
      <c r="J126" s="19">
        <f>IFERROR(VLOOKUP(Vertailu[[#This Row],[Y-tunnus]],'1.2 Ohjaus-laskentataulu'!A:AT,COLUMN('1.2 Ohjaus-laskentataulu'!U:U),FALSE)/VLOOKUP(Vertailu[[#This Row],[Y-tunnus]],'1.2 Ohjaus-laskentataulu'!A:AT,COLUMN('1.2 Ohjaus-laskentataulu'!AR:AR),FALSE),0)</f>
        <v>3.7764689859428936E-3</v>
      </c>
      <c r="K126" s="46">
        <f>IFERROR(VLOOKUP(Vertailu[[#This Row],[Y-tunnus]],'1.2 Ohjaus-laskentataulu'!A:AT,COLUMN('1.2 Ohjaus-laskentataulu'!X:X),FALSE)/VLOOKUP(Vertailu[[#This Row],[Y-tunnus]],'1.2 Ohjaus-laskentataulu'!A:AT,COLUMN('1.2 Ohjaus-laskentataulu'!AR:AR),FALSE),0)</f>
        <v>1.9691217920753953E-2</v>
      </c>
      <c r="L126" s="21">
        <f>IFERROR(VLOOKUP(Vertailu[[#This Row],[Y-tunnus]],'3.2 Suoritepäätös 2019'!$A:$S,COLUMN('3.2 Suoritepäätös 2019'!Q:Q),FALSE)-VLOOKUP(Vertailu[[#This Row],[Y-tunnus]],'3.2 Suoritepäätös 2019'!$A:$S,COLUMN('3.2 Suoritepäätös 2019'!L:L),FALSE),0)</f>
        <v>5223004</v>
      </c>
      <c r="M126" s="21">
        <f>IFERROR(VLOOKUP(Vertailu[[#This Row],[Y-tunnus]],'1.2 Ohjaus-laskentataulu'!A:AT,COLUMN('1.2 Ohjaus-laskentataulu'!Z:Z),FALSE),0)</f>
        <v>5785828</v>
      </c>
      <c r="N126" s="21">
        <f>IFERROR(Vertailu[[#This Row],[Rahoitus pl. hark. kor. 2020 ilman alv, €]]-Vertailu[[#This Row],[Rahoitus pl. hark. kor. 2019 ilman alv, €]],0)</f>
        <v>562824</v>
      </c>
      <c r="O126" s="46">
        <f>IFERROR(Vertailu[[#This Row],[Muutos, € 1]]/Vertailu[[#This Row],[Rahoitus pl. hark. kor. 2019 ilman alv, €]],0)</f>
        <v>0.10775867680744644</v>
      </c>
      <c r="P126" s="217">
        <f>IFERROR(VLOOKUP(Vertailu[[#This Row],[Y-tunnus]],'3.2 Suoritepäätös 2019'!$A:$S,COLUMN('3.2 Suoritepäätös 2019'!Q:Q),FALSE),0)</f>
        <v>5223004</v>
      </c>
      <c r="Q126" s="243">
        <f>IFERROR(VLOOKUP(Vertailu[[#This Row],[Y-tunnus]],'1.2 Ohjaus-laskentataulu'!A:AT,COLUMN('1.2 Ohjaus-laskentataulu'!AR:AR),FALSE),0)</f>
        <v>5785828</v>
      </c>
      <c r="R126" s="21">
        <f>IFERROR(Vertailu[[#This Row],[Rahoitus ml. hark. kor. 
2020 ilman alv, €]]-Vertailu[[#This Row],[Rahoitus ml. hark. kor. 
2019 ilman alv, €]],0)</f>
        <v>562824</v>
      </c>
      <c r="S126" s="19">
        <f>IFERROR(Vertailu[[#This Row],[Muutos, € 2]]/Vertailu[[#This Row],[Rahoitus ml. hark. kor. 
2019 ilman alv, €]],0)</f>
        <v>0.10775867680744644</v>
      </c>
      <c r="T126" s="243">
        <f>IFERROR(VLOOKUP(Vertailu[[#This Row],[Y-tunnus]],'3.2 Suoritepäätös 2019'!$A:$S,COLUMN('3.2 Suoritepäätös 2019'!Q:Q),FALSE)+VLOOKUP(Vertailu[[#This Row],[Y-tunnus]],'3.2 Suoritepäätös 2019'!$A:$S,COLUMN('3.2 Suoritepäätös 2019'!R:R),FALSE),0)</f>
        <v>5223004</v>
      </c>
      <c r="U126" s="217">
        <f>IFERROR(VLOOKUP(Vertailu[[#This Row],[Y-tunnus]],'1.2 Ohjaus-laskentataulu'!A:AT,COLUMN('1.2 Ohjaus-laskentataulu'!AT:AT),FALSE),0)</f>
        <v>5785828</v>
      </c>
      <c r="V126" s="249">
        <f>IFERROR(Vertailu[[#This Row],[Rahoitus ml. hark. kor. + alv 2020, €]]-Vertailu[[#This Row],[Rahoitus ml. hark. kor. + alv 2019, €]],0)</f>
        <v>562824</v>
      </c>
      <c r="W126" s="46">
        <f>IFERROR(Vertailu[[#This Row],[Muutos, € 3]]/Vertailu[[#This Row],[Rahoitus ml. hark. kor. + alv 2019, €]],0)</f>
        <v>0.10775867680744644</v>
      </c>
    </row>
    <row r="127" spans="1:23" ht="12.75" customHeight="1" x14ac:dyDescent="0.25">
      <c r="A127" s="12" t="s">
        <v>279</v>
      </c>
      <c r="B127" s="297" t="s">
        <v>129</v>
      </c>
      <c r="C127" s="297" t="s">
        <v>238</v>
      </c>
      <c r="D127" s="297" t="s">
        <v>423</v>
      </c>
      <c r="E127" s="22">
        <f>IFERROR(VLOOKUP(Vertailu[[#This Row],[Y-tunnus]],'1.2 Ohjaus-laskentataulu'!A:AT,COLUMN('1.2 Ohjaus-laskentataulu'!L:L),FALSE)/VLOOKUP(Vertailu[[#This Row],[Y-tunnus]],'1.2 Ohjaus-laskentataulu'!A:AT,COLUMN('1.2 Ohjaus-laskentataulu'!AR:AR),FALSE),0)</f>
        <v>0.6756652743960565</v>
      </c>
      <c r="F127" s="46">
        <f>IFERROR(VLOOKUP(Vertailu[[#This Row],[Y-tunnus]],'1.2 Ohjaus-laskentataulu'!A:AT,COLUMN('1.2 Ohjaus-laskentataulu'!AO:AO),FALSE)/VLOOKUP(Vertailu[[#This Row],[Y-tunnus]],'1.2 Ohjaus-laskentataulu'!A:AT,COLUMN('1.2 Ohjaus-laskentataulu'!AR:AR),FALSE),0)</f>
        <v>0.6771816153964817</v>
      </c>
      <c r="G127" s="299">
        <f>IFERROR(VLOOKUP(Vertailu[[#This Row],[Y-tunnus]],'1.2 Ohjaus-laskentataulu'!A:AT,COLUMN('1.2 Ohjaus-laskentataulu'!AP:AP),FALSE)/VLOOKUP(Vertailu[[#This Row],[Y-tunnus]],'1.2 Ohjaus-laskentataulu'!A:AT,COLUMN('1.2 Ohjaus-laskentataulu'!AR:AR),FALSE),0)</f>
        <v>0.20966234725138932</v>
      </c>
      <c r="H127" s="22">
        <f>IFERROR(VLOOKUP(Vertailu[[#This Row],[Y-tunnus]],'1.2 Ohjaus-laskentataulu'!A:AT,COLUMN('1.2 Ohjaus-laskentataulu'!AQ:AQ),FALSE)/VLOOKUP(Vertailu[[#This Row],[Y-tunnus]],'1.2 Ohjaus-laskentataulu'!A:AT,COLUMN('1.2 Ohjaus-laskentataulu'!AR:AR),FALSE),0)</f>
        <v>0.11315603735212895</v>
      </c>
      <c r="I127" s="19">
        <f>IFERROR(VLOOKUP(Vertailu[[#This Row],[Y-tunnus]],'1.2 Ohjaus-laskentataulu'!A:AT,COLUMN('1.2 Ohjaus-laskentataulu'!R:R),FALSE)/VLOOKUP(Vertailu[[#This Row],[Y-tunnus]],'1.2 Ohjaus-laskentataulu'!A:AT,COLUMN('1.2 Ohjaus-laskentataulu'!AR:AR),FALSE),0)</f>
        <v>8.6178208077164364E-2</v>
      </c>
      <c r="J127" s="19">
        <f>IFERROR(VLOOKUP(Vertailu[[#This Row],[Y-tunnus]],'1.2 Ohjaus-laskentataulu'!A:AT,COLUMN('1.2 Ohjaus-laskentataulu'!U:U),FALSE)/VLOOKUP(Vertailu[[#This Row],[Y-tunnus]],'1.2 Ohjaus-laskentataulu'!A:AT,COLUMN('1.2 Ohjaus-laskentataulu'!AR:AR),FALSE),0)</f>
        <v>4.8737221541665914E-3</v>
      </c>
      <c r="K127" s="46">
        <f>IFERROR(VLOOKUP(Vertailu[[#This Row],[Y-tunnus]],'1.2 Ohjaus-laskentataulu'!A:AT,COLUMN('1.2 Ohjaus-laskentataulu'!X:X),FALSE)/VLOOKUP(Vertailu[[#This Row],[Y-tunnus]],'1.2 Ohjaus-laskentataulu'!A:AT,COLUMN('1.2 Ohjaus-laskentataulu'!AR:AR),FALSE),0)</f>
        <v>2.2104107120797991E-2</v>
      </c>
      <c r="L127" s="21">
        <f>IFERROR(VLOOKUP(Vertailu[[#This Row],[Y-tunnus]],'3.2 Suoritepäätös 2019'!$A:$S,COLUMN('3.2 Suoritepäätös 2019'!Q:Q),FALSE)-VLOOKUP(Vertailu[[#This Row],[Y-tunnus]],'3.2 Suoritepäätös 2019'!$A:$S,COLUMN('3.2 Suoritepäätös 2019'!L:L),FALSE),0)</f>
        <v>9885470</v>
      </c>
      <c r="M127" s="21">
        <f>IFERROR(VLOOKUP(Vertailu[[#This Row],[Y-tunnus]],'1.2 Ohjaus-laskentataulu'!A:AT,COLUMN('1.2 Ohjaus-laskentataulu'!Z:Z),FALSE),0)</f>
        <v>9877234</v>
      </c>
      <c r="N127" s="21">
        <f>IFERROR(Vertailu[[#This Row],[Rahoitus pl. hark. kor. 2020 ilman alv, €]]-Vertailu[[#This Row],[Rahoitus pl. hark. kor. 2019 ilman alv, €]],0)</f>
        <v>-8236</v>
      </c>
      <c r="O127" s="46">
        <f>IFERROR(Vertailu[[#This Row],[Muutos, € 1]]/Vertailu[[#This Row],[Rahoitus pl. hark. kor. 2019 ilman alv, €]],0)</f>
        <v>-8.331419750401347E-4</v>
      </c>
      <c r="P127" s="217">
        <f>IFERROR(VLOOKUP(Vertailu[[#This Row],[Y-tunnus]],'3.2 Suoritepäätös 2019'!$A:$S,COLUMN('3.2 Suoritepäätös 2019'!Q:Q),FALSE),0)</f>
        <v>9985470</v>
      </c>
      <c r="Q127" s="243">
        <f>IFERROR(VLOOKUP(Vertailu[[#This Row],[Y-tunnus]],'1.2 Ohjaus-laskentataulu'!A:AT,COLUMN('1.2 Ohjaus-laskentataulu'!AR:AR),FALSE),0)</f>
        <v>9892234</v>
      </c>
      <c r="R127" s="21">
        <f>IFERROR(Vertailu[[#This Row],[Rahoitus ml. hark. kor. 
2020 ilman alv, €]]-Vertailu[[#This Row],[Rahoitus ml. hark. kor. 
2019 ilman alv, €]],0)</f>
        <v>-93236</v>
      </c>
      <c r="S127" s="19">
        <f>IFERROR(Vertailu[[#This Row],[Muutos, € 2]]/Vertailu[[#This Row],[Rahoitus ml. hark. kor. 
2019 ilman alv, €]],0)</f>
        <v>-9.3371669035108018E-3</v>
      </c>
      <c r="T127" s="243">
        <f>IFERROR(VLOOKUP(Vertailu[[#This Row],[Y-tunnus]],'3.2 Suoritepäätös 2019'!$A:$S,COLUMN('3.2 Suoritepäätös 2019'!Q:Q),FALSE)+VLOOKUP(Vertailu[[#This Row],[Y-tunnus]],'3.2 Suoritepäätös 2019'!$A:$S,COLUMN('3.2 Suoritepäätös 2019'!R:R),FALSE),0)</f>
        <v>10388288</v>
      </c>
      <c r="U127" s="217">
        <f>IFERROR(VLOOKUP(Vertailu[[#This Row],[Y-tunnus]],'1.2 Ohjaus-laskentataulu'!A:AT,COLUMN('1.2 Ohjaus-laskentataulu'!AT:AT),FALSE),0)</f>
        <v>10506852</v>
      </c>
      <c r="V127" s="249">
        <f>IFERROR(Vertailu[[#This Row],[Rahoitus ml. hark. kor. + alv 2020, €]]-Vertailu[[#This Row],[Rahoitus ml. hark. kor. + alv 2019, €]],0)</f>
        <v>118564</v>
      </c>
      <c r="W127" s="46">
        <f>IFERROR(Vertailu[[#This Row],[Muutos, € 3]]/Vertailu[[#This Row],[Rahoitus ml. hark. kor. + alv 2019, €]],0)</f>
        <v>1.1413237676891515E-2</v>
      </c>
    </row>
    <row r="128" spans="1:23" ht="12.75" customHeight="1" x14ac:dyDescent="0.25">
      <c r="A128" s="12" t="s">
        <v>278</v>
      </c>
      <c r="B128" s="297" t="s">
        <v>130</v>
      </c>
      <c r="C128" s="297" t="s">
        <v>244</v>
      </c>
      <c r="D128" s="297" t="s">
        <v>422</v>
      </c>
      <c r="E128" s="22">
        <f>IFERROR(VLOOKUP(Vertailu[[#This Row],[Y-tunnus]],'1.2 Ohjaus-laskentataulu'!A:AT,COLUMN('1.2 Ohjaus-laskentataulu'!L:L),FALSE)/VLOOKUP(Vertailu[[#This Row],[Y-tunnus]],'1.2 Ohjaus-laskentataulu'!A:AT,COLUMN('1.2 Ohjaus-laskentataulu'!AR:AR),FALSE),0)</f>
        <v>0.6570134479357036</v>
      </c>
      <c r="F128" s="46">
        <f>IFERROR(VLOOKUP(Vertailu[[#This Row],[Y-tunnus]],'1.2 Ohjaus-laskentataulu'!A:AT,COLUMN('1.2 Ohjaus-laskentataulu'!AO:AO),FALSE)/VLOOKUP(Vertailu[[#This Row],[Y-tunnus]],'1.2 Ohjaus-laskentataulu'!A:AT,COLUMN('1.2 Ohjaus-laskentataulu'!AR:AR),FALSE),0)</f>
        <v>0.66216164821176293</v>
      </c>
      <c r="G128" s="299">
        <f>IFERROR(VLOOKUP(Vertailu[[#This Row],[Y-tunnus]],'1.2 Ohjaus-laskentataulu'!A:AT,COLUMN('1.2 Ohjaus-laskentataulu'!AP:AP),FALSE)/VLOOKUP(Vertailu[[#This Row],[Y-tunnus]],'1.2 Ohjaus-laskentataulu'!A:AT,COLUMN('1.2 Ohjaus-laskentataulu'!AR:AR),FALSE),0)</f>
        <v>0.23439897432405901</v>
      </c>
      <c r="H128" s="22">
        <f>IFERROR(VLOOKUP(Vertailu[[#This Row],[Y-tunnus]],'1.2 Ohjaus-laskentataulu'!A:AT,COLUMN('1.2 Ohjaus-laskentataulu'!AQ:AQ),FALSE)/VLOOKUP(Vertailu[[#This Row],[Y-tunnus]],'1.2 Ohjaus-laskentataulu'!A:AT,COLUMN('1.2 Ohjaus-laskentataulu'!AR:AR),FALSE),0)</f>
        <v>0.10343937746417801</v>
      </c>
      <c r="I128" s="19">
        <f>IFERROR(VLOOKUP(Vertailu[[#This Row],[Y-tunnus]],'1.2 Ohjaus-laskentataulu'!A:AT,COLUMN('1.2 Ohjaus-laskentataulu'!R:R),FALSE)/VLOOKUP(Vertailu[[#This Row],[Y-tunnus]],'1.2 Ohjaus-laskentataulu'!A:AT,COLUMN('1.2 Ohjaus-laskentataulu'!AR:AR),FALSE),0)</f>
        <v>8.057319547053618E-2</v>
      </c>
      <c r="J128" s="19">
        <f>IFERROR(VLOOKUP(Vertailu[[#This Row],[Y-tunnus]],'1.2 Ohjaus-laskentataulu'!A:AT,COLUMN('1.2 Ohjaus-laskentataulu'!U:U),FALSE)/VLOOKUP(Vertailu[[#This Row],[Y-tunnus]],'1.2 Ohjaus-laskentataulu'!A:AT,COLUMN('1.2 Ohjaus-laskentataulu'!AR:AR),FALSE),0)</f>
        <v>6.9870730621643257E-3</v>
      </c>
      <c r="K128" s="46">
        <f>IFERROR(VLOOKUP(Vertailu[[#This Row],[Y-tunnus]],'1.2 Ohjaus-laskentataulu'!A:AT,COLUMN('1.2 Ohjaus-laskentataulu'!X:X),FALSE)/VLOOKUP(Vertailu[[#This Row],[Y-tunnus]],'1.2 Ohjaus-laskentataulu'!A:AT,COLUMN('1.2 Ohjaus-laskentataulu'!AR:AR),FALSE),0)</f>
        <v>1.587910893147752E-2</v>
      </c>
      <c r="L128" s="21">
        <f>IFERROR(VLOOKUP(Vertailu[[#This Row],[Y-tunnus]],'3.2 Suoritepäätös 2019'!$A:$S,COLUMN('3.2 Suoritepäätös 2019'!Q:Q),FALSE)-VLOOKUP(Vertailu[[#This Row],[Y-tunnus]],'3.2 Suoritepäätös 2019'!$A:$S,COLUMN('3.2 Suoritepäätös 2019'!L:L),FALSE),0)</f>
        <v>14841074</v>
      </c>
      <c r="M128" s="21">
        <f>IFERROR(VLOOKUP(Vertailu[[#This Row],[Y-tunnus]],'1.2 Ohjaus-laskentataulu'!A:AT,COLUMN('1.2 Ohjaus-laskentataulu'!Z:Z),FALSE),0)</f>
        <v>15459411</v>
      </c>
      <c r="N128" s="21">
        <f>IFERROR(Vertailu[[#This Row],[Rahoitus pl. hark. kor. 2020 ilman alv, €]]-Vertailu[[#This Row],[Rahoitus pl. hark. kor. 2019 ilman alv, €]],0)</f>
        <v>618337</v>
      </c>
      <c r="O128" s="46">
        <f>IFERROR(Vertailu[[#This Row],[Muutos, € 1]]/Vertailu[[#This Row],[Rahoitus pl. hark. kor. 2019 ilman alv, €]],0)</f>
        <v>4.1663898448319844E-2</v>
      </c>
      <c r="P128" s="217">
        <f>IFERROR(VLOOKUP(Vertailu[[#This Row],[Y-tunnus]],'3.2 Suoritepäätös 2019'!$A:$S,COLUMN('3.2 Suoritepäätös 2019'!Q:Q),FALSE),0)</f>
        <v>14841074</v>
      </c>
      <c r="Q128" s="243">
        <f>IFERROR(VLOOKUP(Vertailu[[#This Row],[Y-tunnus]],'1.2 Ohjaus-laskentataulu'!A:AT,COLUMN('1.2 Ohjaus-laskentataulu'!AR:AR),FALSE),0)</f>
        <v>15539411</v>
      </c>
      <c r="R128" s="21">
        <f>IFERROR(Vertailu[[#This Row],[Rahoitus ml. hark. kor. 
2020 ilman alv, €]]-Vertailu[[#This Row],[Rahoitus ml. hark. kor. 
2019 ilman alv, €]],0)</f>
        <v>698337</v>
      </c>
      <c r="S128" s="19">
        <f>IFERROR(Vertailu[[#This Row],[Muutos, € 2]]/Vertailu[[#This Row],[Rahoitus ml. hark. kor. 
2019 ilman alv, €]],0)</f>
        <v>4.7054343910690022E-2</v>
      </c>
      <c r="T128" s="243">
        <f>IFERROR(VLOOKUP(Vertailu[[#This Row],[Y-tunnus]],'3.2 Suoritepäätös 2019'!$A:$S,COLUMN('3.2 Suoritepäätös 2019'!Q:Q),FALSE)+VLOOKUP(Vertailu[[#This Row],[Y-tunnus]],'3.2 Suoritepäätös 2019'!$A:$S,COLUMN('3.2 Suoritepäätös 2019'!R:R),FALSE),0)</f>
        <v>14841074</v>
      </c>
      <c r="U128" s="217">
        <f>IFERROR(VLOOKUP(Vertailu[[#This Row],[Y-tunnus]],'1.2 Ohjaus-laskentataulu'!A:AT,COLUMN('1.2 Ohjaus-laskentataulu'!AT:AT),FALSE),0)</f>
        <v>15539411</v>
      </c>
      <c r="V128" s="249">
        <f>IFERROR(Vertailu[[#This Row],[Rahoitus ml. hark. kor. + alv 2020, €]]-Vertailu[[#This Row],[Rahoitus ml. hark. kor. + alv 2019, €]],0)</f>
        <v>698337</v>
      </c>
      <c r="W128" s="46">
        <f>IFERROR(Vertailu[[#This Row],[Muutos, € 3]]/Vertailu[[#This Row],[Rahoitus ml. hark. kor. + alv 2019, €]],0)</f>
        <v>4.7054343910690022E-2</v>
      </c>
    </row>
    <row r="129" spans="1:23" ht="12.75" customHeight="1" x14ac:dyDescent="0.25">
      <c r="A129" s="12" t="s">
        <v>277</v>
      </c>
      <c r="B129" s="297" t="s">
        <v>131</v>
      </c>
      <c r="C129" s="297" t="s">
        <v>249</v>
      </c>
      <c r="D129" s="297" t="s">
        <v>423</v>
      </c>
      <c r="E129" s="22">
        <f>IFERROR(VLOOKUP(Vertailu[[#This Row],[Y-tunnus]],'1.2 Ohjaus-laskentataulu'!A:AT,COLUMN('1.2 Ohjaus-laskentataulu'!L:L),FALSE)/VLOOKUP(Vertailu[[#This Row],[Y-tunnus]],'1.2 Ohjaus-laskentataulu'!A:AT,COLUMN('1.2 Ohjaus-laskentataulu'!AR:AR),FALSE),0)</f>
        <v>0.64945947954747774</v>
      </c>
      <c r="F129" s="46">
        <f>IFERROR(VLOOKUP(Vertailu[[#This Row],[Y-tunnus]],'1.2 Ohjaus-laskentataulu'!A:AT,COLUMN('1.2 Ohjaus-laskentataulu'!AO:AO),FALSE)/VLOOKUP(Vertailu[[#This Row],[Y-tunnus]],'1.2 Ohjaus-laskentataulu'!A:AT,COLUMN('1.2 Ohjaus-laskentataulu'!AR:AR),FALSE),0)</f>
        <v>0.65983050290820777</v>
      </c>
      <c r="G129" s="299">
        <f>IFERROR(VLOOKUP(Vertailu[[#This Row],[Y-tunnus]],'1.2 Ohjaus-laskentataulu'!A:AT,COLUMN('1.2 Ohjaus-laskentataulu'!AP:AP),FALSE)/VLOOKUP(Vertailu[[#This Row],[Y-tunnus]],'1.2 Ohjaus-laskentataulu'!A:AT,COLUMN('1.2 Ohjaus-laskentataulu'!AR:AR),FALSE),0)</f>
        <v>0.18494791153517073</v>
      </c>
      <c r="H129" s="22">
        <f>IFERROR(VLOOKUP(Vertailu[[#This Row],[Y-tunnus]],'1.2 Ohjaus-laskentataulu'!A:AT,COLUMN('1.2 Ohjaus-laskentataulu'!AQ:AQ),FALSE)/VLOOKUP(Vertailu[[#This Row],[Y-tunnus]],'1.2 Ohjaus-laskentataulu'!A:AT,COLUMN('1.2 Ohjaus-laskentataulu'!AR:AR),FALSE),0)</f>
        <v>0.15522158555662147</v>
      </c>
      <c r="I129" s="19">
        <f>IFERROR(VLOOKUP(Vertailu[[#This Row],[Y-tunnus]],'1.2 Ohjaus-laskentataulu'!A:AT,COLUMN('1.2 Ohjaus-laskentataulu'!R:R),FALSE)/VLOOKUP(Vertailu[[#This Row],[Y-tunnus]],'1.2 Ohjaus-laskentataulu'!A:AT,COLUMN('1.2 Ohjaus-laskentataulu'!AR:AR),FALSE),0)</f>
        <v>0.10245603118221024</v>
      </c>
      <c r="J129" s="19">
        <f>IFERROR(VLOOKUP(Vertailu[[#This Row],[Y-tunnus]],'1.2 Ohjaus-laskentataulu'!A:AT,COLUMN('1.2 Ohjaus-laskentataulu'!U:U),FALSE)/VLOOKUP(Vertailu[[#This Row],[Y-tunnus]],'1.2 Ohjaus-laskentataulu'!A:AT,COLUMN('1.2 Ohjaus-laskentataulu'!AR:AR),FALSE),0)</f>
        <v>1.2908397936166351E-2</v>
      </c>
      <c r="K129" s="46">
        <f>IFERROR(VLOOKUP(Vertailu[[#This Row],[Y-tunnus]],'1.2 Ohjaus-laskentataulu'!A:AT,COLUMN('1.2 Ohjaus-laskentataulu'!X:X),FALSE)/VLOOKUP(Vertailu[[#This Row],[Y-tunnus]],'1.2 Ohjaus-laskentataulu'!A:AT,COLUMN('1.2 Ohjaus-laskentataulu'!AR:AR),FALSE),0)</f>
        <v>3.9857156438244876E-2</v>
      </c>
      <c r="L129" s="21">
        <f>IFERROR(VLOOKUP(Vertailu[[#This Row],[Y-tunnus]],'3.2 Suoritepäätös 2019'!$A:$S,COLUMN('3.2 Suoritepäätös 2019'!Q:Q),FALSE)-VLOOKUP(Vertailu[[#This Row],[Y-tunnus]],'3.2 Suoritepäätös 2019'!$A:$S,COLUMN('3.2 Suoritepäätös 2019'!L:L),FALSE),0)</f>
        <v>13335578</v>
      </c>
      <c r="M129" s="21">
        <f>IFERROR(VLOOKUP(Vertailu[[#This Row],[Y-tunnus]],'1.2 Ohjaus-laskentataulu'!A:AT,COLUMN('1.2 Ohjaus-laskentataulu'!Z:Z),FALSE),0)</f>
        <v>14313375</v>
      </c>
      <c r="N129" s="21">
        <f>IFERROR(Vertailu[[#This Row],[Rahoitus pl. hark. kor. 2020 ilman alv, €]]-Vertailu[[#This Row],[Rahoitus pl. hark. kor. 2019 ilman alv, €]],0)</f>
        <v>977797</v>
      </c>
      <c r="O129" s="46">
        <f>IFERROR(Vertailu[[#This Row],[Muutos, € 1]]/Vertailu[[#This Row],[Rahoitus pl. hark. kor. 2019 ilman alv, €]],0)</f>
        <v>7.3322431168712746E-2</v>
      </c>
      <c r="P129" s="217">
        <f>IFERROR(VLOOKUP(Vertailu[[#This Row],[Y-tunnus]],'3.2 Suoritepäätös 2019'!$A:$S,COLUMN('3.2 Suoritepäätös 2019'!Q:Q),FALSE),0)</f>
        <v>13585578</v>
      </c>
      <c r="Q129" s="243">
        <f>IFERROR(VLOOKUP(Vertailu[[#This Row],[Y-tunnus]],'1.2 Ohjaus-laskentataulu'!A:AT,COLUMN('1.2 Ohjaus-laskentataulu'!AR:AR),FALSE),0)</f>
        <v>14463375</v>
      </c>
      <c r="R129" s="21">
        <f>IFERROR(Vertailu[[#This Row],[Rahoitus ml. hark. kor. 
2020 ilman alv, €]]-Vertailu[[#This Row],[Rahoitus ml. hark. kor. 
2019 ilman alv, €]],0)</f>
        <v>877797</v>
      </c>
      <c r="S129" s="19">
        <f>IFERROR(Vertailu[[#This Row],[Muutos, € 2]]/Vertailu[[#This Row],[Rahoitus ml. hark. kor. 
2019 ilman alv, €]],0)</f>
        <v>6.4612414723907954E-2</v>
      </c>
      <c r="T129" s="243">
        <f>IFERROR(VLOOKUP(Vertailu[[#This Row],[Y-tunnus]],'3.2 Suoritepäätös 2019'!$A:$S,COLUMN('3.2 Suoritepäätös 2019'!Q:Q),FALSE)+VLOOKUP(Vertailu[[#This Row],[Y-tunnus]],'3.2 Suoritepäätös 2019'!$A:$S,COLUMN('3.2 Suoritepäätös 2019'!R:R),FALSE),0)</f>
        <v>14308272</v>
      </c>
      <c r="U129" s="217">
        <f>IFERROR(VLOOKUP(Vertailu[[#This Row],[Y-tunnus]],'1.2 Ohjaus-laskentataulu'!A:AT,COLUMN('1.2 Ohjaus-laskentataulu'!AT:AT),FALSE),0)</f>
        <v>15177534</v>
      </c>
      <c r="V129" s="249">
        <f>IFERROR(Vertailu[[#This Row],[Rahoitus ml. hark. kor. + alv 2020, €]]-Vertailu[[#This Row],[Rahoitus ml. hark. kor. + alv 2019, €]],0)</f>
        <v>869262</v>
      </c>
      <c r="W129" s="46">
        <f>IFERROR(Vertailu[[#This Row],[Muutos, € 3]]/Vertailu[[#This Row],[Rahoitus ml. hark. kor. + alv 2019, €]],0)</f>
        <v>6.0752409515278993E-2</v>
      </c>
    </row>
    <row r="130" spans="1:23" ht="12.75" customHeight="1" x14ac:dyDescent="0.25">
      <c r="A130" s="12" t="s">
        <v>276</v>
      </c>
      <c r="B130" s="297" t="s">
        <v>132</v>
      </c>
      <c r="C130" s="297" t="s">
        <v>249</v>
      </c>
      <c r="D130" s="297" t="s">
        <v>424</v>
      </c>
      <c r="E130" s="22">
        <f>IFERROR(VLOOKUP(Vertailu[[#This Row],[Y-tunnus]],'1.2 Ohjaus-laskentataulu'!A:AT,COLUMN('1.2 Ohjaus-laskentataulu'!L:L),FALSE)/VLOOKUP(Vertailu[[#This Row],[Y-tunnus]],'1.2 Ohjaus-laskentataulu'!A:AT,COLUMN('1.2 Ohjaus-laskentataulu'!AR:AR),FALSE),0)</f>
        <v>0.65691589961587116</v>
      </c>
      <c r="F130" s="46">
        <f>IFERROR(VLOOKUP(Vertailu[[#This Row],[Y-tunnus]],'1.2 Ohjaus-laskentataulu'!A:AT,COLUMN('1.2 Ohjaus-laskentataulu'!AO:AO),FALSE)/VLOOKUP(Vertailu[[#This Row],[Y-tunnus]],'1.2 Ohjaus-laskentataulu'!A:AT,COLUMN('1.2 Ohjaus-laskentataulu'!AR:AR),FALSE),0)</f>
        <v>0.66009061869291685</v>
      </c>
      <c r="G130" s="299">
        <f>IFERROR(VLOOKUP(Vertailu[[#This Row],[Y-tunnus]],'1.2 Ohjaus-laskentataulu'!A:AT,COLUMN('1.2 Ohjaus-laskentataulu'!AP:AP),FALSE)/VLOOKUP(Vertailu[[#This Row],[Y-tunnus]],'1.2 Ohjaus-laskentataulu'!A:AT,COLUMN('1.2 Ohjaus-laskentataulu'!AR:AR),FALSE),0)</f>
        <v>0.21761103366288953</v>
      </c>
      <c r="H130" s="22">
        <f>IFERROR(VLOOKUP(Vertailu[[#This Row],[Y-tunnus]],'1.2 Ohjaus-laskentataulu'!A:AT,COLUMN('1.2 Ohjaus-laskentataulu'!AQ:AQ),FALSE)/VLOOKUP(Vertailu[[#This Row],[Y-tunnus]],'1.2 Ohjaus-laskentataulu'!A:AT,COLUMN('1.2 Ohjaus-laskentataulu'!AR:AR),FALSE),0)</f>
        <v>0.1222983476441936</v>
      </c>
      <c r="I130" s="19">
        <f>IFERROR(VLOOKUP(Vertailu[[#This Row],[Y-tunnus]],'1.2 Ohjaus-laskentataulu'!A:AT,COLUMN('1.2 Ohjaus-laskentataulu'!R:R),FALSE)/VLOOKUP(Vertailu[[#This Row],[Y-tunnus]],'1.2 Ohjaus-laskentataulu'!A:AT,COLUMN('1.2 Ohjaus-laskentataulu'!AR:AR),FALSE),0)</f>
        <v>9.6144633363293722E-2</v>
      </c>
      <c r="J130" s="19">
        <f>IFERROR(VLOOKUP(Vertailu[[#This Row],[Y-tunnus]],'1.2 Ohjaus-laskentataulu'!A:AT,COLUMN('1.2 Ohjaus-laskentataulu'!U:U),FALSE)/VLOOKUP(Vertailu[[#This Row],[Y-tunnus]],'1.2 Ohjaus-laskentataulu'!A:AT,COLUMN('1.2 Ohjaus-laskentataulu'!AR:AR),FALSE),0)</f>
        <v>6.6296193230986084E-3</v>
      </c>
      <c r="K130" s="46">
        <f>IFERROR(VLOOKUP(Vertailu[[#This Row],[Y-tunnus]],'1.2 Ohjaus-laskentataulu'!A:AT,COLUMN('1.2 Ohjaus-laskentataulu'!X:X),FALSE)/VLOOKUP(Vertailu[[#This Row],[Y-tunnus]],'1.2 Ohjaus-laskentataulu'!A:AT,COLUMN('1.2 Ohjaus-laskentataulu'!AR:AR),FALSE),0)</f>
        <v>1.9524094957801268E-2</v>
      </c>
      <c r="L130" s="21">
        <f>IFERROR(VLOOKUP(Vertailu[[#This Row],[Y-tunnus]],'3.2 Suoritepäätös 2019'!$A:$S,COLUMN('3.2 Suoritepäätös 2019'!Q:Q),FALSE)-VLOOKUP(Vertailu[[#This Row],[Y-tunnus]],'3.2 Suoritepäätös 2019'!$A:$S,COLUMN('3.2 Suoritepäätös 2019'!L:L),FALSE),0)</f>
        <v>76311186</v>
      </c>
      <c r="M130" s="21">
        <f>IFERROR(VLOOKUP(Vertailu[[#This Row],[Y-tunnus]],'1.2 Ohjaus-laskentataulu'!A:AT,COLUMN('1.2 Ohjaus-laskentataulu'!Z:Z),FALSE),0)</f>
        <v>81637010</v>
      </c>
      <c r="N130" s="21">
        <f>IFERROR(Vertailu[[#This Row],[Rahoitus pl. hark. kor. 2020 ilman alv, €]]-Vertailu[[#This Row],[Rahoitus pl. hark. kor. 2019 ilman alv, €]],0)</f>
        <v>5325824</v>
      </c>
      <c r="O130" s="46">
        <f>IFERROR(Vertailu[[#This Row],[Muutos, € 1]]/Vertailu[[#This Row],[Rahoitus pl. hark. kor. 2019 ilman alv, €]],0)</f>
        <v>6.9790869191837746E-2</v>
      </c>
      <c r="P130" s="217">
        <f>IFERROR(VLOOKUP(Vertailu[[#This Row],[Y-tunnus]],'3.2 Suoritepäätös 2019'!$A:$S,COLUMN('3.2 Suoritepäätös 2019'!Q:Q),FALSE),0)</f>
        <v>76461186</v>
      </c>
      <c r="Q130" s="243">
        <f>IFERROR(VLOOKUP(Vertailu[[#This Row],[Y-tunnus]],'1.2 Ohjaus-laskentataulu'!A:AT,COLUMN('1.2 Ohjaus-laskentataulu'!AR:AR),FALSE),0)</f>
        <v>81897010</v>
      </c>
      <c r="R130" s="21">
        <f>IFERROR(Vertailu[[#This Row],[Rahoitus ml. hark. kor. 
2020 ilman alv, €]]-Vertailu[[#This Row],[Rahoitus ml. hark. kor. 
2019 ilman alv, €]],0)</f>
        <v>5435824</v>
      </c>
      <c r="S130" s="19">
        <f>IFERROR(Vertailu[[#This Row],[Muutos, € 2]]/Vertailu[[#This Row],[Rahoitus ml. hark. kor. 
2019 ilman alv, €]],0)</f>
        <v>7.1092593306099128E-2</v>
      </c>
      <c r="T130" s="243">
        <f>IFERROR(VLOOKUP(Vertailu[[#This Row],[Y-tunnus]],'3.2 Suoritepäätös 2019'!$A:$S,COLUMN('3.2 Suoritepäätös 2019'!Q:Q),FALSE)+VLOOKUP(Vertailu[[#This Row],[Y-tunnus]],'3.2 Suoritepäätös 2019'!$A:$S,COLUMN('3.2 Suoritepäätös 2019'!R:R),FALSE),0)</f>
        <v>76461186</v>
      </c>
      <c r="U130" s="217">
        <f>IFERROR(VLOOKUP(Vertailu[[#This Row],[Y-tunnus]],'1.2 Ohjaus-laskentataulu'!A:AT,COLUMN('1.2 Ohjaus-laskentataulu'!AT:AT),FALSE),0)</f>
        <v>81897010</v>
      </c>
      <c r="V130" s="249">
        <f>IFERROR(Vertailu[[#This Row],[Rahoitus ml. hark. kor. + alv 2020, €]]-Vertailu[[#This Row],[Rahoitus ml. hark. kor. + alv 2019, €]],0)</f>
        <v>5435824</v>
      </c>
      <c r="W130" s="46">
        <f>IFERROR(Vertailu[[#This Row],[Muutos, € 3]]/Vertailu[[#This Row],[Rahoitus ml. hark. kor. + alv 2019, €]],0)</f>
        <v>7.1092593306099128E-2</v>
      </c>
    </row>
    <row r="131" spans="1:23" ht="12.75" customHeight="1" x14ac:dyDescent="0.25">
      <c r="A131" s="12" t="s">
        <v>275</v>
      </c>
      <c r="B131" s="297" t="s">
        <v>133</v>
      </c>
      <c r="C131" s="297" t="s">
        <v>249</v>
      </c>
      <c r="D131" s="297" t="s">
        <v>423</v>
      </c>
      <c r="E131" s="22">
        <f>IFERROR(VLOOKUP(Vertailu[[#This Row],[Y-tunnus]],'1.2 Ohjaus-laskentataulu'!A:AT,COLUMN('1.2 Ohjaus-laskentataulu'!L:L),FALSE)/VLOOKUP(Vertailu[[#This Row],[Y-tunnus]],'1.2 Ohjaus-laskentataulu'!A:AT,COLUMN('1.2 Ohjaus-laskentataulu'!AR:AR),FALSE),0)</f>
        <v>0.65405993343772684</v>
      </c>
      <c r="F131" s="46">
        <f>IFERROR(VLOOKUP(Vertailu[[#This Row],[Y-tunnus]],'1.2 Ohjaus-laskentataulu'!A:AT,COLUMN('1.2 Ohjaus-laskentataulu'!AO:AO),FALSE)/VLOOKUP(Vertailu[[#This Row],[Y-tunnus]],'1.2 Ohjaus-laskentataulu'!A:AT,COLUMN('1.2 Ohjaus-laskentataulu'!AR:AR),FALSE),0)</f>
        <v>0.65405993343772684</v>
      </c>
      <c r="G131" s="299">
        <f>IFERROR(VLOOKUP(Vertailu[[#This Row],[Y-tunnus]],'1.2 Ohjaus-laskentataulu'!A:AT,COLUMN('1.2 Ohjaus-laskentataulu'!AP:AP),FALSE)/VLOOKUP(Vertailu[[#This Row],[Y-tunnus]],'1.2 Ohjaus-laskentataulu'!A:AT,COLUMN('1.2 Ohjaus-laskentataulu'!AR:AR),FALSE),0)</f>
        <v>0.2619245992795935</v>
      </c>
      <c r="H131" s="22">
        <f>IFERROR(VLOOKUP(Vertailu[[#This Row],[Y-tunnus]],'1.2 Ohjaus-laskentataulu'!A:AT,COLUMN('1.2 Ohjaus-laskentataulu'!AQ:AQ),FALSE)/VLOOKUP(Vertailu[[#This Row],[Y-tunnus]],'1.2 Ohjaus-laskentataulu'!A:AT,COLUMN('1.2 Ohjaus-laskentataulu'!AR:AR),FALSE),0)</f>
        <v>8.4015467282679654E-2</v>
      </c>
      <c r="I131" s="19">
        <f>IFERROR(VLOOKUP(Vertailu[[#This Row],[Y-tunnus]],'1.2 Ohjaus-laskentataulu'!A:AT,COLUMN('1.2 Ohjaus-laskentataulu'!R:R),FALSE)/VLOOKUP(Vertailu[[#This Row],[Y-tunnus]],'1.2 Ohjaus-laskentataulu'!A:AT,COLUMN('1.2 Ohjaus-laskentataulu'!AR:AR),FALSE),0)</f>
        <v>5.2623229228964175E-2</v>
      </c>
      <c r="J131" s="19">
        <f>IFERROR(VLOOKUP(Vertailu[[#This Row],[Y-tunnus]],'1.2 Ohjaus-laskentataulu'!A:AT,COLUMN('1.2 Ohjaus-laskentataulu'!U:U),FALSE)/VLOOKUP(Vertailu[[#This Row],[Y-tunnus]],'1.2 Ohjaus-laskentataulu'!A:AT,COLUMN('1.2 Ohjaus-laskentataulu'!AR:AR),FALSE),0)</f>
        <v>6.7007391242815337E-3</v>
      </c>
      <c r="K131" s="46">
        <f>IFERROR(VLOOKUP(Vertailu[[#This Row],[Y-tunnus]],'1.2 Ohjaus-laskentataulu'!A:AT,COLUMN('1.2 Ohjaus-laskentataulu'!X:X),FALSE)/VLOOKUP(Vertailu[[#This Row],[Y-tunnus]],'1.2 Ohjaus-laskentataulu'!A:AT,COLUMN('1.2 Ohjaus-laskentataulu'!AR:AR),FALSE),0)</f>
        <v>2.4691498929433946E-2</v>
      </c>
      <c r="L131" s="21">
        <f>IFERROR(VLOOKUP(Vertailu[[#This Row],[Y-tunnus]],'3.2 Suoritepäätös 2019'!$A:$S,COLUMN('3.2 Suoritepäätös 2019'!Q:Q),FALSE)-VLOOKUP(Vertailu[[#This Row],[Y-tunnus]],'3.2 Suoritepäätös 2019'!$A:$S,COLUMN('3.2 Suoritepäätös 2019'!L:L),FALSE),0)</f>
        <v>849677</v>
      </c>
      <c r="M131" s="21">
        <f>IFERROR(VLOOKUP(Vertailu[[#This Row],[Y-tunnus]],'1.2 Ohjaus-laskentataulu'!A:AT,COLUMN('1.2 Ohjaus-laskentataulu'!Z:Z),FALSE),0)</f>
        <v>876172</v>
      </c>
      <c r="N131" s="21">
        <f>IFERROR(Vertailu[[#This Row],[Rahoitus pl. hark. kor. 2020 ilman alv, €]]-Vertailu[[#This Row],[Rahoitus pl. hark. kor. 2019 ilman alv, €]],0)</f>
        <v>26495</v>
      </c>
      <c r="O131" s="46">
        <f>IFERROR(Vertailu[[#This Row],[Muutos, € 1]]/Vertailu[[#This Row],[Rahoitus pl. hark. kor. 2019 ilman alv, €]],0)</f>
        <v>3.1182437561567512E-2</v>
      </c>
      <c r="P131" s="217">
        <f>IFERROR(VLOOKUP(Vertailu[[#This Row],[Y-tunnus]],'3.2 Suoritepäätös 2019'!$A:$S,COLUMN('3.2 Suoritepäätös 2019'!Q:Q),FALSE),0)</f>
        <v>849677</v>
      </c>
      <c r="Q131" s="243">
        <f>IFERROR(VLOOKUP(Vertailu[[#This Row],[Y-tunnus]],'1.2 Ohjaus-laskentataulu'!A:AT,COLUMN('1.2 Ohjaus-laskentataulu'!AR:AR),FALSE),0)</f>
        <v>876172</v>
      </c>
      <c r="R131" s="21">
        <f>IFERROR(Vertailu[[#This Row],[Rahoitus ml. hark. kor. 
2020 ilman alv, €]]-Vertailu[[#This Row],[Rahoitus ml. hark. kor. 
2019 ilman alv, €]],0)</f>
        <v>26495</v>
      </c>
      <c r="S131" s="19">
        <f>IFERROR(Vertailu[[#This Row],[Muutos, € 2]]/Vertailu[[#This Row],[Rahoitus ml. hark. kor. 
2019 ilman alv, €]],0)</f>
        <v>3.1182437561567512E-2</v>
      </c>
      <c r="T131" s="243">
        <f>IFERROR(VLOOKUP(Vertailu[[#This Row],[Y-tunnus]],'3.2 Suoritepäätös 2019'!$A:$S,COLUMN('3.2 Suoritepäätös 2019'!Q:Q),FALSE)+VLOOKUP(Vertailu[[#This Row],[Y-tunnus]],'3.2 Suoritepäätös 2019'!$A:$S,COLUMN('3.2 Suoritepäätös 2019'!R:R),FALSE),0)</f>
        <v>893591</v>
      </c>
      <c r="U131" s="217">
        <f>IFERROR(VLOOKUP(Vertailu[[#This Row],[Y-tunnus]],'1.2 Ohjaus-laskentataulu'!A:AT,COLUMN('1.2 Ohjaus-laskentataulu'!AT:AT),FALSE),0)</f>
        <v>904980</v>
      </c>
      <c r="V131" s="249">
        <f>IFERROR(Vertailu[[#This Row],[Rahoitus ml. hark. kor. + alv 2020, €]]-Vertailu[[#This Row],[Rahoitus ml. hark. kor. + alv 2019, €]],0)</f>
        <v>11389</v>
      </c>
      <c r="W131" s="46">
        <f>IFERROR(Vertailu[[#This Row],[Muutos, € 3]]/Vertailu[[#This Row],[Rahoitus ml. hark. kor. + alv 2019, €]],0)</f>
        <v>1.2745204461548964E-2</v>
      </c>
    </row>
    <row r="132" spans="1:23" ht="12.75" customHeight="1" x14ac:dyDescent="0.25">
      <c r="A132" s="12" t="s">
        <v>273</v>
      </c>
      <c r="B132" s="297" t="s">
        <v>134</v>
      </c>
      <c r="C132" s="297" t="s">
        <v>272</v>
      </c>
      <c r="D132" s="297" t="s">
        <v>423</v>
      </c>
      <c r="E132" s="22">
        <f>IFERROR(VLOOKUP(Vertailu[[#This Row],[Y-tunnus]],'1.2 Ohjaus-laskentataulu'!A:AT,COLUMN('1.2 Ohjaus-laskentataulu'!L:L),FALSE)/VLOOKUP(Vertailu[[#This Row],[Y-tunnus]],'1.2 Ohjaus-laskentataulu'!A:AT,COLUMN('1.2 Ohjaus-laskentataulu'!AR:AR),FALSE),0)</f>
        <v>0.60513506222362978</v>
      </c>
      <c r="F132" s="46">
        <f>IFERROR(VLOOKUP(Vertailu[[#This Row],[Y-tunnus]],'1.2 Ohjaus-laskentataulu'!A:AT,COLUMN('1.2 Ohjaus-laskentataulu'!AO:AO),FALSE)/VLOOKUP(Vertailu[[#This Row],[Y-tunnus]],'1.2 Ohjaus-laskentataulu'!A:AT,COLUMN('1.2 Ohjaus-laskentataulu'!AR:AR),FALSE),0)</f>
        <v>0.60513506222362978</v>
      </c>
      <c r="G132" s="299">
        <f>IFERROR(VLOOKUP(Vertailu[[#This Row],[Y-tunnus]],'1.2 Ohjaus-laskentataulu'!A:AT,COLUMN('1.2 Ohjaus-laskentataulu'!AP:AP),FALSE)/VLOOKUP(Vertailu[[#This Row],[Y-tunnus]],'1.2 Ohjaus-laskentataulu'!A:AT,COLUMN('1.2 Ohjaus-laskentataulu'!AR:AR),FALSE),0)</f>
        <v>0.32370460294560366</v>
      </c>
      <c r="H132" s="22">
        <f>IFERROR(VLOOKUP(Vertailu[[#This Row],[Y-tunnus]],'1.2 Ohjaus-laskentataulu'!A:AT,COLUMN('1.2 Ohjaus-laskentataulu'!AQ:AQ),FALSE)/VLOOKUP(Vertailu[[#This Row],[Y-tunnus]],'1.2 Ohjaus-laskentataulu'!A:AT,COLUMN('1.2 Ohjaus-laskentataulu'!AR:AR),FALSE),0)</f>
        <v>7.1160334830766586E-2</v>
      </c>
      <c r="I132" s="19">
        <f>IFERROR(VLOOKUP(Vertailu[[#This Row],[Y-tunnus]],'1.2 Ohjaus-laskentataulu'!A:AT,COLUMN('1.2 Ohjaus-laskentataulu'!R:R),FALSE)/VLOOKUP(Vertailu[[#This Row],[Y-tunnus]],'1.2 Ohjaus-laskentataulu'!A:AT,COLUMN('1.2 Ohjaus-laskentataulu'!AR:AR),FALSE),0)</f>
        <v>6.6274128028588078E-2</v>
      </c>
      <c r="J132" s="19">
        <f>IFERROR(VLOOKUP(Vertailu[[#This Row],[Y-tunnus]],'1.2 Ohjaus-laskentataulu'!A:AT,COLUMN('1.2 Ohjaus-laskentataulu'!U:U),FALSE)/VLOOKUP(Vertailu[[#This Row],[Y-tunnus]],'1.2 Ohjaus-laskentataulu'!A:AT,COLUMN('1.2 Ohjaus-laskentataulu'!AR:AR),FALSE),0)</f>
        <v>4.8862068021785108E-3</v>
      </c>
      <c r="K132" s="46">
        <f>IFERROR(VLOOKUP(Vertailu[[#This Row],[Y-tunnus]],'1.2 Ohjaus-laskentataulu'!A:AT,COLUMN('1.2 Ohjaus-laskentataulu'!X:X),FALSE)/VLOOKUP(Vertailu[[#This Row],[Y-tunnus]],'1.2 Ohjaus-laskentataulu'!A:AT,COLUMN('1.2 Ohjaus-laskentataulu'!AR:AR),FALSE),0)</f>
        <v>0</v>
      </c>
      <c r="L132" s="21">
        <f>IFERROR(VLOOKUP(Vertailu[[#This Row],[Y-tunnus]],'3.2 Suoritepäätös 2019'!$A:$S,COLUMN('3.2 Suoritepäätös 2019'!Q:Q),FALSE)-VLOOKUP(Vertailu[[#This Row],[Y-tunnus]],'3.2 Suoritepäätös 2019'!$A:$S,COLUMN('3.2 Suoritepäätös 2019'!L:L),FALSE),0)</f>
        <v>1043549</v>
      </c>
      <c r="M132" s="21">
        <f>IFERROR(VLOOKUP(Vertailu[[#This Row],[Y-tunnus]],'1.2 Ohjaus-laskentataulu'!A:AT,COLUMN('1.2 Ohjaus-laskentataulu'!Z:Z),FALSE),0)</f>
        <v>1023084</v>
      </c>
      <c r="N132" s="21">
        <f>IFERROR(Vertailu[[#This Row],[Rahoitus pl. hark. kor. 2020 ilman alv, €]]-Vertailu[[#This Row],[Rahoitus pl. hark. kor. 2019 ilman alv, €]],0)</f>
        <v>-20465</v>
      </c>
      <c r="O132" s="46">
        <f>IFERROR(Vertailu[[#This Row],[Muutos, € 1]]/Vertailu[[#This Row],[Rahoitus pl. hark. kor. 2019 ilman alv, €]],0)</f>
        <v>-1.9610962206853728E-2</v>
      </c>
      <c r="P132" s="217">
        <f>IFERROR(VLOOKUP(Vertailu[[#This Row],[Y-tunnus]],'3.2 Suoritepäätös 2019'!$A:$S,COLUMN('3.2 Suoritepäätös 2019'!Q:Q),FALSE),0)</f>
        <v>1043549</v>
      </c>
      <c r="Q132" s="243">
        <f>IFERROR(VLOOKUP(Vertailu[[#This Row],[Y-tunnus]],'1.2 Ohjaus-laskentataulu'!A:AT,COLUMN('1.2 Ohjaus-laskentataulu'!AR:AR),FALSE),0)</f>
        <v>1023084</v>
      </c>
      <c r="R132" s="21">
        <f>IFERROR(Vertailu[[#This Row],[Rahoitus ml. hark. kor. 
2020 ilman alv, €]]-Vertailu[[#This Row],[Rahoitus ml. hark. kor. 
2019 ilman alv, €]],0)</f>
        <v>-20465</v>
      </c>
      <c r="S132" s="19">
        <f>IFERROR(Vertailu[[#This Row],[Muutos, € 2]]/Vertailu[[#This Row],[Rahoitus ml. hark. kor. 
2019 ilman alv, €]],0)</f>
        <v>-1.9610962206853728E-2</v>
      </c>
      <c r="T132" s="243">
        <f>IFERROR(VLOOKUP(Vertailu[[#This Row],[Y-tunnus]],'3.2 Suoritepäätös 2019'!$A:$S,COLUMN('3.2 Suoritepäätös 2019'!Q:Q),FALSE)+VLOOKUP(Vertailu[[#This Row],[Y-tunnus]],'3.2 Suoritepäätös 2019'!$A:$S,COLUMN('3.2 Suoritepäätös 2019'!R:R),FALSE),0)</f>
        <v>1097938</v>
      </c>
      <c r="U132" s="217">
        <f>IFERROR(VLOOKUP(Vertailu[[#This Row],[Y-tunnus]],'1.2 Ohjaus-laskentataulu'!A:AT,COLUMN('1.2 Ohjaus-laskentataulu'!AT:AT),FALSE),0)</f>
        <v>1067565</v>
      </c>
      <c r="V132" s="249">
        <f>IFERROR(Vertailu[[#This Row],[Rahoitus ml. hark. kor. + alv 2020, €]]-Vertailu[[#This Row],[Rahoitus ml. hark. kor. + alv 2019, €]],0)</f>
        <v>-30373</v>
      </c>
      <c r="W132" s="46">
        <f>IFERROR(Vertailu[[#This Row],[Muutos, € 3]]/Vertailu[[#This Row],[Rahoitus ml. hark. kor. + alv 2019, €]],0)</f>
        <v>-2.7663674998041784E-2</v>
      </c>
    </row>
    <row r="133" spans="1:23" ht="12.75" customHeight="1" x14ac:dyDescent="0.25">
      <c r="A133" s="12" t="s">
        <v>268</v>
      </c>
      <c r="B133" s="297" t="s">
        <v>135</v>
      </c>
      <c r="C133" s="297" t="s">
        <v>242</v>
      </c>
      <c r="D133" s="297" t="s">
        <v>423</v>
      </c>
      <c r="E133" s="22">
        <f>IFERROR(VLOOKUP(Vertailu[[#This Row],[Y-tunnus]],'1.2 Ohjaus-laskentataulu'!A:AT,COLUMN('1.2 Ohjaus-laskentataulu'!L:L),FALSE)/VLOOKUP(Vertailu[[#This Row],[Y-tunnus]],'1.2 Ohjaus-laskentataulu'!A:AT,COLUMN('1.2 Ohjaus-laskentataulu'!AR:AR),FALSE),0)</f>
        <v>0.68358622388250334</v>
      </c>
      <c r="F133" s="46">
        <f>IFERROR(VLOOKUP(Vertailu[[#This Row],[Y-tunnus]],'1.2 Ohjaus-laskentataulu'!A:AT,COLUMN('1.2 Ohjaus-laskentataulu'!AO:AO),FALSE)/VLOOKUP(Vertailu[[#This Row],[Y-tunnus]],'1.2 Ohjaus-laskentataulu'!A:AT,COLUMN('1.2 Ohjaus-laskentataulu'!AR:AR),FALSE),0)</f>
        <v>0.68358622388250334</v>
      </c>
      <c r="G133" s="299">
        <f>IFERROR(VLOOKUP(Vertailu[[#This Row],[Y-tunnus]],'1.2 Ohjaus-laskentataulu'!A:AT,COLUMN('1.2 Ohjaus-laskentataulu'!AP:AP),FALSE)/VLOOKUP(Vertailu[[#This Row],[Y-tunnus]],'1.2 Ohjaus-laskentataulu'!A:AT,COLUMN('1.2 Ohjaus-laskentataulu'!AR:AR),FALSE),0)</f>
        <v>0.23096227381408541</v>
      </c>
      <c r="H133" s="22">
        <f>IFERROR(VLOOKUP(Vertailu[[#This Row],[Y-tunnus]],'1.2 Ohjaus-laskentataulu'!A:AT,COLUMN('1.2 Ohjaus-laskentataulu'!AQ:AQ),FALSE)/VLOOKUP(Vertailu[[#This Row],[Y-tunnus]],'1.2 Ohjaus-laskentataulu'!A:AT,COLUMN('1.2 Ohjaus-laskentataulu'!AR:AR),FALSE),0)</f>
        <v>8.5451502303411239E-2</v>
      </c>
      <c r="I133" s="19">
        <f>IFERROR(VLOOKUP(Vertailu[[#This Row],[Y-tunnus]],'1.2 Ohjaus-laskentataulu'!A:AT,COLUMN('1.2 Ohjaus-laskentataulu'!R:R),FALSE)/VLOOKUP(Vertailu[[#This Row],[Y-tunnus]],'1.2 Ohjaus-laskentataulu'!A:AT,COLUMN('1.2 Ohjaus-laskentataulu'!AR:AR),FALSE),0)</f>
        <v>5.6113119895956458E-2</v>
      </c>
      <c r="J133" s="19">
        <f>IFERROR(VLOOKUP(Vertailu[[#This Row],[Y-tunnus]],'1.2 Ohjaus-laskentataulu'!A:AT,COLUMN('1.2 Ohjaus-laskentataulu'!U:U),FALSE)/VLOOKUP(Vertailu[[#This Row],[Y-tunnus]],'1.2 Ohjaus-laskentataulu'!A:AT,COLUMN('1.2 Ohjaus-laskentataulu'!AR:AR),FALSE),0)</f>
        <v>5.5221127895593667E-3</v>
      </c>
      <c r="K133" s="46">
        <f>IFERROR(VLOOKUP(Vertailu[[#This Row],[Y-tunnus]],'1.2 Ohjaus-laskentataulu'!A:AT,COLUMN('1.2 Ohjaus-laskentataulu'!X:X),FALSE)/VLOOKUP(Vertailu[[#This Row],[Y-tunnus]],'1.2 Ohjaus-laskentataulu'!A:AT,COLUMN('1.2 Ohjaus-laskentataulu'!AR:AR),FALSE),0)</f>
        <v>2.3816269617895423E-2</v>
      </c>
      <c r="L133" s="21">
        <f>IFERROR(VLOOKUP(Vertailu[[#This Row],[Y-tunnus]],'3.2 Suoritepäätös 2019'!$A:$S,COLUMN('3.2 Suoritepäätös 2019'!Q:Q),FALSE)-VLOOKUP(Vertailu[[#This Row],[Y-tunnus]],'3.2 Suoritepäätös 2019'!$A:$S,COLUMN('3.2 Suoritepäätös 2019'!L:L),FALSE),0)</f>
        <v>2426681</v>
      </c>
      <c r="M133" s="21">
        <f>IFERROR(VLOOKUP(Vertailu[[#This Row],[Y-tunnus]],'1.2 Ohjaus-laskentataulu'!A:AT,COLUMN('1.2 Ohjaus-laskentataulu'!Z:Z),FALSE),0)</f>
        <v>2403609</v>
      </c>
      <c r="N133" s="21">
        <f>IFERROR(Vertailu[[#This Row],[Rahoitus pl. hark. kor. 2020 ilman alv, €]]-Vertailu[[#This Row],[Rahoitus pl. hark. kor. 2019 ilman alv, €]],0)</f>
        <v>-23072</v>
      </c>
      <c r="O133" s="46">
        <f>IFERROR(Vertailu[[#This Row],[Muutos, € 1]]/Vertailu[[#This Row],[Rahoitus pl. hark. kor. 2019 ilman alv, €]],0)</f>
        <v>-9.5076361499513116E-3</v>
      </c>
      <c r="P133" s="217">
        <f>IFERROR(VLOOKUP(Vertailu[[#This Row],[Y-tunnus]],'3.2 Suoritepäätös 2019'!$A:$S,COLUMN('3.2 Suoritepäätös 2019'!Q:Q),FALSE),0)</f>
        <v>2426681</v>
      </c>
      <c r="Q133" s="243">
        <f>IFERROR(VLOOKUP(Vertailu[[#This Row],[Y-tunnus]],'1.2 Ohjaus-laskentataulu'!A:AT,COLUMN('1.2 Ohjaus-laskentataulu'!AR:AR),FALSE),0)</f>
        <v>2403609</v>
      </c>
      <c r="R133" s="21">
        <f>IFERROR(Vertailu[[#This Row],[Rahoitus ml. hark. kor. 
2020 ilman alv, €]]-Vertailu[[#This Row],[Rahoitus ml. hark. kor. 
2019 ilman alv, €]],0)</f>
        <v>-23072</v>
      </c>
      <c r="S133" s="19">
        <f>IFERROR(Vertailu[[#This Row],[Muutos, € 2]]/Vertailu[[#This Row],[Rahoitus ml. hark. kor. 
2019 ilman alv, €]],0)</f>
        <v>-9.5076361499513116E-3</v>
      </c>
      <c r="T133" s="243">
        <f>IFERROR(VLOOKUP(Vertailu[[#This Row],[Y-tunnus]],'3.2 Suoritepäätös 2019'!$A:$S,COLUMN('3.2 Suoritepäätös 2019'!Q:Q),FALSE)+VLOOKUP(Vertailu[[#This Row],[Y-tunnus]],'3.2 Suoritepäätös 2019'!$A:$S,COLUMN('3.2 Suoritepäätös 2019'!R:R),FALSE),0)</f>
        <v>2554992</v>
      </c>
      <c r="U133" s="217">
        <f>IFERROR(VLOOKUP(Vertailu[[#This Row],[Y-tunnus]],'1.2 Ohjaus-laskentataulu'!A:AT,COLUMN('1.2 Ohjaus-laskentataulu'!AT:AT),FALSE),0)</f>
        <v>2548248</v>
      </c>
      <c r="V133" s="249">
        <f>IFERROR(Vertailu[[#This Row],[Rahoitus ml. hark. kor. + alv 2020, €]]-Vertailu[[#This Row],[Rahoitus ml. hark. kor. + alv 2019, €]],0)</f>
        <v>-6744</v>
      </c>
      <c r="W133" s="46">
        <f>IFERROR(Vertailu[[#This Row],[Muutos, € 3]]/Vertailu[[#This Row],[Rahoitus ml. hark. kor. + alv 2019, €]],0)</f>
        <v>-2.6395385973811266E-3</v>
      </c>
    </row>
    <row r="134" spans="1:23" ht="12.75" customHeight="1" x14ac:dyDescent="0.25">
      <c r="A134" s="12" t="s">
        <v>270</v>
      </c>
      <c r="B134" s="297" t="s">
        <v>177</v>
      </c>
      <c r="C134" s="297" t="s">
        <v>238</v>
      </c>
      <c r="D134" s="297" t="s">
        <v>423</v>
      </c>
      <c r="E134" s="22">
        <f>IFERROR(VLOOKUP(Vertailu[[#This Row],[Y-tunnus]],'1.2 Ohjaus-laskentataulu'!A:AT,COLUMN('1.2 Ohjaus-laskentataulu'!L:L),FALSE)/VLOOKUP(Vertailu[[#This Row],[Y-tunnus]],'1.2 Ohjaus-laskentataulu'!A:AT,COLUMN('1.2 Ohjaus-laskentataulu'!AR:AR),FALSE),0)</f>
        <v>0.57835857872193619</v>
      </c>
      <c r="F134" s="46">
        <f>IFERROR(VLOOKUP(Vertailu[[#This Row],[Y-tunnus]],'1.2 Ohjaus-laskentataulu'!A:AT,COLUMN('1.2 Ohjaus-laskentataulu'!AO:AO),FALSE)/VLOOKUP(Vertailu[[#This Row],[Y-tunnus]],'1.2 Ohjaus-laskentataulu'!A:AT,COLUMN('1.2 Ohjaus-laskentataulu'!AR:AR),FALSE),0)</f>
        <v>0.57835857872193619</v>
      </c>
      <c r="G134" s="299">
        <f>IFERROR(VLOOKUP(Vertailu[[#This Row],[Y-tunnus]],'1.2 Ohjaus-laskentataulu'!A:AT,COLUMN('1.2 Ohjaus-laskentataulu'!AP:AP),FALSE)/VLOOKUP(Vertailu[[#This Row],[Y-tunnus]],'1.2 Ohjaus-laskentataulu'!A:AT,COLUMN('1.2 Ohjaus-laskentataulu'!AR:AR),FALSE),0)</f>
        <v>0.1967268469751412</v>
      </c>
      <c r="H134" s="22">
        <f>IFERROR(VLOOKUP(Vertailu[[#This Row],[Y-tunnus]],'1.2 Ohjaus-laskentataulu'!A:AT,COLUMN('1.2 Ohjaus-laskentataulu'!AQ:AQ),FALSE)/VLOOKUP(Vertailu[[#This Row],[Y-tunnus]],'1.2 Ohjaus-laskentataulu'!A:AT,COLUMN('1.2 Ohjaus-laskentataulu'!AR:AR),FALSE),0)</f>
        <v>0.22491457430292264</v>
      </c>
      <c r="I134" s="19">
        <f>IFERROR(VLOOKUP(Vertailu[[#This Row],[Y-tunnus]],'1.2 Ohjaus-laskentataulu'!A:AT,COLUMN('1.2 Ohjaus-laskentataulu'!R:R),FALSE)/VLOOKUP(Vertailu[[#This Row],[Y-tunnus]],'1.2 Ohjaus-laskentataulu'!A:AT,COLUMN('1.2 Ohjaus-laskentataulu'!AR:AR),FALSE),0)</f>
        <v>0.22491457430292264</v>
      </c>
      <c r="J134" s="19">
        <f>IFERROR(VLOOKUP(Vertailu[[#This Row],[Y-tunnus]],'1.2 Ohjaus-laskentataulu'!A:AT,COLUMN('1.2 Ohjaus-laskentataulu'!U:U),FALSE)/VLOOKUP(Vertailu[[#This Row],[Y-tunnus]],'1.2 Ohjaus-laskentataulu'!A:AT,COLUMN('1.2 Ohjaus-laskentataulu'!AR:AR),FALSE),0)</f>
        <v>0</v>
      </c>
      <c r="K134" s="46">
        <f>IFERROR(VLOOKUP(Vertailu[[#This Row],[Y-tunnus]],'1.2 Ohjaus-laskentataulu'!A:AT,COLUMN('1.2 Ohjaus-laskentataulu'!X:X),FALSE)/VLOOKUP(Vertailu[[#This Row],[Y-tunnus]],'1.2 Ohjaus-laskentataulu'!A:AT,COLUMN('1.2 Ohjaus-laskentataulu'!AR:AR),FALSE),0)</f>
        <v>0</v>
      </c>
      <c r="L134" s="21">
        <f>IFERROR(VLOOKUP(Vertailu[[#This Row],[Y-tunnus]],'3.2 Suoritepäätös 2019'!$A:$S,COLUMN('3.2 Suoritepäätös 2019'!Q:Q),FALSE)-VLOOKUP(Vertailu[[#This Row],[Y-tunnus]],'3.2 Suoritepäätös 2019'!$A:$S,COLUMN('3.2 Suoritepäätös 2019'!L:L),FALSE),0)</f>
        <v>224796</v>
      </c>
      <c r="M134" s="21">
        <f>IFERROR(VLOOKUP(Vertailu[[#This Row],[Y-tunnus]],'1.2 Ohjaus-laskentataulu'!A:AT,COLUMN('1.2 Ohjaus-laskentataulu'!Z:Z),FALSE),0)</f>
        <v>272459</v>
      </c>
      <c r="N134" s="21">
        <f>IFERROR(Vertailu[[#This Row],[Rahoitus pl. hark. kor. 2020 ilman alv, €]]-Vertailu[[#This Row],[Rahoitus pl. hark. kor. 2019 ilman alv, €]],0)</f>
        <v>47663</v>
      </c>
      <c r="O134" s="46">
        <f>IFERROR(Vertailu[[#This Row],[Muutos, € 1]]/Vertailu[[#This Row],[Rahoitus pl. hark. kor. 2019 ilman alv, €]],0)</f>
        <v>0.2120277940888628</v>
      </c>
      <c r="P134" s="217">
        <f>IFERROR(VLOOKUP(Vertailu[[#This Row],[Y-tunnus]],'3.2 Suoritepäätös 2019'!$A:$S,COLUMN('3.2 Suoritepäätös 2019'!Q:Q),FALSE),0)</f>
        <v>224796</v>
      </c>
      <c r="Q134" s="243">
        <f>IFERROR(VLOOKUP(Vertailu[[#This Row],[Y-tunnus]],'1.2 Ohjaus-laskentataulu'!A:AT,COLUMN('1.2 Ohjaus-laskentataulu'!AR:AR),FALSE),0)</f>
        <v>272459</v>
      </c>
      <c r="R134" s="21">
        <f>IFERROR(Vertailu[[#This Row],[Rahoitus ml. hark. kor. 
2020 ilman alv, €]]-Vertailu[[#This Row],[Rahoitus ml. hark. kor. 
2019 ilman alv, €]],0)</f>
        <v>47663</v>
      </c>
      <c r="S134" s="19">
        <f>IFERROR(Vertailu[[#This Row],[Muutos, € 2]]/Vertailu[[#This Row],[Rahoitus ml. hark. kor. 
2019 ilman alv, €]],0)</f>
        <v>0.2120277940888628</v>
      </c>
      <c r="T134" s="243">
        <f>IFERROR(VLOOKUP(Vertailu[[#This Row],[Y-tunnus]],'3.2 Suoritepäätös 2019'!$A:$S,COLUMN('3.2 Suoritepäätös 2019'!Q:Q),FALSE)+VLOOKUP(Vertailu[[#This Row],[Y-tunnus]],'3.2 Suoritepäätös 2019'!$A:$S,COLUMN('3.2 Suoritepäätös 2019'!R:R),FALSE),0)</f>
        <v>236918</v>
      </c>
      <c r="U134" s="217">
        <f>IFERROR(VLOOKUP(Vertailu[[#This Row],[Y-tunnus]],'1.2 Ohjaus-laskentataulu'!A:AT,COLUMN('1.2 Ohjaus-laskentataulu'!AT:AT),FALSE),0)</f>
        <v>272459</v>
      </c>
      <c r="V134" s="249">
        <f>IFERROR(Vertailu[[#This Row],[Rahoitus ml. hark. kor. + alv 2020, €]]-Vertailu[[#This Row],[Rahoitus ml. hark. kor. + alv 2019, €]],0)</f>
        <v>35541</v>
      </c>
      <c r="W134" s="46">
        <f>IFERROR(Vertailu[[#This Row],[Muutos, € 3]]/Vertailu[[#This Row],[Rahoitus ml. hark. kor. + alv 2019, €]],0)</f>
        <v>0.15001392886990436</v>
      </c>
    </row>
    <row r="135" spans="1:23" ht="12.75" customHeight="1" x14ac:dyDescent="0.25">
      <c r="A135" s="12" t="s">
        <v>269</v>
      </c>
      <c r="B135" s="297" t="s">
        <v>136</v>
      </c>
      <c r="C135" s="297" t="s">
        <v>242</v>
      </c>
      <c r="D135" s="297" t="s">
        <v>423</v>
      </c>
      <c r="E135" s="22">
        <f>IFERROR(VLOOKUP(Vertailu[[#This Row],[Y-tunnus]],'1.2 Ohjaus-laskentataulu'!A:AT,COLUMN('1.2 Ohjaus-laskentataulu'!L:L),FALSE)/VLOOKUP(Vertailu[[#This Row],[Y-tunnus]],'1.2 Ohjaus-laskentataulu'!A:AT,COLUMN('1.2 Ohjaus-laskentataulu'!AR:AR),FALSE),0)</f>
        <v>0.84590300686307962</v>
      </c>
      <c r="F135" s="46">
        <f>IFERROR(VLOOKUP(Vertailu[[#This Row],[Y-tunnus]],'1.2 Ohjaus-laskentataulu'!A:AT,COLUMN('1.2 Ohjaus-laskentataulu'!AO:AO),FALSE)/VLOOKUP(Vertailu[[#This Row],[Y-tunnus]],'1.2 Ohjaus-laskentataulu'!A:AT,COLUMN('1.2 Ohjaus-laskentataulu'!AR:AR),FALSE),0)</f>
        <v>0.88382057407196757</v>
      </c>
      <c r="G135" s="299">
        <f>IFERROR(VLOOKUP(Vertailu[[#This Row],[Y-tunnus]],'1.2 Ohjaus-laskentataulu'!A:AT,COLUMN('1.2 Ohjaus-laskentataulu'!AP:AP),FALSE)/VLOOKUP(Vertailu[[#This Row],[Y-tunnus]],'1.2 Ohjaus-laskentataulu'!A:AT,COLUMN('1.2 Ohjaus-laskentataulu'!AR:AR),FALSE),0)</f>
        <v>2.5336518408978881E-2</v>
      </c>
      <c r="H135" s="22">
        <f>IFERROR(VLOOKUP(Vertailu[[#This Row],[Y-tunnus]],'1.2 Ohjaus-laskentataulu'!A:AT,COLUMN('1.2 Ohjaus-laskentataulu'!AQ:AQ),FALSE)/VLOOKUP(Vertailu[[#This Row],[Y-tunnus]],'1.2 Ohjaus-laskentataulu'!A:AT,COLUMN('1.2 Ohjaus-laskentataulu'!AR:AR),FALSE),0)</f>
        <v>9.0842907519053578E-2</v>
      </c>
      <c r="I135" s="19">
        <f>IFERROR(VLOOKUP(Vertailu[[#This Row],[Y-tunnus]],'1.2 Ohjaus-laskentataulu'!A:AT,COLUMN('1.2 Ohjaus-laskentataulu'!R:R),FALSE)/VLOOKUP(Vertailu[[#This Row],[Y-tunnus]],'1.2 Ohjaus-laskentataulu'!A:AT,COLUMN('1.2 Ohjaus-laskentataulu'!AR:AR),FALSE),0)</f>
        <v>0</v>
      </c>
      <c r="J135" s="19">
        <f>IFERROR(VLOOKUP(Vertailu[[#This Row],[Y-tunnus]],'1.2 Ohjaus-laskentataulu'!A:AT,COLUMN('1.2 Ohjaus-laskentataulu'!U:U),FALSE)/VLOOKUP(Vertailu[[#This Row],[Y-tunnus]],'1.2 Ohjaus-laskentataulu'!A:AT,COLUMN('1.2 Ohjaus-laskentataulu'!AR:AR),FALSE),0)</f>
        <v>3.694308573161946E-2</v>
      </c>
      <c r="K135" s="46">
        <f>IFERROR(VLOOKUP(Vertailu[[#This Row],[Y-tunnus]],'1.2 Ohjaus-laskentataulu'!A:AT,COLUMN('1.2 Ohjaus-laskentataulu'!X:X),FALSE)/VLOOKUP(Vertailu[[#This Row],[Y-tunnus]],'1.2 Ohjaus-laskentataulu'!A:AT,COLUMN('1.2 Ohjaus-laskentataulu'!AR:AR),FALSE),0)</f>
        <v>5.3899821787434118E-2</v>
      </c>
      <c r="L135" s="21">
        <f>IFERROR(VLOOKUP(Vertailu[[#This Row],[Y-tunnus]],'3.2 Suoritepäätös 2019'!$A:$S,COLUMN('3.2 Suoritepäätös 2019'!Q:Q),FALSE)-VLOOKUP(Vertailu[[#This Row],[Y-tunnus]],'3.2 Suoritepäätös 2019'!$A:$S,COLUMN('3.2 Suoritepäätös 2019'!L:L),FALSE),0)</f>
        <v>81755</v>
      </c>
      <c r="M135" s="21">
        <f>IFERROR(VLOOKUP(Vertailu[[#This Row],[Y-tunnus]],'1.2 Ohjaus-laskentataulu'!A:AT,COLUMN('1.2 Ohjaus-laskentataulu'!Z:Z),FALSE),0)</f>
        <v>253730</v>
      </c>
      <c r="N135" s="21">
        <f>IFERROR(Vertailu[[#This Row],[Rahoitus pl. hark. kor. 2020 ilman alv, €]]-Vertailu[[#This Row],[Rahoitus pl. hark. kor. 2019 ilman alv, €]],0)</f>
        <v>171975</v>
      </c>
      <c r="O135" s="46">
        <f>IFERROR(Vertailu[[#This Row],[Muutos, € 1]]/Vertailu[[#This Row],[Rahoitus pl. hark. kor. 2019 ilman alv, €]],0)</f>
        <v>2.1035410678245978</v>
      </c>
      <c r="P135" s="217">
        <f>IFERROR(VLOOKUP(Vertailu[[#This Row],[Y-tunnus]],'3.2 Suoritepäätös 2019'!$A:$S,COLUMN('3.2 Suoritepäätös 2019'!Q:Q),FALSE),0)</f>
        <v>141755</v>
      </c>
      <c r="Q135" s="243">
        <f>IFERROR(VLOOKUP(Vertailu[[#This Row],[Y-tunnus]],'1.2 Ohjaus-laskentataulu'!A:AT,COLUMN('1.2 Ohjaus-laskentataulu'!AR:AR),FALSE),0)</f>
        <v>263730</v>
      </c>
      <c r="R135" s="21">
        <f>IFERROR(Vertailu[[#This Row],[Rahoitus ml. hark. kor. 
2020 ilman alv, €]]-Vertailu[[#This Row],[Rahoitus ml. hark. kor. 
2019 ilman alv, €]],0)</f>
        <v>121975</v>
      </c>
      <c r="S135" s="19">
        <f>IFERROR(Vertailu[[#This Row],[Muutos, € 2]]/Vertailu[[#This Row],[Rahoitus ml. hark. kor. 
2019 ilman alv, €]],0)</f>
        <v>0.86046347571514237</v>
      </c>
      <c r="T135" s="243">
        <f>IFERROR(VLOOKUP(Vertailu[[#This Row],[Y-tunnus]],'3.2 Suoritepäätös 2019'!$A:$S,COLUMN('3.2 Suoritepäätös 2019'!Q:Q),FALSE)+VLOOKUP(Vertailu[[#This Row],[Y-tunnus]],'3.2 Suoritepäätös 2019'!$A:$S,COLUMN('3.2 Suoritepäätös 2019'!R:R),FALSE),0)</f>
        <v>149687</v>
      </c>
      <c r="U135" s="217">
        <f>IFERROR(VLOOKUP(Vertailu[[#This Row],[Y-tunnus]],'1.2 Ohjaus-laskentataulu'!A:AT,COLUMN('1.2 Ohjaus-laskentataulu'!AT:AT),FALSE),0)</f>
        <v>290874</v>
      </c>
      <c r="V135" s="249">
        <f>IFERROR(Vertailu[[#This Row],[Rahoitus ml. hark. kor. + alv 2020, €]]-Vertailu[[#This Row],[Rahoitus ml. hark. kor. + alv 2019, €]],0)</f>
        <v>141187</v>
      </c>
      <c r="W135" s="46">
        <f>IFERROR(Vertailu[[#This Row],[Muutos, € 3]]/Vertailu[[#This Row],[Rahoitus ml. hark. kor. + alv 2019, €]],0)</f>
        <v>0.94321484163621427</v>
      </c>
    </row>
    <row r="136" spans="1:23" ht="12.75" customHeight="1" x14ac:dyDescent="0.25">
      <c r="A136" s="12" t="s">
        <v>267</v>
      </c>
      <c r="B136" s="297" t="s">
        <v>178</v>
      </c>
      <c r="C136" s="297" t="s">
        <v>238</v>
      </c>
      <c r="D136" s="297" t="s">
        <v>423</v>
      </c>
      <c r="E136" s="22">
        <f>IFERROR(VLOOKUP(Vertailu[[#This Row],[Y-tunnus]],'1.2 Ohjaus-laskentataulu'!A:AT,COLUMN('1.2 Ohjaus-laskentataulu'!L:L),FALSE)/VLOOKUP(Vertailu[[#This Row],[Y-tunnus]],'1.2 Ohjaus-laskentataulu'!A:AT,COLUMN('1.2 Ohjaus-laskentataulu'!AR:AR),FALSE),0)</f>
        <v>0.50211575058770852</v>
      </c>
      <c r="F136" s="46">
        <f>IFERROR(VLOOKUP(Vertailu[[#This Row],[Y-tunnus]],'1.2 Ohjaus-laskentataulu'!A:AT,COLUMN('1.2 Ohjaus-laskentataulu'!AO:AO),FALSE)/VLOOKUP(Vertailu[[#This Row],[Y-tunnus]],'1.2 Ohjaus-laskentataulu'!A:AT,COLUMN('1.2 Ohjaus-laskentataulu'!AR:AR),FALSE),0)</f>
        <v>0.50211575058770852</v>
      </c>
      <c r="G136" s="299">
        <f>IFERROR(VLOOKUP(Vertailu[[#This Row],[Y-tunnus]],'1.2 Ohjaus-laskentataulu'!A:AT,COLUMN('1.2 Ohjaus-laskentataulu'!AP:AP),FALSE)/VLOOKUP(Vertailu[[#This Row],[Y-tunnus]],'1.2 Ohjaus-laskentataulu'!A:AT,COLUMN('1.2 Ohjaus-laskentataulu'!AR:AR),FALSE),0)</f>
        <v>0.2106795029665286</v>
      </c>
      <c r="H136" s="22">
        <f>IFERROR(VLOOKUP(Vertailu[[#This Row],[Y-tunnus]],'1.2 Ohjaus-laskentataulu'!A:AT,COLUMN('1.2 Ohjaus-laskentataulu'!AQ:AQ),FALSE)/VLOOKUP(Vertailu[[#This Row],[Y-tunnus]],'1.2 Ohjaus-laskentataulu'!A:AT,COLUMN('1.2 Ohjaus-laskentataulu'!AR:AR),FALSE),0)</f>
        <v>0.28720474644576288</v>
      </c>
      <c r="I136" s="19">
        <f>IFERROR(VLOOKUP(Vertailu[[#This Row],[Y-tunnus]],'1.2 Ohjaus-laskentataulu'!A:AT,COLUMN('1.2 Ohjaus-laskentataulu'!R:R),FALSE)/VLOOKUP(Vertailu[[#This Row],[Y-tunnus]],'1.2 Ohjaus-laskentataulu'!A:AT,COLUMN('1.2 Ohjaus-laskentataulu'!AR:AR),FALSE),0)</f>
        <v>0.28720474644576288</v>
      </c>
      <c r="J136" s="19">
        <f>IFERROR(VLOOKUP(Vertailu[[#This Row],[Y-tunnus]],'1.2 Ohjaus-laskentataulu'!A:AT,COLUMN('1.2 Ohjaus-laskentataulu'!U:U),FALSE)/VLOOKUP(Vertailu[[#This Row],[Y-tunnus]],'1.2 Ohjaus-laskentataulu'!A:AT,COLUMN('1.2 Ohjaus-laskentataulu'!AR:AR),FALSE),0)</f>
        <v>0</v>
      </c>
      <c r="K136" s="46">
        <f>IFERROR(VLOOKUP(Vertailu[[#This Row],[Y-tunnus]],'1.2 Ohjaus-laskentataulu'!A:AT,COLUMN('1.2 Ohjaus-laskentataulu'!X:X),FALSE)/VLOOKUP(Vertailu[[#This Row],[Y-tunnus]],'1.2 Ohjaus-laskentataulu'!A:AT,COLUMN('1.2 Ohjaus-laskentataulu'!AR:AR),FALSE),0)</f>
        <v>0</v>
      </c>
      <c r="L136" s="21">
        <f>IFERROR(VLOOKUP(Vertailu[[#This Row],[Y-tunnus]],'3.2 Suoritepäätös 2019'!$A:$S,COLUMN('3.2 Suoritepäätös 2019'!Q:Q),FALSE)-VLOOKUP(Vertailu[[#This Row],[Y-tunnus]],'3.2 Suoritepäätös 2019'!$A:$S,COLUMN('3.2 Suoritepäätös 2019'!L:L),FALSE),0)</f>
        <v>36904</v>
      </c>
      <c r="M136" s="21">
        <f>IFERROR(VLOOKUP(Vertailu[[#This Row],[Y-tunnus]],'1.2 Ohjaus-laskentataulu'!A:AT,COLUMN('1.2 Ohjaus-laskentataulu'!Z:Z),FALSE),0)</f>
        <v>44665</v>
      </c>
      <c r="N136" s="21">
        <f>IFERROR(Vertailu[[#This Row],[Rahoitus pl. hark. kor. 2020 ilman alv, €]]-Vertailu[[#This Row],[Rahoitus pl. hark. kor. 2019 ilman alv, €]],0)</f>
        <v>7761</v>
      </c>
      <c r="O136" s="46">
        <f>IFERROR(Vertailu[[#This Row],[Muutos, € 1]]/Vertailu[[#This Row],[Rahoitus pl. hark. kor. 2019 ilman alv, €]],0)</f>
        <v>0.21030240624322566</v>
      </c>
      <c r="P136" s="217">
        <f>IFERROR(VLOOKUP(Vertailu[[#This Row],[Y-tunnus]],'3.2 Suoritepäätös 2019'!$A:$S,COLUMN('3.2 Suoritepäätös 2019'!Q:Q),FALSE),0)</f>
        <v>36904</v>
      </c>
      <c r="Q136" s="243">
        <f>IFERROR(VLOOKUP(Vertailu[[#This Row],[Y-tunnus]],'1.2 Ohjaus-laskentataulu'!A:AT,COLUMN('1.2 Ohjaus-laskentataulu'!AR:AR),FALSE),0)</f>
        <v>44665</v>
      </c>
      <c r="R136" s="21">
        <f>IFERROR(Vertailu[[#This Row],[Rahoitus ml. hark. kor. 
2020 ilman alv, €]]-Vertailu[[#This Row],[Rahoitus ml. hark. kor. 
2019 ilman alv, €]],0)</f>
        <v>7761</v>
      </c>
      <c r="S136" s="19">
        <f>IFERROR(Vertailu[[#This Row],[Muutos, € 2]]/Vertailu[[#This Row],[Rahoitus ml. hark. kor. 
2019 ilman alv, €]],0)</f>
        <v>0.21030240624322566</v>
      </c>
      <c r="T136" s="243">
        <f>IFERROR(VLOOKUP(Vertailu[[#This Row],[Y-tunnus]],'3.2 Suoritepäätös 2019'!$A:$S,COLUMN('3.2 Suoritepäätös 2019'!Q:Q),FALSE)+VLOOKUP(Vertailu[[#This Row],[Y-tunnus]],'3.2 Suoritepäätös 2019'!$A:$S,COLUMN('3.2 Suoritepäätös 2019'!R:R),FALSE),0)</f>
        <v>38825</v>
      </c>
      <c r="U136" s="217">
        <f>IFERROR(VLOOKUP(Vertailu[[#This Row],[Y-tunnus]],'1.2 Ohjaus-laskentataulu'!A:AT,COLUMN('1.2 Ohjaus-laskentataulu'!AT:AT),FALSE),0)</f>
        <v>46007</v>
      </c>
      <c r="V136" s="249">
        <f>IFERROR(Vertailu[[#This Row],[Rahoitus ml. hark. kor. + alv 2020, €]]-Vertailu[[#This Row],[Rahoitus ml. hark. kor. + alv 2019, €]],0)</f>
        <v>7182</v>
      </c>
      <c r="W136" s="46">
        <f>IFERROR(Vertailu[[#This Row],[Muutos, € 3]]/Vertailu[[#This Row],[Rahoitus ml. hark. kor. + alv 2019, €]],0)</f>
        <v>0.1849839021249195</v>
      </c>
    </row>
    <row r="137" spans="1:23" ht="12.75" customHeight="1" x14ac:dyDescent="0.25">
      <c r="A137" s="12" t="s">
        <v>266</v>
      </c>
      <c r="B137" s="297" t="s">
        <v>137</v>
      </c>
      <c r="C137" s="297" t="s">
        <v>254</v>
      </c>
      <c r="D137" s="297" t="s">
        <v>423</v>
      </c>
      <c r="E137" s="22">
        <f>IFERROR(VLOOKUP(Vertailu[[#This Row],[Y-tunnus]],'1.2 Ohjaus-laskentataulu'!A:AT,COLUMN('1.2 Ohjaus-laskentataulu'!L:L),FALSE)/VLOOKUP(Vertailu[[#This Row],[Y-tunnus]],'1.2 Ohjaus-laskentataulu'!A:AT,COLUMN('1.2 Ohjaus-laskentataulu'!AR:AR),FALSE),0)</f>
        <v>0.59639102171678149</v>
      </c>
      <c r="F137" s="46">
        <f>IFERROR(VLOOKUP(Vertailu[[#This Row],[Y-tunnus]],'1.2 Ohjaus-laskentataulu'!A:AT,COLUMN('1.2 Ohjaus-laskentataulu'!AO:AO),FALSE)/VLOOKUP(Vertailu[[#This Row],[Y-tunnus]],'1.2 Ohjaus-laskentataulu'!A:AT,COLUMN('1.2 Ohjaus-laskentataulu'!AR:AR),FALSE),0)</f>
        <v>0.61943929170862533</v>
      </c>
      <c r="G137" s="299">
        <f>IFERROR(VLOOKUP(Vertailu[[#This Row],[Y-tunnus]],'1.2 Ohjaus-laskentataulu'!A:AT,COLUMN('1.2 Ohjaus-laskentataulu'!AP:AP),FALSE)/VLOOKUP(Vertailu[[#This Row],[Y-tunnus]],'1.2 Ohjaus-laskentataulu'!A:AT,COLUMN('1.2 Ohjaus-laskentataulu'!AR:AR),FALSE),0)</f>
        <v>0.22849914576096719</v>
      </c>
      <c r="H137" s="22">
        <f>IFERROR(VLOOKUP(Vertailu[[#This Row],[Y-tunnus]],'1.2 Ohjaus-laskentataulu'!A:AT,COLUMN('1.2 Ohjaus-laskentataulu'!AQ:AQ),FALSE)/VLOOKUP(Vertailu[[#This Row],[Y-tunnus]],'1.2 Ohjaus-laskentataulu'!A:AT,COLUMN('1.2 Ohjaus-laskentataulu'!AR:AR),FALSE),0)</f>
        <v>0.15206156253040742</v>
      </c>
      <c r="I137" s="19">
        <f>IFERROR(VLOOKUP(Vertailu[[#This Row],[Y-tunnus]],'1.2 Ohjaus-laskentataulu'!A:AT,COLUMN('1.2 Ohjaus-laskentataulu'!R:R),FALSE)/VLOOKUP(Vertailu[[#This Row],[Y-tunnus]],'1.2 Ohjaus-laskentataulu'!A:AT,COLUMN('1.2 Ohjaus-laskentataulu'!AR:AR),FALSE),0)</f>
        <v>0.11126993261988583</v>
      </c>
      <c r="J137" s="19">
        <f>IFERROR(VLOOKUP(Vertailu[[#This Row],[Y-tunnus]],'1.2 Ohjaus-laskentataulu'!A:AT,COLUMN('1.2 Ohjaus-laskentataulu'!U:U),FALSE)/VLOOKUP(Vertailu[[#This Row],[Y-tunnus]],'1.2 Ohjaus-laskentataulu'!A:AT,COLUMN('1.2 Ohjaus-laskentataulu'!AR:AR),FALSE),0)</f>
        <v>1.0334443424864694E-2</v>
      </c>
      <c r="K137" s="46">
        <f>IFERROR(VLOOKUP(Vertailu[[#This Row],[Y-tunnus]],'1.2 Ohjaus-laskentataulu'!A:AT,COLUMN('1.2 Ohjaus-laskentataulu'!X:X),FALSE)/VLOOKUP(Vertailu[[#This Row],[Y-tunnus]],'1.2 Ohjaus-laskentataulu'!A:AT,COLUMN('1.2 Ohjaus-laskentataulu'!AR:AR),FALSE),0)</f>
        <v>3.0457186485656911E-2</v>
      </c>
      <c r="L137" s="21">
        <f>IFERROR(VLOOKUP(Vertailu[[#This Row],[Y-tunnus]],'3.2 Suoritepäätös 2019'!$A:$S,COLUMN('3.2 Suoritepäätös 2019'!Q:Q),FALSE)-VLOOKUP(Vertailu[[#This Row],[Y-tunnus]],'3.2 Suoritepäätös 2019'!$A:$S,COLUMN('3.2 Suoritepäätös 2019'!L:L),FALSE),0)</f>
        <v>8488940</v>
      </c>
      <c r="M137" s="21">
        <f>IFERROR(VLOOKUP(Vertailu[[#This Row],[Y-tunnus]],'1.2 Ohjaus-laskentataulu'!A:AT,COLUMN('1.2 Ohjaus-laskentataulu'!Z:Z),FALSE),0)</f>
        <v>9749057</v>
      </c>
      <c r="N137" s="21">
        <f>IFERROR(Vertailu[[#This Row],[Rahoitus pl. hark. kor. 2020 ilman alv, €]]-Vertailu[[#This Row],[Rahoitus pl. hark. kor. 2019 ilman alv, €]],0)</f>
        <v>1260117</v>
      </c>
      <c r="O137" s="46">
        <f>IFERROR(Vertailu[[#This Row],[Muutos, € 1]]/Vertailu[[#This Row],[Rahoitus pl. hark. kor. 2019 ilman alv, €]],0)</f>
        <v>0.14844220833225349</v>
      </c>
      <c r="P137" s="217">
        <f>IFERROR(VLOOKUP(Vertailu[[#This Row],[Y-tunnus]],'3.2 Suoritepäätös 2019'!$A:$S,COLUMN('3.2 Suoritepäätös 2019'!Q:Q),FALSE),0)</f>
        <v>8698940</v>
      </c>
      <c r="Q137" s="243">
        <f>IFERROR(VLOOKUP(Vertailu[[#This Row],[Y-tunnus]],'1.2 Ohjaus-laskentataulu'!A:AT,COLUMN('1.2 Ohjaus-laskentataulu'!AR:AR),FALSE),0)</f>
        <v>9979057</v>
      </c>
      <c r="R137" s="21">
        <f>IFERROR(Vertailu[[#This Row],[Rahoitus ml. hark. kor. 
2020 ilman alv, €]]-Vertailu[[#This Row],[Rahoitus ml. hark. kor. 
2019 ilman alv, €]],0)</f>
        <v>1280117</v>
      </c>
      <c r="S137" s="19">
        <f>IFERROR(Vertailu[[#This Row],[Muutos, € 2]]/Vertailu[[#This Row],[Rahoitus ml. hark. kor. 
2019 ilman alv, €]],0)</f>
        <v>0.14715781463028829</v>
      </c>
      <c r="T137" s="243">
        <f>IFERROR(VLOOKUP(Vertailu[[#This Row],[Y-tunnus]],'3.2 Suoritepäätös 2019'!$A:$S,COLUMN('3.2 Suoritepäätös 2019'!Q:Q),FALSE)+VLOOKUP(Vertailu[[#This Row],[Y-tunnus]],'3.2 Suoritepäätös 2019'!$A:$S,COLUMN('3.2 Suoritepäätös 2019'!R:R),FALSE),0)</f>
        <v>9162408</v>
      </c>
      <c r="U137" s="217">
        <f>IFERROR(VLOOKUP(Vertailu[[#This Row],[Y-tunnus]],'1.2 Ohjaus-laskentataulu'!A:AT,COLUMN('1.2 Ohjaus-laskentataulu'!AT:AT),FALSE),0)</f>
        <v>10423719</v>
      </c>
      <c r="V137" s="249">
        <f>IFERROR(Vertailu[[#This Row],[Rahoitus ml. hark. kor. + alv 2020, €]]-Vertailu[[#This Row],[Rahoitus ml. hark. kor. + alv 2019, €]],0)</f>
        <v>1261311</v>
      </c>
      <c r="W137" s="46">
        <f>IFERROR(Vertailu[[#This Row],[Muutos, € 3]]/Vertailu[[#This Row],[Rahoitus ml. hark. kor. + alv 2019, €]],0)</f>
        <v>0.13766151867500334</v>
      </c>
    </row>
    <row r="138" spans="1:23" ht="12.75" customHeight="1" x14ac:dyDescent="0.25">
      <c r="A138" s="12" t="s">
        <v>265</v>
      </c>
      <c r="B138" s="297" t="s">
        <v>138</v>
      </c>
      <c r="C138" s="297" t="s">
        <v>254</v>
      </c>
      <c r="D138" s="297" t="s">
        <v>423</v>
      </c>
      <c r="E138" s="22">
        <f>IFERROR(VLOOKUP(Vertailu[[#This Row],[Y-tunnus]],'1.2 Ohjaus-laskentataulu'!A:AT,COLUMN('1.2 Ohjaus-laskentataulu'!L:L),FALSE)/VLOOKUP(Vertailu[[#This Row],[Y-tunnus]],'1.2 Ohjaus-laskentataulu'!A:AT,COLUMN('1.2 Ohjaus-laskentataulu'!AR:AR),FALSE),0)</f>
        <v>0.74893927219524192</v>
      </c>
      <c r="F138" s="46">
        <f>IFERROR(VLOOKUP(Vertailu[[#This Row],[Y-tunnus]],'1.2 Ohjaus-laskentataulu'!A:AT,COLUMN('1.2 Ohjaus-laskentataulu'!AO:AO),FALSE)/VLOOKUP(Vertailu[[#This Row],[Y-tunnus]],'1.2 Ohjaus-laskentataulu'!A:AT,COLUMN('1.2 Ohjaus-laskentataulu'!AR:AR),FALSE),0)</f>
        <v>0.74893927219524192</v>
      </c>
      <c r="G138" s="299">
        <f>IFERROR(VLOOKUP(Vertailu[[#This Row],[Y-tunnus]],'1.2 Ohjaus-laskentataulu'!A:AT,COLUMN('1.2 Ohjaus-laskentataulu'!AP:AP),FALSE)/VLOOKUP(Vertailu[[#This Row],[Y-tunnus]],'1.2 Ohjaus-laskentataulu'!A:AT,COLUMN('1.2 Ohjaus-laskentataulu'!AR:AR),FALSE),0)</f>
        <v>0.15238135152747895</v>
      </c>
      <c r="H138" s="22">
        <f>IFERROR(VLOOKUP(Vertailu[[#This Row],[Y-tunnus]],'1.2 Ohjaus-laskentataulu'!A:AT,COLUMN('1.2 Ohjaus-laskentataulu'!AQ:AQ),FALSE)/VLOOKUP(Vertailu[[#This Row],[Y-tunnus]],'1.2 Ohjaus-laskentataulu'!A:AT,COLUMN('1.2 Ohjaus-laskentataulu'!AR:AR),FALSE),0)</f>
        <v>9.8679376277279116E-2</v>
      </c>
      <c r="I138" s="19">
        <f>IFERROR(VLOOKUP(Vertailu[[#This Row],[Y-tunnus]],'1.2 Ohjaus-laskentataulu'!A:AT,COLUMN('1.2 Ohjaus-laskentataulu'!R:R),FALSE)/VLOOKUP(Vertailu[[#This Row],[Y-tunnus]],'1.2 Ohjaus-laskentataulu'!A:AT,COLUMN('1.2 Ohjaus-laskentataulu'!AR:AR),FALSE),0)</f>
        <v>6.8240756612995043E-2</v>
      </c>
      <c r="J138" s="19">
        <f>IFERROR(VLOOKUP(Vertailu[[#This Row],[Y-tunnus]],'1.2 Ohjaus-laskentataulu'!A:AT,COLUMN('1.2 Ohjaus-laskentataulu'!U:U),FALSE)/VLOOKUP(Vertailu[[#This Row],[Y-tunnus]],'1.2 Ohjaus-laskentataulu'!A:AT,COLUMN('1.2 Ohjaus-laskentataulu'!AR:AR),FALSE),0)</f>
        <v>8.247070653008462E-3</v>
      </c>
      <c r="K138" s="46">
        <f>IFERROR(VLOOKUP(Vertailu[[#This Row],[Y-tunnus]],'1.2 Ohjaus-laskentataulu'!A:AT,COLUMN('1.2 Ohjaus-laskentataulu'!X:X),FALSE)/VLOOKUP(Vertailu[[#This Row],[Y-tunnus]],'1.2 Ohjaus-laskentataulu'!A:AT,COLUMN('1.2 Ohjaus-laskentataulu'!AR:AR),FALSE),0)</f>
        <v>2.219154901127561E-2</v>
      </c>
      <c r="L138" s="21">
        <f>IFERROR(VLOOKUP(Vertailu[[#This Row],[Y-tunnus]],'3.2 Suoritepäätös 2019'!$A:$S,COLUMN('3.2 Suoritepäätös 2019'!Q:Q),FALSE)-VLOOKUP(Vertailu[[#This Row],[Y-tunnus]],'3.2 Suoritepäätös 2019'!$A:$S,COLUMN('3.2 Suoritepäätös 2019'!L:L),FALSE),0)</f>
        <v>3236089</v>
      </c>
      <c r="M138" s="21">
        <f>IFERROR(VLOOKUP(Vertailu[[#This Row],[Y-tunnus]],'1.2 Ohjaus-laskentataulu'!A:AT,COLUMN('1.2 Ohjaus-laskentataulu'!Z:Z),FALSE),0)</f>
        <v>2910973</v>
      </c>
      <c r="N138" s="21">
        <f>IFERROR(Vertailu[[#This Row],[Rahoitus pl. hark. kor. 2020 ilman alv, €]]-Vertailu[[#This Row],[Rahoitus pl. hark. kor. 2019 ilman alv, €]],0)</f>
        <v>-325116</v>
      </c>
      <c r="O138" s="46">
        <f>IFERROR(Vertailu[[#This Row],[Muutos, € 1]]/Vertailu[[#This Row],[Rahoitus pl. hark. kor. 2019 ilman alv, €]],0)</f>
        <v>-0.10046571648678389</v>
      </c>
      <c r="P138" s="217">
        <f>IFERROR(VLOOKUP(Vertailu[[#This Row],[Y-tunnus]],'3.2 Suoritepäätös 2019'!$A:$S,COLUMN('3.2 Suoritepäätös 2019'!Q:Q),FALSE),0)</f>
        <v>3236089</v>
      </c>
      <c r="Q138" s="243">
        <f>IFERROR(VLOOKUP(Vertailu[[#This Row],[Y-tunnus]],'1.2 Ohjaus-laskentataulu'!A:AT,COLUMN('1.2 Ohjaus-laskentataulu'!AR:AR),FALSE),0)</f>
        <v>2910973</v>
      </c>
      <c r="R138" s="21">
        <f>IFERROR(Vertailu[[#This Row],[Rahoitus ml. hark. kor. 
2020 ilman alv, €]]-Vertailu[[#This Row],[Rahoitus ml. hark. kor. 
2019 ilman alv, €]],0)</f>
        <v>-325116</v>
      </c>
      <c r="S138" s="19">
        <f>IFERROR(Vertailu[[#This Row],[Muutos, € 2]]/Vertailu[[#This Row],[Rahoitus ml. hark. kor. 
2019 ilman alv, €]],0)</f>
        <v>-0.10046571648678389</v>
      </c>
      <c r="T138" s="243">
        <f>IFERROR(VLOOKUP(Vertailu[[#This Row],[Y-tunnus]],'3.2 Suoritepäätös 2019'!$A:$S,COLUMN('3.2 Suoritepäätös 2019'!Q:Q),FALSE)+VLOOKUP(Vertailu[[#This Row],[Y-tunnus]],'3.2 Suoritepäätös 2019'!$A:$S,COLUMN('3.2 Suoritepäätös 2019'!R:R),FALSE),0)</f>
        <v>3408497</v>
      </c>
      <c r="U138" s="217">
        <f>IFERROR(VLOOKUP(Vertailu[[#This Row],[Y-tunnus]],'1.2 Ohjaus-laskentataulu'!A:AT,COLUMN('1.2 Ohjaus-laskentataulu'!AT:AT),FALSE),0)</f>
        <v>3049973</v>
      </c>
      <c r="V138" s="249">
        <f>IFERROR(Vertailu[[#This Row],[Rahoitus ml. hark. kor. + alv 2020, €]]-Vertailu[[#This Row],[Rahoitus ml. hark. kor. + alv 2019, €]],0)</f>
        <v>-358524</v>
      </c>
      <c r="W138" s="46">
        <f>IFERROR(Vertailu[[#This Row],[Muutos, € 3]]/Vertailu[[#This Row],[Rahoitus ml. hark. kor. + alv 2019, €]],0)</f>
        <v>-0.10518536469300105</v>
      </c>
    </row>
    <row r="139" spans="1:23" ht="12.75" customHeight="1" x14ac:dyDescent="0.25">
      <c r="A139" s="12" t="s">
        <v>264</v>
      </c>
      <c r="B139" s="297" t="s">
        <v>139</v>
      </c>
      <c r="C139" s="297" t="s">
        <v>254</v>
      </c>
      <c r="D139" s="297" t="s">
        <v>424</v>
      </c>
      <c r="E139" s="22">
        <f>IFERROR(VLOOKUP(Vertailu[[#This Row],[Y-tunnus]],'1.2 Ohjaus-laskentataulu'!A:AT,COLUMN('1.2 Ohjaus-laskentataulu'!L:L),FALSE)/VLOOKUP(Vertailu[[#This Row],[Y-tunnus]],'1.2 Ohjaus-laskentataulu'!A:AT,COLUMN('1.2 Ohjaus-laskentataulu'!AR:AR),FALSE),0)</f>
        <v>0.67032107497311966</v>
      </c>
      <c r="F139" s="46">
        <f>IFERROR(VLOOKUP(Vertailu[[#This Row],[Y-tunnus]],'1.2 Ohjaus-laskentataulu'!A:AT,COLUMN('1.2 Ohjaus-laskentataulu'!AO:AO),FALSE)/VLOOKUP(Vertailu[[#This Row],[Y-tunnus]],'1.2 Ohjaus-laskentataulu'!A:AT,COLUMN('1.2 Ohjaus-laskentataulu'!AR:AR),FALSE),0)</f>
        <v>0.67350056576767625</v>
      </c>
      <c r="G139" s="299">
        <f>IFERROR(VLOOKUP(Vertailu[[#This Row],[Y-tunnus]],'1.2 Ohjaus-laskentataulu'!A:AT,COLUMN('1.2 Ohjaus-laskentataulu'!AP:AP),FALSE)/VLOOKUP(Vertailu[[#This Row],[Y-tunnus]],'1.2 Ohjaus-laskentataulu'!A:AT,COLUMN('1.2 Ohjaus-laskentataulu'!AR:AR),FALSE),0)</f>
        <v>0.21655427772325203</v>
      </c>
      <c r="H139" s="22">
        <f>IFERROR(VLOOKUP(Vertailu[[#This Row],[Y-tunnus]],'1.2 Ohjaus-laskentataulu'!A:AT,COLUMN('1.2 Ohjaus-laskentataulu'!AQ:AQ),FALSE)/VLOOKUP(Vertailu[[#This Row],[Y-tunnus]],'1.2 Ohjaus-laskentataulu'!A:AT,COLUMN('1.2 Ohjaus-laskentataulu'!AR:AR),FALSE),0)</f>
        <v>0.10994515650907172</v>
      </c>
      <c r="I139" s="19">
        <f>IFERROR(VLOOKUP(Vertailu[[#This Row],[Y-tunnus]],'1.2 Ohjaus-laskentataulu'!A:AT,COLUMN('1.2 Ohjaus-laskentataulu'!R:R),FALSE)/VLOOKUP(Vertailu[[#This Row],[Y-tunnus]],'1.2 Ohjaus-laskentataulu'!A:AT,COLUMN('1.2 Ohjaus-laskentataulu'!AR:AR),FALSE),0)</f>
        <v>8.4739311732902431E-2</v>
      </c>
      <c r="J139" s="19">
        <f>IFERROR(VLOOKUP(Vertailu[[#This Row],[Y-tunnus]],'1.2 Ohjaus-laskentataulu'!A:AT,COLUMN('1.2 Ohjaus-laskentataulu'!U:U),FALSE)/VLOOKUP(Vertailu[[#This Row],[Y-tunnus]],'1.2 Ohjaus-laskentataulu'!A:AT,COLUMN('1.2 Ohjaus-laskentataulu'!AR:AR),FALSE),0)</f>
        <v>7.5827221746408904E-3</v>
      </c>
      <c r="K139" s="46">
        <f>IFERROR(VLOOKUP(Vertailu[[#This Row],[Y-tunnus]],'1.2 Ohjaus-laskentataulu'!A:AT,COLUMN('1.2 Ohjaus-laskentataulu'!X:X),FALSE)/VLOOKUP(Vertailu[[#This Row],[Y-tunnus]],'1.2 Ohjaus-laskentataulu'!A:AT,COLUMN('1.2 Ohjaus-laskentataulu'!AR:AR),FALSE),0)</f>
        <v>1.7623122601528408E-2</v>
      </c>
      <c r="L139" s="21">
        <f>IFERROR(VLOOKUP(Vertailu[[#This Row],[Y-tunnus]],'3.2 Suoritepäätös 2019'!$A:$S,COLUMN('3.2 Suoritepäätös 2019'!Q:Q),FALSE)-VLOOKUP(Vertailu[[#This Row],[Y-tunnus]],'3.2 Suoritepäätös 2019'!$A:$S,COLUMN('3.2 Suoritepäätös 2019'!L:L),FALSE),0)</f>
        <v>42588105</v>
      </c>
      <c r="M139" s="21">
        <f>IFERROR(VLOOKUP(Vertailu[[#This Row],[Y-tunnus]],'1.2 Ohjaus-laskentataulu'!A:AT,COLUMN('1.2 Ohjaus-laskentataulu'!Z:Z),FALSE),0)</f>
        <v>43892208</v>
      </c>
      <c r="N139" s="21">
        <f>IFERROR(Vertailu[[#This Row],[Rahoitus pl. hark. kor. 2020 ilman alv, €]]-Vertailu[[#This Row],[Rahoitus pl. hark. kor. 2019 ilman alv, €]],0)</f>
        <v>1304103</v>
      </c>
      <c r="O139" s="46">
        <f>IFERROR(Vertailu[[#This Row],[Muutos, € 1]]/Vertailu[[#This Row],[Rahoitus pl. hark. kor. 2019 ilman alv, €]],0)</f>
        <v>3.0621296721232372E-2</v>
      </c>
      <c r="P139" s="217">
        <f>IFERROR(VLOOKUP(Vertailu[[#This Row],[Y-tunnus]],'3.2 Suoritepäätös 2019'!$A:$S,COLUMN('3.2 Suoritepäätös 2019'!Q:Q),FALSE),0)</f>
        <v>42588105</v>
      </c>
      <c r="Q139" s="243">
        <f>IFERROR(VLOOKUP(Vertailu[[#This Row],[Y-tunnus]],'1.2 Ohjaus-laskentataulu'!A:AT,COLUMN('1.2 Ohjaus-laskentataulu'!AR:AR),FALSE),0)</f>
        <v>44032208</v>
      </c>
      <c r="R139" s="21">
        <f>IFERROR(Vertailu[[#This Row],[Rahoitus ml. hark. kor. 
2020 ilman alv, €]]-Vertailu[[#This Row],[Rahoitus ml. hark. kor. 
2019 ilman alv, €]],0)</f>
        <v>1444103</v>
      </c>
      <c r="S139" s="19">
        <f>IFERROR(Vertailu[[#This Row],[Muutos, € 2]]/Vertailu[[#This Row],[Rahoitus ml. hark. kor. 
2019 ilman alv, €]],0)</f>
        <v>3.390859959606092E-2</v>
      </c>
      <c r="T139" s="243">
        <f>IFERROR(VLOOKUP(Vertailu[[#This Row],[Y-tunnus]],'3.2 Suoritepäätös 2019'!$A:$S,COLUMN('3.2 Suoritepäätös 2019'!Q:Q),FALSE)+VLOOKUP(Vertailu[[#This Row],[Y-tunnus]],'3.2 Suoritepäätös 2019'!$A:$S,COLUMN('3.2 Suoritepäätös 2019'!R:R),FALSE),0)</f>
        <v>42588105</v>
      </c>
      <c r="U139" s="217">
        <f>IFERROR(VLOOKUP(Vertailu[[#This Row],[Y-tunnus]],'1.2 Ohjaus-laskentataulu'!A:AT,COLUMN('1.2 Ohjaus-laskentataulu'!AT:AT),FALSE),0)</f>
        <v>44032208</v>
      </c>
      <c r="V139" s="249">
        <f>IFERROR(Vertailu[[#This Row],[Rahoitus ml. hark. kor. + alv 2020, €]]-Vertailu[[#This Row],[Rahoitus ml. hark. kor. + alv 2019, €]],0)</f>
        <v>1444103</v>
      </c>
      <c r="W139" s="46">
        <f>IFERROR(Vertailu[[#This Row],[Muutos, € 3]]/Vertailu[[#This Row],[Rahoitus ml. hark. kor. + alv 2019, €]],0)</f>
        <v>3.390859959606092E-2</v>
      </c>
    </row>
    <row r="140" spans="1:23" ht="12.75" customHeight="1" x14ac:dyDescent="0.25">
      <c r="A140" s="12" t="s">
        <v>263</v>
      </c>
      <c r="B140" s="297" t="s">
        <v>141</v>
      </c>
      <c r="C140" s="297" t="s">
        <v>254</v>
      </c>
      <c r="D140" s="297" t="s">
        <v>423</v>
      </c>
      <c r="E140" s="22">
        <f>IFERROR(VLOOKUP(Vertailu[[#This Row],[Y-tunnus]],'1.2 Ohjaus-laskentataulu'!A:AT,COLUMN('1.2 Ohjaus-laskentataulu'!L:L),FALSE)/VLOOKUP(Vertailu[[#This Row],[Y-tunnus]],'1.2 Ohjaus-laskentataulu'!A:AT,COLUMN('1.2 Ohjaus-laskentataulu'!AR:AR),FALSE),0)</f>
        <v>0.63660787594234769</v>
      </c>
      <c r="F140" s="46">
        <f>IFERROR(VLOOKUP(Vertailu[[#This Row],[Y-tunnus]],'1.2 Ohjaus-laskentataulu'!A:AT,COLUMN('1.2 Ohjaus-laskentataulu'!AO:AO),FALSE)/VLOOKUP(Vertailu[[#This Row],[Y-tunnus]],'1.2 Ohjaus-laskentataulu'!A:AT,COLUMN('1.2 Ohjaus-laskentataulu'!AR:AR),FALSE),0)</f>
        <v>0.64115918098355518</v>
      </c>
      <c r="G140" s="299">
        <f>IFERROR(VLOOKUP(Vertailu[[#This Row],[Y-tunnus]],'1.2 Ohjaus-laskentataulu'!A:AT,COLUMN('1.2 Ohjaus-laskentataulu'!AP:AP),FALSE)/VLOOKUP(Vertailu[[#This Row],[Y-tunnus]],'1.2 Ohjaus-laskentataulu'!A:AT,COLUMN('1.2 Ohjaus-laskentataulu'!AR:AR),FALSE),0)</f>
        <v>0.22622580298674841</v>
      </c>
      <c r="H140" s="22">
        <f>IFERROR(VLOOKUP(Vertailu[[#This Row],[Y-tunnus]],'1.2 Ohjaus-laskentataulu'!A:AT,COLUMN('1.2 Ohjaus-laskentataulu'!AQ:AQ),FALSE)/VLOOKUP(Vertailu[[#This Row],[Y-tunnus]],'1.2 Ohjaus-laskentataulu'!A:AT,COLUMN('1.2 Ohjaus-laskentataulu'!AR:AR),FALSE),0)</f>
        <v>0.13261501602969636</v>
      </c>
      <c r="I140" s="19">
        <f>IFERROR(VLOOKUP(Vertailu[[#This Row],[Y-tunnus]],'1.2 Ohjaus-laskentataulu'!A:AT,COLUMN('1.2 Ohjaus-laskentataulu'!R:R),FALSE)/VLOOKUP(Vertailu[[#This Row],[Y-tunnus]],'1.2 Ohjaus-laskentataulu'!A:AT,COLUMN('1.2 Ohjaus-laskentataulu'!AR:AR),FALSE),0)</f>
        <v>7.920044493558083E-2</v>
      </c>
      <c r="J140" s="19">
        <f>IFERROR(VLOOKUP(Vertailu[[#This Row],[Y-tunnus]],'1.2 Ohjaus-laskentataulu'!A:AT,COLUMN('1.2 Ohjaus-laskentataulu'!U:U),FALSE)/VLOOKUP(Vertailu[[#This Row],[Y-tunnus]],'1.2 Ohjaus-laskentataulu'!A:AT,COLUMN('1.2 Ohjaus-laskentataulu'!AR:AR),FALSE),0)</f>
        <v>1.0072038056192233E-2</v>
      </c>
      <c r="K140" s="46">
        <f>IFERROR(VLOOKUP(Vertailu[[#This Row],[Y-tunnus]],'1.2 Ohjaus-laskentataulu'!A:AT,COLUMN('1.2 Ohjaus-laskentataulu'!X:X),FALSE)/VLOOKUP(Vertailu[[#This Row],[Y-tunnus]],'1.2 Ohjaus-laskentataulu'!A:AT,COLUMN('1.2 Ohjaus-laskentataulu'!AR:AR),FALSE),0)</f>
        <v>4.3342533037923292E-2</v>
      </c>
      <c r="L140" s="21">
        <f>IFERROR(VLOOKUP(Vertailu[[#This Row],[Y-tunnus]],'3.2 Suoritepäätös 2019'!$A:$S,COLUMN('3.2 Suoritepäätös 2019'!Q:Q),FALSE)-VLOOKUP(Vertailu[[#This Row],[Y-tunnus]],'3.2 Suoritepäätös 2019'!$A:$S,COLUMN('3.2 Suoritepäätös 2019'!L:L),FALSE),0)</f>
        <v>1960533</v>
      </c>
      <c r="M140" s="21">
        <f>IFERROR(VLOOKUP(Vertailu[[#This Row],[Y-tunnus]],'1.2 Ohjaus-laskentataulu'!A:AT,COLUMN('1.2 Ohjaus-laskentataulu'!Z:Z),FALSE),0)</f>
        <v>2187172</v>
      </c>
      <c r="N140" s="21">
        <f>IFERROR(Vertailu[[#This Row],[Rahoitus pl. hark. kor. 2020 ilman alv, €]]-Vertailu[[#This Row],[Rahoitus pl. hark. kor. 2019 ilman alv, €]],0)</f>
        <v>226639</v>
      </c>
      <c r="O140" s="46">
        <f>IFERROR(Vertailu[[#This Row],[Muutos, € 1]]/Vertailu[[#This Row],[Rahoitus pl. hark. kor. 2019 ilman alv, €]],0)</f>
        <v>0.11560070654255757</v>
      </c>
      <c r="P140" s="217">
        <f>IFERROR(VLOOKUP(Vertailu[[#This Row],[Y-tunnus]],'3.2 Suoritepäätös 2019'!$A:$S,COLUMN('3.2 Suoritepäätös 2019'!Q:Q),FALSE),0)</f>
        <v>1960533</v>
      </c>
      <c r="Q140" s="243">
        <f>IFERROR(VLOOKUP(Vertailu[[#This Row],[Y-tunnus]],'1.2 Ohjaus-laskentataulu'!A:AT,COLUMN('1.2 Ohjaus-laskentataulu'!AR:AR),FALSE),0)</f>
        <v>2197172</v>
      </c>
      <c r="R140" s="21">
        <f>IFERROR(Vertailu[[#This Row],[Rahoitus ml. hark. kor. 
2020 ilman alv, €]]-Vertailu[[#This Row],[Rahoitus ml. hark. kor. 
2019 ilman alv, €]],0)</f>
        <v>236639</v>
      </c>
      <c r="S140" s="19">
        <f>IFERROR(Vertailu[[#This Row],[Muutos, € 2]]/Vertailu[[#This Row],[Rahoitus ml. hark. kor. 
2019 ilman alv, €]],0)</f>
        <v>0.1207013602933488</v>
      </c>
      <c r="T140" s="243">
        <f>IFERROR(VLOOKUP(Vertailu[[#This Row],[Y-tunnus]],'3.2 Suoritepäätös 2019'!$A:$S,COLUMN('3.2 Suoritepäätös 2019'!Q:Q),FALSE)+VLOOKUP(Vertailu[[#This Row],[Y-tunnus]],'3.2 Suoritepäätös 2019'!$A:$S,COLUMN('3.2 Suoritepäätös 2019'!R:R),FALSE),0)</f>
        <v>2065332</v>
      </c>
      <c r="U140" s="217">
        <f>IFERROR(VLOOKUP(Vertailu[[#This Row],[Y-tunnus]],'1.2 Ohjaus-laskentataulu'!A:AT,COLUMN('1.2 Ohjaus-laskentataulu'!AT:AT),FALSE),0)</f>
        <v>2316002</v>
      </c>
      <c r="V140" s="249">
        <f>IFERROR(Vertailu[[#This Row],[Rahoitus ml. hark. kor. + alv 2020, €]]-Vertailu[[#This Row],[Rahoitus ml. hark. kor. + alv 2019, €]],0)</f>
        <v>250670</v>
      </c>
      <c r="W140" s="46">
        <f>IFERROR(Vertailu[[#This Row],[Muutos, € 3]]/Vertailu[[#This Row],[Rahoitus ml. hark. kor. + alv 2019, €]],0)</f>
        <v>0.12137031721776451</v>
      </c>
    </row>
    <row r="141" spans="1:23" ht="12.75" customHeight="1" x14ac:dyDescent="0.25">
      <c r="A141" s="12" t="s">
        <v>776</v>
      </c>
      <c r="B141" s="297" t="s">
        <v>777</v>
      </c>
      <c r="C141" s="297" t="s">
        <v>254</v>
      </c>
      <c r="D141" s="297" t="s">
        <v>423</v>
      </c>
      <c r="E141" s="22">
        <f>IFERROR(VLOOKUP(Vertailu[[#This Row],[Y-tunnus]],'1.2 Ohjaus-laskentataulu'!A:AT,COLUMN('1.2 Ohjaus-laskentataulu'!L:L),FALSE)/VLOOKUP(Vertailu[[#This Row],[Y-tunnus]],'1.2 Ohjaus-laskentataulu'!A:AT,COLUMN('1.2 Ohjaus-laskentataulu'!AR:AR),FALSE),0)</f>
        <v>0.6481265999534559</v>
      </c>
      <c r="F141" s="46">
        <f>IFERROR(VLOOKUP(Vertailu[[#This Row],[Y-tunnus]],'1.2 Ohjaus-laskentataulu'!A:AT,COLUMN('1.2 Ohjaus-laskentataulu'!AO:AO),FALSE)/VLOOKUP(Vertailu[[#This Row],[Y-tunnus]],'1.2 Ohjaus-laskentataulu'!A:AT,COLUMN('1.2 Ohjaus-laskentataulu'!AR:AR),FALSE),0)</f>
        <v>0.65640846837609956</v>
      </c>
      <c r="G141" s="299">
        <f>IFERROR(VLOOKUP(Vertailu[[#This Row],[Y-tunnus]],'1.2 Ohjaus-laskentataulu'!A:AT,COLUMN('1.2 Ohjaus-laskentataulu'!AP:AP),FALSE)/VLOOKUP(Vertailu[[#This Row],[Y-tunnus]],'1.2 Ohjaus-laskentataulu'!A:AT,COLUMN('1.2 Ohjaus-laskentataulu'!AR:AR),FALSE),0)</f>
        <v>0.2727790720497707</v>
      </c>
      <c r="H141" s="22">
        <f>IFERROR(VLOOKUP(Vertailu[[#This Row],[Y-tunnus]],'1.2 Ohjaus-laskentataulu'!A:AT,COLUMN('1.2 Ohjaus-laskentataulu'!AQ:AQ),FALSE)/VLOOKUP(Vertailu[[#This Row],[Y-tunnus]],'1.2 Ohjaus-laskentataulu'!A:AT,COLUMN('1.2 Ohjaus-laskentataulu'!AR:AR),FALSE),0)</f>
        <v>7.0812459574129766E-2</v>
      </c>
      <c r="I141" s="19">
        <f>IFERROR(VLOOKUP(Vertailu[[#This Row],[Y-tunnus]],'1.2 Ohjaus-laskentataulu'!A:AT,COLUMN('1.2 Ohjaus-laskentataulu'!R:R),FALSE)/VLOOKUP(Vertailu[[#This Row],[Y-tunnus]],'1.2 Ohjaus-laskentataulu'!A:AT,COLUMN('1.2 Ohjaus-laskentataulu'!AR:AR),FALSE),0)</f>
        <v>5.251201492061415E-2</v>
      </c>
      <c r="J141" s="19">
        <f>IFERROR(VLOOKUP(Vertailu[[#This Row],[Y-tunnus]],'1.2 Ohjaus-laskentataulu'!A:AT,COLUMN('1.2 Ohjaus-laskentataulu'!U:U),FALSE)/VLOOKUP(Vertailu[[#This Row],[Y-tunnus]],'1.2 Ohjaus-laskentataulu'!A:AT,COLUMN('1.2 Ohjaus-laskentataulu'!AR:AR),FALSE),0)</f>
        <v>6.7091416091835986E-3</v>
      </c>
      <c r="K141" s="46">
        <f>IFERROR(VLOOKUP(Vertailu[[#This Row],[Y-tunnus]],'1.2 Ohjaus-laskentataulu'!A:AT,COLUMN('1.2 Ohjaus-laskentataulu'!X:X),FALSE)/VLOOKUP(Vertailu[[#This Row],[Y-tunnus]],'1.2 Ohjaus-laskentataulu'!A:AT,COLUMN('1.2 Ohjaus-laskentataulu'!AR:AR),FALSE),0)</f>
        <v>1.1591303044332013E-2</v>
      </c>
      <c r="L141" s="21">
        <f>IFERROR(VLOOKUP(Vertailu[[#This Row],[Y-tunnus]],'3.2 Suoritepäätös 2019'!$A:$S,COLUMN('3.2 Suoritepäätös 2019'!Q:Q),FALSE)-VLOOKUP(Vertailu[[#This Row],[Y-tunnus]],'3.2 Suoritepäätös 2019'!$A:$S,COLUMN('3.2 Suoritepäätös 2019'!L:L),FALSE),0)</f>
        <v>1215966</v>
      </c>
      <c r="M141" s="21">
        <f>IFERROR(VLOOKUP(Vertailu[[#This Row],[Y-tunnus]],'1.2 Ohjaus-laskentataulu'!A:AT,COLUMN('1.2 Ohjaus-laskentataulu'!Z:Z),FALSE),0)</f>
        <v>1197457</v>
      </c>
      <c r="N141" s="21">
        <f>IFERROR(Vertailu[[#This Row],[Rahoitus pl. hark. kor. 2020 ilman alv, €]]-Vertailu[[#This Row],[Rahoitus pl. hark. kor. 2019 ilman alv, €]],0)</f>
        <v>-18509</v>
      </c>
      <c r="O141" s="46">
        <f>IFERROR(Vertailu[[#This Row],[Muutos, € 1]]/Vertailu[[#This Row],[Rahoitus pl. hark. kor. 2019 ilman alv, €]],0)</f>
        <v>-1.5221642710404732E-2</v>
      </c>
      <c r="P141" s="217">
        <f>IFERROR(VLOOKUP(Vertailu[[#This Row],[Y-tunnus]],'3.2 Suoritepäätös 2019'!$A:$S,COLUMN('3.2 Suoritepäätös 2019'!Q:Q),FALSE),0)</f>
        <v>1215966</v>
      </c>
      <c r="Q141" s="243">
        <f>IFERROR(VLOOKUP(Vertailu[[#This Row],[Y-tunnus]],'1.2 Ohjaus-laskentataulu'!A:AT,COLUMN('1.2 Ohjaus-laskentataulu'!AR:AR),FALSE),0)</f>
        <v>1207457</v>
      </c>
      <c r="R141" s="21">
        <f>IFERROR(Vertailu[[#This Row],[Rahoitus ml. hark. kor. 
2020 ilman alv, €]]-Vertailu[[#This Row],[Rahoitus ml. hark. kor. 
2019 ilman alv, €]],0)</f>
        <v>-8509</v>
      </c>
      <c r="S141" s="19">
        <f>IFERROR(Vertailu[[#This Row],[Muutos, € 2]]/Vertailu[[#This Row],[Rahoitus ml. hark. kor. 
2019 ilman alv, €]],0)</f>
        <v>-6.9977285549102522E-3</v>
      </c>
      <c r="T141" s="243">
        <f>IFERROR(VLOOKUP(Vertailu[[#This Row],[Y-tunnus]],'3.2 Suoritepäätös 2019'!$A:$S,COLUMN('3.2 Suoritepäätös 2019'!Q:Q),FALSE)+VLOOKUP(Vertailu[[#This Row],[Y-tunnus]],'3.2 Suoritepäätös 2019'!$A:$S,COLUMN('3.2 Suoritepäätös 2019'!R:R),FALSE),0)</f>
        <v>1277079</v>
      </c>
      <c r="U141" s="217">
        <f>IFERROR(VLOOKUP(Vertailu[[#This Row],[Y-tunnus]],'1.2 Ohjaus-laskentataulu'!A:AT,COLUMN('1.2 Ohjaus-laskentataulu'!AT:AT),FALSE),0)</f>
        <v>1232927</v>
      </c>
      <c r="V141" s="249">
        <f>IFERROR(Vertailu[[#This Row],[Rahoitus ml. hark. kor. + alv 2020, €]]-Vertailu[[#This Row],[Rahoitus ml. hark. kor. + alv 2019, €]],0)</f>
        <v>-44152</v>
      </c>
      <c r="W141" s="46">
        <f>IFERROR(Vertailu[[#This Row],[Muutos, € 3]]/Vertailu[[#This Row],[Rahoitus ml. hark. kor. + alv 2019, €]],0)</f>
        <v>-3.4572645858243697E-2</v>
      </c>
    </row>
    <row r="142" spans="1:23" ht="12.75" customHeight="1" x14ac:dyDescent="0.25">
      <c r="A142" s="12" t="s">
        <v>330</v>
      </c>
      <c r="B142" s="297" t="s">
        <v>156</v>
      </c>
      <c r="C142" s="297" t="s">
        <v>254</v>
      </c>
      <c r="D142" s="297" t="s">
        <v>423</v>
      </c>
      <c r="E142" s="22">
        <f>IFERROR(VLOOKUP(Vertailu[[#This Row],[Y-tunnus]],'1.2 Ohjaus-laskentataulu'!A:AT,COLUMN('1.2 Ohjaus-laskentataulu'!L:L),FALSE)/VLOOKUP(Vertailu[[#This Row],[Y-tunnus]],'1.2 Ohjaus-laskentataulu'!A:AT,COLUMN('1.2 Ohjaus-laskentataulu'!AR:AR),FALSE),0)</f>
        <v>0.60276186137949217</v>
      </c>
      <c r="F142" s="46">
        <f>IFERROR(VLOOKUP(Vertailu[[#This Row],[Y-tunnus]],'1.2 Ohjaus-laskentataulu'!A:AT,COLUMN('1.2 Ohjaus-laskentataulu'!AO:AO),FALSE)/VLOOKUP(Vertailu[[#This Row],[Y-tunnus]],'1.2 Ohjaus-laskentataulu'!A:AT,COLUMN('1.2 Ohjaus-laskentataulu'!AR:AR),FALSE),0)</f>
        <v>0.60276186137949217</v>
      </c>
      <c r="G142" s="299">
        <f>IFERROR(VLOOKUP(Vertailu[[#This Row],[Y-tunnus]],'1.2 Ohjaus-laskentataulu'!A:AT,COLUMN('1.2 Ohjaus-laskentataulu'!AP:AP),FALSE)/VLOOKUP(Vertailu[[#This Row],[Y-tunnus]],'1.2 Ohjaus-laskentataulu'!A:AT,COLUMN('1.2 Ohjaus-laskentataulu'!AR:AR),FALSE),0)</f>
        <v>0.34791781544436717</v>
      </c>
      <c r="H142" s="22">
        <f>IFERROR(VLOOKUP(Vertailu[[#This Row],[Y-tunnus]],'1.2 Ohjaus-laskentataulu'!A:AT,COLUMN('1.2 Ohjaus-laskentataulu'!AQ:AQ),FALSE)/VLOOKUP(Vertailu[[#This Row],[Y-tunnus]],'1.2 Ohjaus-laskentataulu'!A:AT,COLUMN('1.2 Ohjaus-laskentataulu'!AR:AR),FALSE),0)</f>
        <v>4.9320323176140587E-2</v>
      </c>
      <c r="I142" s="19">
        <f>IFERROR(VLOOKUP(Vertailu[[#This Row],[Y-tunnus]],'1.2 Ohjaus-laskentataulu'!A:AT,COLUMN('1.2 Ohjaus-laskentataulu'!R:R),FALSE)/VLOOKUP(Vertailu[[#This Row],[Y-tunnus]],'1.2 Ohjaus-laskentataulu'!A:AT,COLUMN('1.2 Ohjaus-laskentataulu'!AR:AR),FALSE),0)</f>
        <v>0</v>
      </c>
      <c r="J142" s="19">
        <f>IFERROR(VLOOKUP(Vertailu[[#This Row],[Y-tunnus]],'1.2 Ohjaus-laskentataulu'!A:AT,COLUMN('1.2 Ohjaus-laskentataulu'!U:U),FALSE)/VLOOKUP(Vertailu[[#This Row],[Y-tunnus]],'1.2 Ohjaus-laskentataulu'!A:AT,COLUMN('1.2 Ohjaus-laskentataulu'!AR:AR),FALSE),0)</f>
        <v>2.2871664548919949E-3</v>
      </c>
      <c r="K142" s="46">
        <f>IFERROR(VLOOKUP(Vertailu[[#This Row],[Y-tunnus]],'1.2 Ohjaus-laskentataulu'!A:AT,COLUMN('1.2 Ohjaus-laskentataulu'!X:X),FALSE)/VLOOKUP(Vertailu[[#This Row],[Y-tunnus]],'1.2 Ohjaus-laskentataulu'!A:AT,COLUMN('1.2 Ohjaus-laskentataulu'!AR:AR),FALSE),0)</f>
        <v>4.7033156721248588E-2</v>
      </c>
      <c r="L142" s="21">
        <f>IFERROR(VLOOKUP(Vertailu[[#This Row],[Y-tunnus]],'3.2 Suoritepäätös 2019'!$A:$S,COLUMN('3.2 Suoritepäätös 2019'!Q:Q),FALSE)-VLOOKUP(Vertailu[[#This Row],[Y-tunnus]],'3.2 Suoritepäätös 2019'!$A:$S,COLUMN('3.2 Suoritepäätös 2019'!L:L),FALSE),0)</f>
        <v>211686</v>
      </c>
      <c r="M142" s="21">
        <f>IFERROR(VLOOKUP(Vertailu[[#This Row],[Y-tunnus]],'1.2 Ohjaus-laskentataulu'!A:AT,COLUMN('1.2 Ohjaus-laskentataulu'!Z:Z),FALSE),0)</f>
        <v>208555</v>
      </c>
      <c r="N142" s="21">
        <f>IFERROR(Vertailu[[#This Row],[Rahoitus pl. hark. kor. 2020 ilman alv, €]]-Vertailu[[#This Row],[Rahoitus pl. hark. kor. 2019 ilman alv, €]],0)</f>
        <v>-3131</v>
      </c>
      <c r="O142" s="46">
        <f>IFERROR(Vertailu[[#This Row],[Muutos, € 1]]/Vertailu[[#This Row],[Rahoitus pl. hark. kor. 2019 ilman alv, €]],0)</f>
        <v>-1.4790775015825326E-2</v>
      </c>
      <c r="P142" s="217">
        <f>IFERROR(VLOOKUP(Vertailu[[#This Row],[Y-tunnus]],'3.2 Suoritepäätös 2019'!$A:$S,COLUMN('3.2 Suoritepäätös 2019'!Q:Q),FALSE),0)</f>
        <v>211686</v>
      </c>
      <c r="Q142" s="243">
        <f>IFERROR(VLOOKUP(Vertailu[[#This Row],[Y-tunnus]],'1.2 Ohjaus-laskentataulu'!A:AT,COLUMN('1.2 Ohjaus-laskentataulu'!AR:AR),FALSE),0)</f>
        <v>208555</v>
      </c>
      <c r="R142" s="21">
        <f>IFERROR(Vertailu[[#This Row],[Rahoitus ml. hark. kor. 
2020 ilman alv, €]]-Vertailu[[#This Row],[Rahoitus ml. hark. kor. 
2019 ilman alv, €]],0)</f>
        <v>-3131</v>
      </c>
      <c r="S142" s="19">
        <f>IFERROR(Vertailu[[#This Row],[Muutos, € 2]]/Vertailu[[#This Row],[Rahoitus ml. hark. kor. 
2019 ilman alv, €]],0)</f>
        <v>-1.4790775015825326E-2</v>
      </c>
      <c r="T142" s="243">
        <f>IFERROR(VLOOKUP(Vertailu[[#This Row],[Y-tunnus]],'3.2 Suoritepäätös 2019'!$A:$S,COLUMN('3.2 Suoritepäätös 2019'!Q:Q),FALSE)+VLOOKUP(Vertailu[[#This Row],[Y-tunnus]],'3.2 Suoritepäätös 2019'!$A:$S,COLUMN('3.2 Suoritepäätös 2019'!R:R),FALSE),0)</f>
        <v>222481</v>
      </c>
      <c r="U142" s="217">
        <f>IFERROR(VLOOKUP(Vertailu[[#This Row],[Y-tunnus]],'1.2 Ohjaus-laskentataulu'!A:AT,COLUMN('1.2 Ohjaus-laskentataulu'!AT:AT),FALSE),0)</f>
        <v>221238</v>
      </c>
      <c r="V142" s="249">
        <f>IFERROR(Vertailu[[#This Row],[Rahoitus ml. hark. kor. + alv 2020, €]]-Vertailu[[#This Row],[Rahoitus ml. hark. kor. + alv 2019, €]],0)</f>
        <v>-1243</v>
      </c>
      <c r="W142" s="46">
        <f>IFERROR(Vertailu[[#This Row],[Muutos, € 3]]/Vertailu[[#This Row],[Rahoitus ml. hark. kor. + alv 2019, €]],0)</f>
        <v>-5.5869939455504064E-3</v>
      </c>
    </row>
    <row r="143" spans="1:23" ht="12.75" customHeight="1" x14ac:dyDescent="0.25">
      <c r="A143" s="12" t="s">
        <v>262</v>
      </c>
      <c r="B143" s="297" t="s">
        <v>142</v>
      </c>
      <c r="C143" s="297" t="s">
        <v>238</v>
      </c>
      <c r="D143" s="297" t="s">
        <v>423</v>
      </c>
      <c r="E143" s="22">
        <f>IFERROR(VLOOKUP(Vertailu[[#This Row],[Y-tunnus]],'1.2 Ohjaus-laskentataulu'!A:AT,COLUMN('1.2 Ohjaus-laskentataulu'!L:L),FALSE)/VLOOKUP(Vertailu[[#This Row],[Y-tunnus]],'1.2 Ohjaus-laskentataulu'!A:AT,COLUMN('1.2 Ohjaus-laskentataulu'!AR:AR),FALSE),0)</f>
        <v>0.65624370205869376</v>
      </c>
      <c r="F143" s="46">
        <f>IFERROR(VLOOKUP(Vertailu[[#This Row],[Y-tunnus]],'1.2 Ohjaus-laskentataulu'!A:AT,COLUMN('1.2 Ohjaus-laskentataulu'!AO:AO),FALSE)/VLOOKUP(Vertailu[[#This Row],[Y-tunnus]],'1.2 Ohjaus-laskentataulu'!A:AT,COLUMN('1.2 Ohjaus-laskentataulu'!AR:AR),FALSE),0)</f>
        <v>0.66848407387222797</v>
      </c>
      <c r="G143" s="299">
        <f>IFERROR(VLOOKUP(Vertailu[[#This Row],[Y-tunnus]],'1.2 Ohjaus-laskentataulu'!A:AT,COLUMN('1.2 Ohjaus-laskentataulu'!AP:AP),FALSE)/VLOOKUP(Vertailu[[#This Row],[Y-tunnus]],'1.2 Ohjaus-laskentataulu'!A:AT,COLUMN('1.2 Ohjaus-laskentataulu'!AR:AR),FALSE),0)</f>
        <v>0.24393743384349043</v>
      </c>
      <c r="H143" s="22">
        <f>IFERROR(VLOOKUP(Vertailu[[#This Row],[Y-tunnus]],'1.2 Ohjaus-laskentataulu'!A:AT,COLUMN('1.2 Ohjaus-laskentataulu'!AQ:AQ),FALSE)/VLOOKUP(Vertailu[[#This Row],[Y-tunnus]],'1.2 Ohjaus-laskentataulu'!A:AT,COLUMN('1.2 Ohjaus-laskentataulu'!AR:AR),FALSE),0)</f>
        <v>8.7578492284281634E-2</v>
      </c>
      <c r="I143" s="19">
        <f>IFERROR(VLOOKUP(Vertailu[[#This Row],[Y-tunnus]],'1.2 Ohjaus-laskentataulu'!A:AT,COLUMN('1.2 Ohjaus-laskentataulu'!R:R),FALSE)/VLOOKUP(Vertailu[[#This Row],[Y-tunnus]],'1.2 Ohjaus-laskentataulu'!A:AT,COLUMN('1.2 Ohjaus-laskentataulu'!AR:AR),FALSE),0)</f>
        <v>6.6865191097044765E-2</v>
      </c>
      <c r="J143" s="19">
        <f>IFERROR(VLOOKUP(Vertailu[[#This Row],[Y-tunnus]],'1.2 Ohjaus-laskentataulu'!A:AT,COLUMN('1.2 Ohjaus-laskentataulu'!U:U),FALSE)/VLOOKUP(Vertailu[[#This Row],[Y-tunnus]],'1.2 Ohjaus-laskentataulu'!A:AT,COLUMN('1.2 Ohjaus-laskentataulu'!AR:AR),FALSE),0)</f>
        <v>8.2710352409664789E-3</v>
      </c>
      <c r="K143" s="46">
        <f>IFERROR(VLOOKUP(Vertailu[[#This Row],[Y-tunnus]],'1.2 Ohjaus-laskentataulu'!A:AT,COLUMN('1.2 Ohjaus-laskentataulu'!X:X),FALSE)/VLOOKUP(Vertailu[[#This Row],[Y-tunnus]],'1.2 Ohjaus-laskentataulu'!A:AT,COLUMN('1.2 Ohjaus-laskentataulu'!AR:AR),FALSE),0)</f>
        <v>1.2442265946270384E-2</v>
      </c>
      <c r="L143" s="21">
        <f>IFERROR(VLOOKUP(Vertailu[[#This Row],[Y-tunnus]],'3.2 Suoritepäätös 2019'!$A:$S,COLUMN('3.2 Suoritepäätös 2019'!Q:Q),FALSE)-VLOOKUP(Vertailu[[#This Row],[Y-tunnus]],'3.2 Suoritepäätös 2019'!$A:$S,COLUMN('3.2 Suoritepäätös 2019'!L:L),FALSE),0)</f>
        <v>11082006</v>
      </c>
      <c r="M143" s="21">
        <f>IFERROR(VLOOKUP(Vertailu[[#This Row],[Y-tunnus]],'1.2 Ohjaus-laskentataulu'!A:AT,COLUMN('1.2 Ohjaus-laskentataulu'!Z:Z),FALSE),0)</f>
        <v>13718467</v>
      </c>
      <c r="N143" s="21">
        <f>IFERROR(Vertailu[[#This Row],[Rahoitus pl. hark. kor. 2020 ilman alv, €]]-Vertailu[[#This Row],[Rahoitus pl. hark. kor. 2019 ilman alv, €]],0)</f>
        <v>2636461</v>
      </c>
      <c r="O143" s="46">
        <f>IFERROR(Vertailu[[#This Row],[Muutos, € 1]]/Vertailu[[#This Row],[Rahoitus pl. hark. kor. 2019 ilman alv, €]],0)</f>
        <v>0.23790467177151861</v>
      </c>
      <c r="P143" s="217">
        <f>IFERROR(VLOOKUP(Vertailu[[#This Row],[Y-tunnus]],'3.2 Suoritepäätös 2019'!$A:$S,COLUMN('3.2 Suoritepäätös 2019'!Q:Q),FALSE),0)</f>
        <v>11182006</v>
      </c>
      <c r="Q143" s="243">
        <f>IFERROR(VLOOKUP(Vertailu[[#This Row],[Y-tunnus]],'1.2 Ohjaus-laskentataulu'!A:AT,COLUMN('1.2 Ohjaus-laskentataulu'!AR:AR),FALSE),0)</f>
        <v>13888467</v>
      </c>
      <c r="R143" s="21">
        <f>IFERROR(Vertailu[[#This Row],[Rahoitus ml. hark. kor. 
2020 ilman alv, €]]-Vertailu[[#This Row],[Rahoitus ml. hark. kor. 
2019 ilman alv, €]],0)</f>
        <v>2706461</v>
      </c>
      <c r="S143" s="19">
        <f>IFERROR(Vertailu[[#This Row],[Muutos, € 2]]/Vertailu[[#This Row],[Rahoitus ml. hark. kor. 
2019 ilman alv, €]],0)</f>
        <v>0.2420371622050641</v>
      </c>
      <c r="T143" s="243">
        <f>IFERROR(VLOOKUP(Vertailu[[#This Row],[Y-tunnus]],'3.2 Suoritepäätös 2019'!$A:$S,COLUMN('3.2 Suoritepäätös 2019'!Q:Q),FALSE)+VLOOKUP(Vertailu[[#This Row],[Y-tunnus]],'3.2 Suoritepäätös 2019'!$A:$S,COLUMN('3.2 Suoritepäätös 2019'!R:R),FALSE),0)</f>
        <v>11778609</v>
      </c>
      <c r="U143" s="217">
        <f>IFERROR(VLOOKUP(Vertailu[[#This Row],[Y-tunnus]],'1.2 Ohjaus-laskentataulu'!A:AT,COLUMN('1.2 Ohjaus-laskentataulu'!AT:AT),FALSE),0)</f>
        <v>14858318</v>
      </c>
      <c r="V143" s="249">
        <f>IFERROR(Vertailu[[#This Row],[Rahoitus ml. hark. kor. + alv 2020, €]]-Vertailu[[#This Row],[Rahoitus ml. hark. kor. + alv 2019, €]],0)</f>
        <v>3079709</v>
      </c>
      <c r="W143" s="46">
        <f>IFERROR(Vertailu[[#This Row],[Muutos, € 3]]/Vertailu[[#This Row],[Rahoitus ml. hark. kor. + alv 2019, €]],0)</f>
        <v>0.26146627330952238</v>
      </c>
    </row>
    <row r="144" spans="1:23" ht="12.75" customHeight="1" x14ac:dyDescent="0.25">
      <c r="A144" s="12" t="s">
        <v>261</v>
      </c>
      <c r="B144" s="297" t="s">
        <v>193</v>
      </c>
      <c r="C144" s="297" t="s">
        <v>238</v>
      </c>
      <c r="D144" s="297" t="s">
        <v>423</v>
      </c>
      <c r="E144" s="22">
        <f>IFERROR(VLOOKUP(Vertailu[[#This Row],[Y-tunnus]],'1.2 Ohjaus-laskentataulu'!A:AT,COLUMN('1.2 Ohjaus-laskentataulu'!L:L),FALSE)/VLOOKUP(Vertailu[[#This Row],[Y-tunnus]],'1.2 Ohjaus-laskentataulu'!A:AT,COLUMN('1.2 Ohjaus-laskentataulu'!AR:AR),FALSE),0)</f>
        <v>1</v>
      </c>
      <c r="F144" s="46">
        <f>IFERROR(VLOOKUP(Vertailu[[#This Row],[Y-tunnus]],'1.2 Ohjaus-laskentataulu'!A:AT,COLUMN('1.2 Ohjaus-laskentataulu'!AO:AO),FALSE)/VLOOKUP(Vertailu[[#This Row],[Y-tunnus]],'1.2 Ohjaus-laskentataulu'!A:AT,COLUMN('1.2 Ohjaus-laskentataulu'!AR:AR),FALSE),0)</f>
        <v>1</v>
      </c>
      <c r="G144" s="299">
        <f>IFERROR(VLOOKUP(Vertailu[[#This Row],[Y-tunnus]],'1.2 Ohjaus-laskentataulu'!A:AT,COLUMN('1.2 Ohjaus-laskentataulu'!AP:AP),FALSE)/VLOOKUP(Vertailu[[#This Row],[Y-tunnus]],'1.2 Ohjaus-laskentataulu'!A:AT,COLUMN('1.2 Ohjaus-laskentataulu'!AR:AR),FALSE),0)</f>
        <v>0</v>
      </c>
      <c r="H144" s="22">
        <f>IFERROR(VLOOKUP(Vertailu[[#This Row],[Y-tunnus]],'1.2 Ohjaus-laskentataulu'!A:AT,COLUMN('1.2 Ohjaus-laskentataulu'!AQ:AQ),FALSE)/VLOOKUP(Vertailu[[#This Row],[Y-tunnus]],'1.2 Ohjaus-laskentataulu'!A:AT,COLUMN('1.2 Ohjaus-laskentataulu'!AR:AR),FALSE),0)</f>
        <v>0</v>
      </c>
      <c r="I144" s="19">
        <f>IFERROR(VLOOKUP(Vertailu[[#This Row],[Y-tunnus]],'1.2 Ohjaus-laskentataulu'!A:AT,COLUMN('1.2 Ohjaus-laskentataulu'!R:R),FALSE)/VLOOKUP(Vertailu[[#This Row],[Y-tunnus]],'1.2 Ohjaus-laskentataulu'!A:AT,COLUMN('1.2 Ohjaus-laskentataulu'!AR:AR),FALSE),0)</f>
        <v>0</v>
      </c>
      <c r="J144" s="19">
        <f>IFERROR(VLOOKUP(Vertailu[[#This Row],[Y-tunnus]],'1.2 Ohjaus-laskentataulu'!A:AT,COLUMN('1.2 Ohjaus-laskentataulu'!U:U),FALSE)/VLOOKUP(Vertailu[[#This Row],[Y-tunnus]],'1.2 Ohjaus-laskentataulu'!A:AT,COLUMN('1.2 Ohjaus-laskentataulu'!AR:AR),FALSE),0)</f>
        <v>0</v>
      </c>
      <c r="K144" s="46">
        <f>IFERROR(VLOOKUP(Vertailu[[#This Row],[Y-tunnus]],'1.2 Ohjaus-laskentataulu'!A:AT,COLUMN('1.2 Ohjaus-laskentataulu'!X:X),FALSE)/VLOOKUP(Vertailu[[#This Row],[Y-tunnus]],'1.2 Ohjaus-laskentataulu'!A:AT,COLUMN('1.2 Ohjaus-laskentataulu'!AR:AR),FALSE),0)</f>
        <v>0</v>
      </c>
      <c r="L144" s="21">
        <f>IFERROR(VLOOKUP(Vertailu[[#This Row],[Y-tunnus]],'3.2 Suoritepäätös 2019'!$A:$S,COLUMN('3.2 Suoritepäätös 2019'!Q:Q),FALSE)-VLOOKUP(Vertailu[[#This Row],[Y-tunnus]],'3.2 Suoritepäätös 2019'!$A:$S,COLUMN('3.2 Suoritepäätös 2019'!L:L),FALSE),0)</f>
        <v>232183</v>
      </c>
      <c r="M144" s="21">
        <f>IFERROR(VLOOKUP(Vertailu[[#This Row],[Y-tunnus]],'1.2 Ohjaus-laskentataulu'!A:AT,COLUMN('1.2 Ohjaus-laskentataulu'!Z:Z),FALSE),0)</f>
        <v>25378</v>
      </c>
      <c r="N144" s="21">
        <f>IFERROR(Vertailu[[#This Row],[Rahoitus pl. hark. kor. 2020 ilman alv, €]]-Vertailu[[#This Row],[Rahoitus pl. hark. kor. 2019 ilman alv, €]],0)</f>
        <v>-206805</v>
      </c>
      <c r="O144" s="46">
        <f>IFERROR(Vertailu[[#This Row],[Muutos, € 1]]/Vertailu[[#This Row],[Rahoitus pl. hark. kor. 2019 ilman alv, €]],0)</f>
        <v>-0.8906982854041855</v>
      </c>
      <c r="P144" s="217">
        <f>IFERROR(VLOOKUP(Vertailu[[#This Row],[Y-tunnus]],'3.2 Suoritepäätös 2019'!$A:$S,COLUMN('3.2 Suoritepäätös 2019'!Q:Q),FALSE),0)</f>
        <v>232183</v>
      </c>
      <c r="Q144" s="243">
        <f>IFERROR(VLOOKUP(Vertailu[[#This Row],[Y-tunnus]],'1.2 Ohjaus-laskentataulu'!A:AT,COLUMN('1.2 Ohjaus-laskentataulu'!AR:AR),FALSE),0)</f>
        <v>25378</v>
      </c>
      <c r="R144" s="21">
        <f>IFERROR(Vertailu[[#This Row],[Rahoitus ml. hark. kor. 
2020 ilman alv, €]]-Vertailu[[#This Row],[Rahoitus ml. hark. kor. 
2019 ilman alv, €]],0)</f>
        <v>-206805</v>
      </c>
      <c r="S144" s="19">
        <f>IFERROR(Vertailu[[#This Row],[Muutos, € 2]]/Vertailu[[#This Row],[Rahoitus ml. hark. kor. 
2019 ilman alv, €]],0)</f>
        <v>-0.8906982854041855</v>
      </c>
      <c r="T144" s="243">
        <f>IFERROR(VLOOKUP(Vertailu[[#This Row],[Y-tunnus]],'3.2 Suoritepäätös 2019'!$A:$S,COLUMN('3.2 Suoritepäätös 2019'!Q:Q),FALSE)+VLOOKUP(Vertailu[[#This Row],[Y-tunnus]],'3.2 Suoritepäätös 2019'!$A:$S,COLUMN('3.2 Suoritepäätös 2019'!R:R),FALSE),0)</f>
        <v>245174</v>
      </c>
      <c r="U144" s="217">
        <f>IFERROR(VLOOKUP(Vertailu[[#This Row],[Y-tunnus]],'1.2 Ohjaus-laskentataulu'!A:AT,COLUMN('1.2 Ohjaus-laskentataulu'!AT:AT),FALSE),0)</f>
        <v>25378</v>
      </c>
      <c r="V144" s="249">
        <f>IFERROR(Vertailu[[#This Row],[Rahoitus ml. hark. kor. + alv 2020, €]]-Vertailu[[#This Row],[Rahoitus ml. hark. kor. + alv 2019, €]],0)</f>
        <v>-219796</v>
      </c>
      <c r="W144" s="46">
        <f>IFERROR(Vertailu[[#This Row],[Muutos, € 3]]/Vertailu[[#This Row],[Rahoitus ml. hark. kor. + alv 2019, €]],0)</f>
        <v>-0.8964898398688278</v>
      </c>
    </row>
    <row r="145" spans="1:23" ht="12.75" customHeight="1" x14ac:dyDescent="0.25">
      <c r="A145" s="12" t="s">
        <v>260</v>
      </c>
      <c r="B145" s="297" t="s">
        <v>185</v>
      </c>
      <c r="C145" s="297" t="s">
        <v>238</v>
      </c>
      <c r="D145" s="297" t="s">
        <v>423</v>
      </c>
      <c r="E145" s="22">
        <f>IFERROR(VLOOKUP(Vertailu[[#This Row],[Y-tunnus]],'1.2 Ohjaus-laskentataulu'!A:AT,COLUMN('1.2 Ohjaus-laskentataulu'!L:L),FALSE)/VLOOKUP(Vertailu[[#This Row],[Y-tunnus]],'1.2 Ohjaus-laskentataulu'!A:AT,COLUMN('1.2 Ohjaus-laskentataulu'!AR:AR),FALSE),0)</f>
        <v>1</v>
      </c>
      <c r="F145" s="46">
        <f>IFERROR(VLOOKUP(Vertailu[[#This Row],[Y-tunnus]],'1.2 Ohjaus-laskentataulu'!A:AT,COLUMN('1.2 Ohjaus-laskentataulu'!AO:AO),FALSE)/VLOOKUP(Vertailu[[#This Row],[Y-tunnus]],'1.2 Ohjaus-laskentataulu'!A:AT,COLUMN('1.2 Ohjaus-laskentataulu'!AR:AR),FALSE),0)</f>
        <v>1</v>
      </c>
      <c r="G145" s="299">
        <f>IFERROR(VLOOKUP(Vertailu[[#This Row],[Y-tunnus]],'1.2 Ohjaus-laskentataulu'!A:AT,COLUMN('1.2 Ohjaus-laskentataulu'!AP:AP),FALSE)/VLOOKUP(Vertailu[[#This Row],[Y-tunnus]],'1.2 Ohjaus-laskentataulu'!A:AT,COLUMN('1.2 Ohjaus-laskentataulu'!AR:AR),FALSE),0)</f>
        <v>0</v>
      </c>
      <c r="H145" s="22">
        <f>IFERROR(VLOOKUP(Vertailu[[#This Row],[Y-tunnus]],'1.2 Ohjaus-laskentataulu'!A:AT,COLUMN('1.2 Ohjaus-laskentataulu'!AQ:AQ),FALSE)/VLOOKUP(Vertailu[[#This Row],[Y-tunnus]],'1.2 Ohjaus-laskentataulu'!A:AT,COLUMN('1.2 Ohjaus-laskentataulu'!AR:AR),FALSE),0)</f>
        <v>0</v>
      </c>
      <c r="I145" s="19">
        <f>IFERROR(VLOOKUP(Vertailu[[#This Row],[Y-tunnus]],'1.2 Ohjaus-laskentataulu'!A:AT,COLUMN('1.2 Ohjaus-laskentataulu'!R:R),FALSE)/VLOOKUP(Vertailu[[#This Row],[Y-tunnus]],'1.2 Ohjaus-laskentataulu'!A:AT,COLUMN('1.2 Ohjaus-laskentataulu'!AR:AR),FALSE),0)</f>
        <v>0</v>
      </c>
      <c r="J145" s="19">
        <f>IFERROR(VLOOKUP(Vertailu[[#This Row],[Y-tunnus]],'1.2 Ohjaus-laskentataulu'!A:AT,COLUMN('1.2 Ohjaus-laskentataulu'!U:U),FALSE)/VLOOKUP(Vertailu[[#This Row],[Y-tunnus]],'1.2 Ohjaus-laskentataulu'!A:AT,COLUMN('1.2 Ohjaus-laskentataulu'!AR:AR),FALSE),0)</f>
        <v>0</v>
      </c>
      <c r="K145" s="46">
        <f>IFERROR(VLOOKUP(Vertailu[[#This Row],[Y-tunnus]],'1.2 Ohjaus-laskentataulu'!A:AT,COLUMN('1.2 Ohjaus-laskentataulu'!X:X),FALSE)/VLOOKUP(Vertailu[[#This Row],[Y-tunnus]],'1.2 Ohjaus-laskentataulu'!A:AT,COLUMN('1.2 Ohjaus-laskentataulu'!AR:AR),FALSE),0)</f>
        <v>0</v>
      </c>
      <c r="L145" s="21">
        <f>IFERROR(VLOOKUP(Vertailu[[#This Row],[Y-tunnus]],'3.2 Suoritepäätös 2019'!$A:$S,COLUMN('3.2 Suoritepäätös 2019'!Q:Q),FALSE)-VLOOKUP(Vertailu[[#This Row],[Y-tunnus]],'3.2 Suoritepäätös 2019'!$A:$S,COLUMN('3.2 Suoritepäätös 2019'!L:L),FALSE),0)</f>
        <v>113639</v>
      </c>
      <c r="M145" s="21">
        <f>IFERROR(VLOOKUP(Vertailu[[#This Row],[Y-tunnus]],'1.2 Ohjaus-laskentataulu'!A:AT,COLUMN('1.2 Ohjaus-laskentataulu'!Z:Z),FALSE),0)</f>
        <v>7672</v>
      </c>
      <c r="N145" s="21">
        <f>IFERROR(Vertailu[[#This Row],[Rahoitus pl. hark. kor. 2020 ilman alv, €]]-Vertailu[[#This Row],[Rahoitus pl. hark. kor. 2019 ilman alv, €]],0)</f>
        <v>-105967</v>
      </c>
      <c r="O145" s="46">
        <f>IFERROR(Vertailu[[#This Row],[Muutos, € 1]]/Vertailu[[#This Row],[Rahoitus pl. hark. kor. 2019 ilman alv, €]],0)</f>
        <v>-0.93248796627918229</v>
      </c>
      <c r="P145" s="217">
        <f>IFERROR(VLOOKUP(Vertailu[[#This Row],[Y-tunnus]],'3.2 Suoritepäätös 2019'!$A:$S,COLUMN('3.2 Suoritepäätös 2019'!Q:Q),FALSE),0)</f>
        <v>391139</v>
      </c>
      <c r="Q145" s="243">
        <f>IFERROR(VLOOKUP(Vertailu[[#This Row],[Y-tunnus]],'1.2 Ohjaus-laskentataulu'!A:AT,COLUMN('1.2 Ohjaus-laskentataulu'!AR:AR),FALSE),0)</f>
        <v>7672</v>
      </c>
      <c r="R145" s="21">
        <f>IFERROR(Vertailu[[#This Row],[Rahoitus ml. hark. kor. 
2020 ilman alv, €]]-Vertailu[[#This Row],[Rahoitus ml. hark. kor. 
2019 ilman alv, €]],0)</f>
        <v>-383467</v>
      </c>
      <c r="S145" s="19">
        <f>IFERROR(Vertailu[[#This Row],[Muutos, € 2]]/Vertailu[[#This Row],[Rahoitus ml. hark. kor. 
2019 ilman alv, €]],0)</f>
        <v>-0.98038548955742078</v>
      </c>
      <c r="T145" s="243">
        <f>IFERROR(VLOOKUP(Vertailu[[#This Row],[Y-tunnus]],'3.2 Suoritepäätös 2019'!$A:$S,COLUMN('3.2 Suoritepäätös 2019'!Q:Q),FALSE)+VLOOKUP(Vertailu[[#This Row],[Y-tunnus]],'3.2 Suoritepäätös 2019'!$A:$S,COLUMN('3.2 Suoritepäätös 2019'!R:R),FALSE),0)</f>
        <v>413024</v>
      </c>
      <c r="U145" s="217">
        <f>IFERROR(VLOOKUP(Vertailu[[#This Row],[Y-tunnus]],'1.2 Ohjaus-laskentataulu'!A:AT,COLUMN('1.2 Ohjaus-laskentataulu'!AT:AT),FALSE),0)</f>
        <v>121574</v>
      </c>
      <c r="V145" s="249">
        <f>IFERROR(Vertailu[[#This Row],[Rahoitus ml. hark. kor. + alv 2020, €]]-Vertailu[[#This Row],[Rahoitus ml. hark. kor. + alv 2019, €]],0)</f>
        <v>-291450</v>
      </c>
      <c r="W145" s="46">
        <f>IFERROR(Vertailu[[#This Row],[Muutos, € 3]]/Vertailu[[#This Row],[Rahoitus ml. hark. kor. + alv 2019, €]],0)</f>
        <v>-0.70564906639807856</v>
      </c>
    </row>
    <row r="146" spans="1:23" ht="12.75" customHeight="1" x14ac:dyDescent="0.25">
      <c r="A146" s="12" t="s">
        <v>259</v>
      </c>
      <c r="B146" s="297" t="s">
        <v>143</v>
      </c>
      <c r="C146" s="297" t="s">
        <v>244</v>
      </c>
      <c r="D146" s="297" t="s">
        <v>424</v>
      </c>
      <c r="E146" s="22">
        <f>IFERROR(VLOOKUP(Vertailu[[#This Row],[Y-tunnus]],'1.2 Ohjaus-laskentataulu'!A:AT,COLUMN('1.2 Ohjaus-laskentataulu'!L:L),FALSE)/VLOOKUP(Vertailu[[#This Row],[Y-tunnus]],'1.2 Ohjaus-laskentataulu'!A:AT,COLUMN('1.2 Ohjaus-laskentataulu'!AR:AR),FALSE),0)</f>
        <v>0.68560603189198466</v>
      </c>
      <c r="F146" s="46">
        <f>IFERROR(VLOOKUP(Vertailu[[#This Row],[Y-tunnus]],'1.2 Ohjaus-laskentataulu'!A:AT,COLUMN('1.2 Ohjaus-laskentataulu'!AO:AO),FALSE)/VLOOKUP(Vertailu[[#This Row],[Y-tunnus]],'1.2 Ohjaus-laskentataulu'!A:AT,COLUMN('1.2 Ohjaus-laskentataulu'!AR:AR),FALSE),0)</f>
        <v>0.68560603189198466</v>
      </c>
      <c r="G146" s="299">
        <f>IFERROR(VLOOKUP(Vertailu[[#This Row],[Y-tunnus]],'1.2 Ohjaus-laskentataulu'!A:AT,COLUMN('1.2 Ohjaus-laskentataulu'!AP:AP),FALSE)/VLOOKUP(Vertailu[[#This Row],[Y-tunnus]],'1.2 Ohjaus-laskentataulu'!A:AT,COLUMN('1.2 Ohjaus-laskentataulu'!AR:AR),FALSE),0)</f>
        <v>0.19142239340298275</v>
      </c>
      <c r="H146" s="22">
        <f>IFERROR(VLOOKUP(Vertailu[[#This Row],[Y-tunnus]],'1.2 Ohjaus-laskentataulu'!A:AT,COLUMN('1.2 Ohjaus-laskentataulu'!AQ:AQ),FALSE)/VLOOKUP(Vertailu[[#This Row],[Y-tunnus]],'1.2 Ohjaus-laskentataulu'!A:AT,COLUMN('1.2 Ohjaus-laskentataulu'!AR:AR),FALSE),0)</f>
        <v>0.12297157470503259</v>
      </c>
      <c r="I146" s="19">
        <f>IFERROR(VLOOKUP(Vertailu[[#This Row],[Y-tunnus]],'1.2 Ohjaus-laskentataulu'!A:AT,COLUMN('1.2 Ohjaus-laskentataulu'!R:R),FALSE)/VLOOKUP(Vertailu[[#This Row],[Y-tunnus]],'1.2 Ohjaus-laskentataulu'!A:AT,COLUMN('1.2 Ohjaus-laskentataulu'!AR:AR),FALSE),0)</f>
        <v>0.10281697739467947</v>
      </c>
      <c r="J146" s="19">
        <f>IFERROR(VLOOKUP(Vertailu[[#This Row],[Y-tunnus]],'1.2 Ohjaus-laskentataulu'!A:AT,COLUMN('1.2 Ohjaus-laskentataulu'!U:U),FALSE)/VLOOKUP(Vertailu[[#This Row],[Y-tunnus]],'1.2 Ohjaus-laskentataulu'!A:AT,COLUMN('1.2 Ohjaus-laskentataulu'!AR:AR),FALSE),0)</f>
        <v>3.5352689715602531E-3</v>
      </c>
      <c r="K146" s="46">
        <f>IFERROR(VLOOKUP(Vertailu[[#This Row],[Y-tunnus]],'1.2 Ohjaus-laskentataulu'!A:AT,COLUMN('1.2 Ohjaus-laskentataulu'!X:X),FALSE)/VLOOKUP(Vertailu[[#This Row],[Y-tunnus]],'1.2 Ohjaus-laskentataulu'!A:AT,COLUMN('1.2 Ohjaus-laskentataulu'!AR:AR),FALSE),0)</f>
        <v>1.6619328338792858E-2</v>
      </c>
      <c r="L146" s="21">
        <f>IFERROR(VLOOKUP(Vertailu[[#This Row],[Y-tunnus]],'3.2 Suoritepäätös 2019'!$A:$S,COLUMN('3.2 Suoritepäätös 2019'!Q:Q),FALSE)-VLOOKUP(Vertailu[[#This Row],[Y-tunnus]],'3.2 Suoritepäätös 2019'!$A:$S,COLUMN('3.2 Suoritepäätös 2019'!L:L),FALSE),0)</f>
        <v>22789301</v>
      </c>
      <c r="M146" s="21">
        <f>IFERROR(VLOOKUP(Vertailu[[#This Row],[Y-tunnus]],'1.2 Ohjaus-laskentataulu'!A:AT,COLUMN('1.2 Ohjaus-laskentataulu'!Z:Z),FALSE),0)</f>
        <v>22557831</v>
      </c>
      <c r="N146" s="21">
        <f>IFERROR(Vertailu[[#This Row],[Rahoitus pl. hark. kor. 2020 ilman alv, €]]-Vertailu[[#This Row],[Rahoitus pl. hark. kor. 2019 ilman alv, €]],0)</f>
        <v>-231470</v>
      </c>
      <c r="O146" s="46">
        <f>IFERROR(Vertailu[[#This Row],[Muutos, € 1]]/Vertailu[[#This Row],[Rahoitus pl. hark. kor. 2019 ilman alv, €]],0)</f>
        <v>-1.0156959180099468E-2</v>
      </c>
      <c r="P146" s="217">
        <f>IFERROR(VLOOKUP(Vertailu[[#This Row],[Y-tunnus]],'3.2 Suoritepäätös 2019'!$A:$S,COLUMN('3.2 Suoritepäätös 2019'!Q:Q),FALSE),0)</f>
        <v>22789301</v>
      </c>
      <c r="Q146" s="243">
        <f>IFERROR(VLOOKUP(Vertailu[[#This Row],[Y-tunnus]],'1.2 Ohjaus-laskentataulu'!A:AT,COLUMN('1.2 Ohjaus-laskentataulu'!AR:AR),FALSE),0)</f>
        <v>22557831</v>
      </c>
      <c r="R146" s="21">
        <f>IFERROR(Vertailu[[#This Row],[Rahoitus ml. hark. kor. 
2020 ilman alv, €]]-Vertailu[[#This Row],[Rahoitus ml. hark. kor. 
2019 ilman alv, €]],0)</f>
        <v>-231470</v>
      </c>
      <c r="S146" s="19">
        <f>IFERROR(Vertailu[[#This Row],[Muutos, € 2]]/Vertailu[[#This Row],[Rahoitus ml. hark. kor. 
2019 ilman alv, €]],0)</f>
        <v>-1.0156959180099468E-2</v>
      </c>
      <c r="T146" s="243">
        <f>IFERROR(VLOOKUP(Vertailu[[#This Row],[Y-tunnus]],'3.2 Suoritepäätös 2019'!$A:$S,COLUMN('3.2 Suoritepäätös 2019'!Q:Q),FALSE)+VLOOKUP(Vertailu[[#This Row],[Y-tunnus]],'3.2 Suoritepäätös 2019'!$A:$S,COLUMN('3.2 Suoritepäätös 2019'!R:R),FALSE),0)</f>
        <v>22789301</v>
      </c>
      <c r="U146" s="217">
        <f>IFERROR(VLOOKUP(Vertailu[[#This Row],[Y-tunnus]],'1.2 Ohjaus-laskentataulu'!A:AT,COLUMN('1.2 Ohjaus-laskentataulu'!AT:AT),FALSE),0)</f>
        <v>22557831</v>
      </c>
      <c r="V146" s="249">
        <f>IFERROR(Vertailu[[#This Row],[Rahoitus ml. hark. kor. + alv 2020, €]]-Vertailu[[#This Row],[Rahoitus ml. hark. kor. + alv 2019, €]],0)</f>
        <v>-231470</v>
      </c>
      <c r="W146" s="46">
        <f>IFERROR(Vertailu[[#This Row],[Muutos, € 3]]/Vertailu[[#This Row],[Rahoitus ml. hark. kor. + alv 2019, €]],0)</f>
        <v>-1.0156959180099468E-2</v>
      </c>
    </row>
    <row r="147" spans="1:23" ht="12.75" customHeight="1" x14ac:dyDescent="0.25">
      <c r="A147" s="12" t="s">
        <v>258</v>
      </c>
      <c r="B147" s="297" t="s">
        <v>144</v>
      </c>
      <c r="C147" s="297" t="s">
        <v>249</v>
      </c>
      <c r="D147" s="297" t="s">
        <v>422</v>
      </c>
      <c r="E147" s="22">
        <f>IFERROR(VLOOKUP(Vertailu[[#This Row],[Y-tunnus]],'1.2 Ohjaus-laskentataulu'!A:AT,COLUMN('1.2 Ohjaus-laskentataulu'!L:L),FALSE)/VLOOKUP(Vertailu[[#This Row],[Y-tunnus]],'1.2 Ohjaus-laskentataulu'!A:AT,COLUMN('1.2 Ohjaus-laskentataulu'!AR:AR),FALSE),0)</f>
        <v>0.6477808378863299</v>
      </c>
      <c r="F147" s="46">
        <f>IFERROR(VLOOKUP(Vertailu[[#This Row],[Y-tunnus]],'1.2 Ohjaus-laskentataulu'!A:AT,COLUMN('1.2 Ohjaus-laskentataulu'!AO:AO),FALSE)/VLOOKUP(Vertailu[[#This Row],[Y-tunnus]],'1.2 Ohjaus-laskentataulu'!A:AT,COLUMN('1.2 Ohjaus-laskentataulu'!AR:AR),FALSE),0)</f>
        <v>0.6477808378863299</v>
      </c>
      <c r="G147" s="299">
        <f>IFERROR(VLOOKUP(Vertailu[[#This Row],[Y-tunnus]],'1.2 Ohjaus-laskentataulu'!A:AT,COLUMN('1.2 Ohjaus-laskentataulu'!AP:AP),FALSE)/VLOOKUP(Vertailu[[#This Row],[Y-tunnus]],'1.2 Ohjaus-laskentataulu'!A:AT,COLUMN('1.2 Ohjaus-laskentataulu'!AR:AR),FALSE),0)</f>
        <v>0.23196701788502883</v>
      </c>
      <c r="H147" s="22">
        <f>IFERROR(VLOOKUP(Vertailu[[#This Row],[Y-tunnus]],'1.2 Ohjaus-laskentataulu'!A:AT,COLUMN('1.2 Ohjaus-laskentataulu'!AQ:AQ),FALSE)/VLOOKUP(Vertailu[[#This Row],[Y-tunnus]],'1.2 Ohjaus-laskentataulu'!A:AT,COLUMN('1.2 Ohjaus-laskentataulu'!AR:AR),FALSE),0)</f>
        <v>0.12025214422864125</v>
      </c>
      <c r="I147" s="19">
        <f>IFERROR(VLOOKUP(Vertailu[[#This Row],[Y-tunnus]],'1.2 Ohjaus-laskentataulu'!A:AT,COLUMN('1.2 Ohjaus-laskentataulu'!R:R),FALSE)/VLOOKUP(Vertailu[[#This Row],[Y-tunnus]],'1.2 Ohjaus-laskentataulu'!A:AT,COLUMN('1.2 Ohjaus-laskentataulu'!AR:AR),FALSE),0)</f>
        <v>8.5030143668353542E-2</v>
      </c>
      <c r="J147" s="19">
        <f>IFERROR(VLOOKUP(Vertailu[[#This Row],[Y-tunnus]],'1.2 Ohjaus-laskentataulu'!A:AT,COLUMN('1.2 Ohjaus-laskentataulu'!U:U),FALSE)/VLOOKUP(Vertailu[[#This Row],[Y-tunnus]],'1.2 Ohjaus-laskentataulu'!A:AT,COLUMN('1.2 Ohjaus-laskentataulu'!AR:AR),FALSE),0)</f>
        <v>9.1595547346999748E-3</v>
      </c>
      <c r="K147" s="46">
        <f>IFERROR(VLOOKUP(Vertailu[[#This Row],[Y-tunnus]],'1.2 Ohjaus-laskentataulu'!A:AT,COLUMN('1.2 Ohjaus-laskentataulu'!X:X),FALSE)/VLOOKUP(Vertailu[[#This Row],[Y-tunnus]],'1.2 Ohjaus-laskentataulu'!A:AT,COLUMN('1.2 Ohjaus-laskentataulu'!AR:AR),FALSE),0)</f>
        <v>2.606244582558773E-2</v>
      </c>
      <c r="L147" s="21">
        <f>IFERROR(VLOOKUP(Vertailu[[#This Row],[Y-tunnus]],'3.2 Suoritepäätös 2019'!$A:$S,COLUMN('3.2 Suoritepäätös 2019'!Q:Q),FALSE)-VLOOKUP(Vertailu[[#This Row],[Y-tunnus]],'3.2 Suoritepäätös 2019'!$A:$S,COLUMN('3.2 Suoritepäätös 2019'!L:L),FALSE),0)</f>
        <v>8996745</v>
      </c>
      <c r="M147" s="21">
        <f>IFERROR(VLOOKUP(Vertailu[[#This Row],[Y-tunnus]],'1.2 Ohjaus-laskentataulu'!A:AT,COLUMN('1.2 Ohjaus-laskentataulu'!Z:Z),FALSE),0)</f>
        <v>9484413</v>
      </c>
      <c r="N147" s="21">
        <f>IFERROR(Vertailu[[#This Row],[Rahoitus pl. hark. kor. 2020 ilman alv, €]]-Vertailu[[#This Row],[Rahoitus pl. hark. kor. 2019 ilman alv, €]],0)</f>
        <v>487668</v>
      </c>
      <c r="O147" s="46">
        <f>IFERROR(Vertailu[[#This Row],[Muutos, € 1]]/Vertailu[[#This Row],[Rahoitus pl. hark. kor. 2019 ilman alv, €]],0)</f>
        <v>5.4204937452378608E-2</v>
      </c>
      <c r="P147" s="217">
        <f>IFERROR(VLOOKUP(Vertailu[[#This Row],[Y-tunnus]],'3.2 Suoritepäätös 2019'!$A:$S,COLUMN('3.2 Suoritepäätös 2019'!Q:Q),FALSE),0)</f>
        <v>8996745</v>
      </c>
      <c r="Q147" s="243">
        <f>IFERROR(VLOOKUP(Vertailu[[#This Row],[Y-tunnus]],'1.2 Ohjaus-laskentataulu'!A:AT,COLUMN('1.2 Ohjaus-laskentataulu'!AR:AR),FALSE),0)</f>
        <v>9484413</v>
      </c>
      <c r="R147" s="21">
        <f>IFERROR(Vertailu[[#This Row],[Rahoitus ml. hark. kor. 
2020 ilman alv, €]]-Vertailu[[#This Row],[Rahoitus ml. hark. kor. 
2019 ilman alv, €]],0)</f>
        <v>487668</v>
      </c>
      <c r="S147" s="19">
        <f>IFERROR(Vertailu[[#This Row],[Muutos, € 2]]/Vertailu[[#This Row],[Rahoitus ml. hark. kor. 
2019 ilman alv, €]],0)</f>
        <v>5.4204937452378608E-2</v>
      </c>
      <c r="T147" s="243">
        <f>IFERROR(VLOOKUP(Vertailu[[#This Row],[Y-tunnus]],'3.2 Suoritepäätös 2019'!$A:$S,COLUMN('3.2 Suoritepäätös 2019'!Q:Q),FALSE)+VLOOKUP(Vertailu[[#This Row],[Y-tunnus]],'3.2 Suoritepäätös 2019'!$A:$S,COLUMN('3.2 Suoritepäätös 2019'!R:R),FALSE),0)</f>
        <v>8996745</v>
      </c>
      <c r="U147" s="217">
        <f>IFERROR(VLOOKUP(Vertailu[[#This Row],[Y-tunnus]],'1.2 Ohjaus-laskentataulu'!A:AT,COLUMN('1.2 Ohjaus-laskentataulu'!AT:AT),FALSE),0)</f>
        <v>9484413</v>
      </c>
      <c r="V147" s="249">
        <f>IFERROR(Vertailu[[#This Row],[Rahoitus ml. hark. kor. + alv 2020, €]]-Vertailu[[#This Row],[Rahoitus ml. hark. kor. + alv 2019, €]],0)</f>
        <v>487668</v>
      </c>
      <c r="W147" s="46">
        <f>IFERROR(Vertailu[[#This Row],[Muutos, € 3]]/Vertailu[[#This Row],[Rahoitus ml. hark. kor. + alv 2019, €]],0)</f>
        <v>5.4204937452378608E-2</v>
      </c>
    </row>
    <row r="148" spans="1:23" ht="12.75" customHeight="1" x14ac:dyDescent="0.25">
      <c r="A148" s="12" t="s">
        <v>257</v>
      </c>
      <c r="B148" s="297" t="s">
        <v>145</v>
      </c>
      <c r="C148" s="297" t="s">
        <v>256</v>
      </c>
      <c r="D148" s="297" t="s">
        <v>423</v>
      </c>
      <c r="E148" s="22">
        <f>IFERROR(VLOOKUP(Vertailu[[#This Row],[Y-tunnus]],'1.2 Ohjaus-laskentataulu'!A:AT,COLUMN('1.2 Ohjaus-laskentataulu'!L:L),FALSE)/VLOOKUP(Vertailu[[#This Row],[Y-tunnus]],'1.2 Ohjaus-laskentataulu'!A:AT,COLUMN('1.2 Ohjaus-laskentataulu'!AR:AR),FALSE),0)</f>
        <v>0.54652834440688502</v>
      </c>
      <c r="F148" s="46">
        <f>IFERROR(VLOOKUP(Vertailu[[#This Row],[Y-tunnus]],'1.2 Ohjaus-laskentataulu'!A:AT,COLUMN('1.2 Ohjaus-laskentataulu'!AO:AO),FALSE)/VLOOKUP(Vertailu[[#This Row],[Y-tunnus]],'1.2 Ohjaus-laskentataulu'!A:AT,COLUMN('1.2 Ohjaus-laskentataulu'!AR:AR),FALSE),0)</f>
        <v>0.57243138930981341</v>
      </c>
      <c r="G148" s="299">
        <f>IFERROR(VLOOKUP(Vertailu[[#This Row],[Y-tunnus]],'1.2 Ohjaus-laskentataulu'!A:AT,COLUMN('1.2 Ohjaus-laskentataulu'!AP:AP),FALSE)/VLOOKUP(Vertailu[[#This Row],[Y-tunnus]],'1.2 Ohjaus-laskentataulu'!A:AT,COLUMN('1.2 Ohjaus-laskentataulu'!AR:AR),FALSE),0)</f>
        <v>3.0721011254873011E-2</v>
      </c>
      <c r="H148" s="22">
        <f>IFERROR(VLOOKUP(Vertailu[[#This Row],[Y-tunnus]],'1.2 Ohjaus-laskentataulu'!A:AT,COLUMN('1.2 Ohjaus-laskentataulu'!AQ:AQ),FALSE)/VLOOKUP(Vertailu[[#This Row],[Y-tunnus]],'1.2 Ohjaus-laskentataulu'!A:AT,COLUMN('1.2 Ohjaus-laskentataulu'!AR:AR),FALSE),0)</f>
        <v>0.39684759943531361</v>
      </c>
      <c r="I148" s="19">
        <f>IFERROR(VLOOKUP(Vertailu[[#This Row],[Y-tunnus]],'1.2 Ohjaus-laskentataulu'!A:AT,COLUMN('1.2 Ohjaus-laskentataulu'!R:R),FALSE)/VLOOKUP(Vertailu[[#This Row],[Y-tunnus]],'1.2 Ohjaus-laskentataulu'!A:AT,COLUMN('1.2 Ohjaus-laskentataulu'!AR:AR),FALSE),0)</f>
        <v>0.25395345222830945</v>
      </c>
      <c r="J148" s="19">
        <f>IFERROR(VLOOKUP(Vertailu[[#This Row],[Y-tunnus]],'1.2 Ohjaus-laskentataulu'!A:AT,COLUMN('1.2 Ohjaus-laskentataulu'!U:U),FALSE)/VLOOKUP(Vertailu[[#This Row],[Y-tunnus]],'1.2 Ohjaus-laskentataulu'!A:AT,COLUMN('1.2 Ohjaus-laskentataulu'!AR:AR),FALSE),0)</f>
        <v>1.540583595601663E-2</v>
      </c>
      <c r="K148" s="46">
        <f>IFERROR(VLOOKUP(Vertailu[[#This Row],[Y-tunnus]],'1.2 Ohjaus-laskentataulu'!A:AT,COLUMN('1.2 Ohjaus-laskentataulu'!X:X),FALSE)/VLOOKUP(Vertailu[[#This Row],[Y-tunnus]],'1.2 Ohjaus-laskentataulu'!A:AT,COLUMN('1.2 Ohjaus-laskentataulu'!AR:AR),FALSE),0)</f>
        <v>0.12748831125098756</v>
      </c>
      <c r="L148" s="21">
        <f>IFERROR(VLOOKUP(Vertailu[[#This Row],[Y-tunnus]],'3.2 Suoritepäätös 2019'!$A:$S,COLUMN('3.2 Suoritepäätös 2019'!Q:Q),FALSE)-VLOOKUP(Vertailu[[#This Row],[Y-tunnus]],'3.2 Suoritepäätös 2019'!$A:$S,COLUMN('3.2 Suoritepäätös 2019'!L:L),FALSE),0)</f>
        <v>137485</v>
      </c>
      <c r="M148" s="21">
        <f>IFERROR(VLOOKUP(Vertailu[[#This Row],[Y-tunnus]],'1.2 Ohjaus-laskentataulu'!A:AT,COLUMN('1.2 Ohjaus-laskentataulu'!Z:Z),FALSE),0)</f>
        <v>150422</v>
      </c>
      <c r="N148" s="21">
        <f>IFERROR(Vertailu[[#This Row],[Rahoitus pl. hark. kor. 2020 ilman alv, €]]-Vertailu[[#This Row],[Rahoitus pl. hark. kor. 2019 ilman alv, €]],0)</f>
        <v>12937</v>
      </c>
      <c r="O148" s="46">
        <f>IFERROR(Vertailu[[#This Row],[Muutos, € 1]]/Vertailu[[#This Row],[Rahoitus pl. hark. kor. 2019 ilman alv, €]],0)</f>
        <v>9.4097537913226892E-2</v>
      </c>
      <c r="P148" s="217">
        <f>IFERROR(VLOOKUP(Vertailu[[#This Row],[Y-tunnus]],'3.2 Suoritepäätös 2019'!$A:$S,COLUMN('3.2 Suoritepäätös 2019'!Q:Q),FALSE),0)</f>
        <v>137485</v>
      </c>
      <c r="Q148" s="243">
        <f>IFERROR(VLOOKUP(Vertailu[[#This Row],[Y-tunnus]],'1.2 Ohjaus-laskentataulu'!A:AT,COLUMN('1.2 Ohjaus-laskentataulu'!AR:AR),FALSE),0)</f>
        <v>154422</v>
      </c>
      <c r="R148" s="21">
        <f>IFERROR(Vertailu[[#This Row],[Rahoitus ml. hark. kor. 
2020 ilman alv, €]]-Vertailu[[#This Row],[Rahoitus ml. hark. kor. 
2019 ilman alv, €]],0)</f>
        <v>16937</v>
      </c>
      <c r="S148" s="19">
        <f>IFERROR(Vertailu[[#This Row],[Muutos, € 2]]/Vertailu[[#This Row],[Rahoitus ml. hark. kor. 
2019 ilman alv, €]],0)</f>
        <v>0.12319162090409863</v>
      </c>
      <c r="T148" s="243">
        <f>IFERROR(VLOOKUP(Vertailu[[#This Row],[Y-tunnus]],'3.2 Suoritepäätös 2019'!$A:$S,COLUMN('3.2 Suoritepäätös 2019'!Q:Q),FALSE)+VLOOKUP(Vertailu[[#This Row],[Y-tunnus]],'3.2 Suoritepäätös 2019'!$A:$S,COLUMN('3.2 Suoritepäätös 2019'!R:R),FALSE),0)</f>
        <v>144804</v>
      </c>
      <c r="U148" s="217">
        <f>IFERROR(VLOOKUP(Vertailu[[#This Row],[Y-tunnus]],'1.2 Ohjaus-laskentataulu'!A:AT,COLUMN('1.2 Ohjaus-laskentataulu'!AT:AT),FALSE),0)</f>
        <v>154422</v>
      </c>
      <c r="V148" s="249">
        <f>IFERROR(Vertailu[[#This Row],[Rahoitus ml. hark. kor. + alv 2020, €]]-Vertailu[[#This Row],[Rahoitus ml. hark. kor. + alv 2019, €]],0)</f>
        <v>9618</v>
      </c>
      <c r="W148" s="46">
        <f>IFERROR(Vertailu[[#This Row],[Muutos, € 3]]/Vertailu[[#This Row],[Rahoitus ml. hark. kor. + alv 2019, €]],0)</f>
        <v>6.6420817104499874E-2</v>
      </c>
    </row>
    <row r="149" spans="1:23" ht="12.75" customHeight="1" x14ac:dyDescent="0.25">
      <c r="A149" s="12" t="s">
        <v>255</v>
      </c>
      <c r="B149" s="297" t="s">
        <v>186</v>
      </c>
      <c r="C149" s="297" t="s">
        <v>254</v>
      </c>
      <c r="D149" s="297" t="s">
        <v>423</v>
      </c>
      <c r="E149" s="22">
        <f>IFERROR(VLOOKUP(Vertailu[[#This Row],[Y-tunnus]],'1.2 Ohjaus-laskentataulu'!A:AT,COLUMN('1.2 Ohjaus-laskentataulu'!L:L),FALSE)/VLOOKUP(Vertailu[[#This Row],[Y-tunnus]],'1.2 Ohjaus-laskentataulu'!A:AT,COLUMN('1.2 Ohjaus-laskentataulu'!AR:AR),FALSE),0)</f>
        <v>0</v>
      </c>
      <c r="F149" s="46">
        <f>IFERROR(VLOOKUP(Vertailu[[#This Row],[Y-tunnus]],'1.2 Ohjaus-laskentataulu'!A:AT,COLUMN('1.2 Ohjaus-laskentataulu'!AO:AO),FALSE)/VLOOKUP(Vertailu[[#This Row],[Y-tunnus]],'1.2 Ohjaus-laskentataulu'!A:AT,COLUMN('1.2 Ohjaus-laskentataulu'!AR:AR),FALSE),0)</f>
        <v>0</v>
      </c>
      <c r="G149" s="299">
        <f>IFERROR(VLOOKUP(Vertailu[[#This Row],[Y-tunnus]],'1.2 Ohjaus-laskentataulu'!A:AT,COLUMN('1.2 Ohjaus-laskentataulu'!AP:AP),FALSE)/VLOOKUP(Vertailu[[#This Row],[Y-tunnus]],'1.2 Ohjaus-laskentataulu'!A:AT,COLUMN('1.2 Ohjaus-laskentataulu'!AR:AR),FALSE),0)</f>
        <v>0</v>
      </c>
      <c r="H149" s="22">
        <f>IFERROR(VLOOKUP(Vertailu[[#This Row],[Y-tunnus]],'1.2 Ohjaus-laskentataulu'!A:AT,COLUMN('1.2 Ohjaus-laskentataulu'!AQ:AQ),FALSE)/VLOOKUP(Vertailu[[#This Row],[Y-tunnus]],'1.2 Ohjaus-laskentataulu'!A:AT,COLUMN('1.2 Ohjaus-laskentataulu'!AR:AR),FALSE),0)</f>
        <v>0</v>
      </c>
      <c r="I149" s="19">
        <f>IFERROR(VLOOKUP(Vertailu[[#This Row],[Y-tunnus]],'1.2 Ohjaus-laskentataulu'!A:AT,COLUMN('1.2 Ohjaus-laskentataulu'!R:R),FALSE)/VLOOKUP(Vertailu[[#This Row],[Y-tunnus]],'1.2 Ohjaus-laskentataulu'!A:AT,COLUMN('1.2 Ohjaus-laskentataulu'!AR:AR),FALSE),0)</f>
        <v>0</v>
      </c>
      <c r="J149" s="19">
        <f>IFERROR(VLOOKUP(Vertailu[[#This Row],[Y-tunnus]],'1.2 Ohjaus-laskentataulu'!A:AT,COLUMN('1.2 Ohjaus-laskentataulu'!U:U),FALSE)/VLOOKUP(Vertailu[[#This Row],[Y-tunnus]],'1.2 Ohjaus-laskentataulu'!A:AT,COLUMN('1.2 Ohjaus-laskentataulu'!AR:AR),FALSE),0)</f>
        <v>0</v>
      </c>
      <c r="K149" s="46">
        <f>IFERROR(VLOOKUP(Vertailu[[#This Row],[Y-tunnus]],'1.2 Ohjaus-laskentataulu'!A:AT,COLUMN('1.2 Ohjaus-laskentataulu'!X:X),FALSE)/VLOOKUP(Vertailu[[#This Row],[Y-tunnus]],'1.2 Ohjaus-laskentataulu'!A:AT,COLUMN('1.2 Ohjaus-laskentataulu'!AR:AR),FALSE),0)</f>
        <v>0</v>
      </c>
      <c r="L149" s="21">
        <f>IFERROR(VLOOKUP(Vertailu[[#This Row],[Y-tunnus]],'3.2 Suoritepäätös 2019'!$A:$S,COLUMN('3.2 Suoritepäätös 2019'!Q:Q),FALSE)-VLOOKUP(Vertailu[[#This Row],[Y-tunnus]],'3.2 Suoritepäätös 2019'!$A:$S,COLUMN('3.2 Suoritepäätös 2019'!L:L),FALSE),0)</f>
        <v>0</v>
      </c>
      <c r="M149" s="21">
        <f>IFERROR(VLOOKUP(Vertailu[[#This Row],[Y-tunnus]],'1.2 Ohjaus-laskentataulu'!A:AT,COLUMN('1.2 Ohjaus-laskentataulu'!Z:Z),FALSE),0)</f>
        <v>0</v>
      </c>
      <c r="N149" s="21">
        <f>IFERROR(Vertailu[[#This Row],[Rahoitus pl. hark. kor. 2020 ilman alv, €]]-Vertailu[[#This Row],[Rahoitus pl. hark. kor. 2019 ilman alv, €]],0)</f>
        <v>0</v>
      </c>
      <c r="O149" s="46">
        <f>IFERROR(Vertailu[[#This Row],[Muutos, € 1]]/Vertailu[[#This Row],[Rahoitus pl. hark. kor. 2019 ilman alv, €]],0)</f>
        <v>0</v>
      </c>
      <c r="P149" s="217">
        <f>IFERROR(VLOOKUP(Vertailu[[#This Row],[Y-tunnus]],'3.2 Suoritepäätös 2019'!$A:$S,COLUMN('3.2 Suoritepäätös 2019'!Q:Q),FALSE),0)</f>
        <v>0</v>
      </c>
      <c r="Q149" s="243">
        <f>IFERROR(VLOOKUP(Vertailu[[#This Row],[Y-tunnus]],'1.2 Ohjaus-laskentataulu'!A:AT,COLUMN('1.2 Ohjaus-laskentataulu'!AR:AR),FALSE),0)</f>
        <v>0</v>
      </c>
      <c r="R149" s="21">
        <f>IFERROR(Vertailu[[#This Row],[Rahoitus ml. hark. kor. 
2020 ilman alv, €]]-Vertailu[[#This Row],[Rahoitus ml. hark. kor. 
2019 ilman alv, €]],0)</f>
        <v>0</v>
      </c>
      <c r="S149" s="19">
        <f>IFERROR(Vertailu[[#This Row],[Muutos, € 2]]/Vertailu[[#This Row],[Rahoitus ml. hark. kor. 
2019 ilman alv, €]],0)</f>
        <v>0</v>
      </c>
      <c r="T149" s="243">
        <f>IFERROR(VLOOKUP(Vertailu[[#This Row],[Y-tunnus]],'3.2 Suoritepäätös 2019'!$A:$S,COLUMN('3.2 Suoritepäätös 2019'!Q:Q),FALSE)+VLOOKUP(Vertailu[[#This Row],[Y-tunnus]],'3.2 Suoritepäätös 2019'!$A:$S,COLUMN('3.2 Suoritepäätös 2019'!R:R),FALSE),0)</f>
        <v>0</v>
      </c>
      <c r="U149" s="217">
        <f>IFERROR(VLOOKUP(Vertailu[[#This Row],[Y-tunnus]],'1.2 Ohjaus-laskentataulu'!A:AT,COLUMN('1.2 Ohjaus-laskentataulu'!AT:AT),FALSE),0)</f>
        <v>0</v>
      </c>
      <c r="V149" s="249">
        <f>IFERROR(Vertailu[[#This Row],[Rahoitus ml. hark. kor. + alv 2020, €]]-Vertailu[[#This Row],[Rahoitus ml. hark. kor. + alv 2019, €]],0)</f>
        <v>0</v>
      </c>
      <c r="W149" s="46">
        <f>IFERROR(Vertailu[[#This Row],[Muutos, € 3]]/Vertailu[[#This Row],[Rahoitus ml. hark. kor. + alv 2019, €]],0)</f>
        <v>0</v>
      </c>
    </row>
    <row r="150" spans="1:23" ht="12.75" customHeight="1" x14ac:dyDescent="0.25">
      <c r="A150" s="12" t="s">
        <v>253</v>
      </c>
      <c r="B150" s="297" t="s">
        <v>146</v>
      </c>
      <c r="C150" s="297" t="s">
        <v>252</v>
      </c>
      <c r="D150" s="297" t="s">
        <v>423</v>
      </c>
      <c r="E150" s="22">
        <f>IFERROR(VLOOKUP(Vertailu[[#This Row],[Y-tunnus]],'1.2 Ohjaus-laskentataulu'!A:AT,COLUMN('1.2 Ohjaus-laskentataulu'!L:L),FALSE)/VLOOKUP(Vertailu[[#This Row],[Y-tunnus]],'1.2 Ohjaus-laskentataulu'!A:AT,COLUMN('1.2 Ohjaus-laskentataulu'!AR:AR),FALSE),0)</f>
        <v>0.66744744040813708</v>
      </c>
      <c r="F150" s="46">
        <f>IFERROR(VLOOKUP(Vertailu[[#This Row],[Y-tunnus]],'1.2 Ohjaus-laskentataulu'!A:AT,COLUMN('1.2 Ohjaus-laskentataulu'!AO:AO),FALSE)/VLOOKUP(Vertailu[[#This Row],[Y-tunnus]],'1.2 Ohjaus-laskentataulu'!A:AT,COLUMN('1.2 Ohjaus-laskentataulu'!AR:AR),FALSE),0)</f>
        <v>0.66965884639795137</v>
      </c>
      <c r="G150" s="299">
        <f>IFERROR(VLOOKUP(Vertailu[[#This Row],[Y-tunnus]],'1.2 Ohjaus-laskentataulu'!A:AT,COLUMN('1.2 Ohjaus-laskentataulu'!AP:AP),FALSE)/VLOOKUP(Vertailu[[#This Row],[Y-tunnus]],'1.2 Ohjaus-laskentataulu'!A:AT,COLUMN('1.2 Ohjaus-laskentataulu'!AR:AR),FALSE),0)</f>
        <v>0.28078929502588451</v>
      </c>
      <c r="H150" s="22">
        <f>IFERROR(VLOOKUP(Vertailu[[#This Row],[Y-tunnus]],'1.2 Ohjaus-laskentataulu'!A:AT,COLUMN('1.2 Ohjaus-laskentataulu'!AQ:AQ),FALSE)/VLOOKUP(Vertailu[[#This Row],[Y-tunnus]],'1.2 Ohjaus-laskentataulu'!A:AT,COLUMN('1.2 Ohjaus-laskentataulu'!AR:AR),FALSE),0)</f>
        <v>4.9551858576164141E-2</v>
      </c>
      <c r="I150" s="19">
        <f>IFERROR(VLOOKUP(Vertailu[[#This Row],[Y-tunnus]],'1.2 Ohjaus-laskentataulu'!A:AT,COLUMN('1.2 Ohjaus-laskentataulu'!R:R),FALSE)/VLOOKUP(Vertailu[[#This Row],[Y-tunnus]],'1.2 Ohjaus-laskentataulu'!A:AT,COLUMN('1.2 Ohjaus-laskentataulu'!AR:AR),FALSE),0)</f>
        <v>3.0507230191883696E-2</v>
      </c>
      <c r="J150" s="19">
        <f>IFERROR(VLOOKUP(Vertailu[[#This Row],[Y-tunnus]],'1.2 Ohjaus-laskentataulu'!A:AT,COLUMN('1.2 Ohjaus-laskentataulu'!U:U),FALSE)/VLOOKUP(Vertailu[[#This Row],[Y-tunnus]],'1.2 Ohjaus-laskentataulu'!A:AT,COLUMN('1.2 Ohjaus-laskentataulu'!AR:AR),FALSE),0)</f>
        <v>5.5860115302708308E-3</v>
      </c>
      <c r="K150" s="46">
        <f>IFERROR(VLOOKUP(Vertailu[[#This Row],[Y-tunnus]],'1.2 Ohjaus-laskentataulu'!A:AT,COLUMN('1.2 Ohjaus-laskentataulu'!X:X),FALSE)/VLOOKUP(Vertailu[[#This Row],[Y-tunnus]],'1.2 Ohjaus-laskentataulu'!A:AT,COLUMN('1.2 Ohjaus-laskentataulu'!AR:AR),FALSE),0)</f>
        <v>1.3458616854009611E-2</v>
      </c>
      <c r="L150" s="21">
        <f>IFERROR(VLOOKUP(Vertailu[[#This Row],[Y-tunnus]],'3.2 Suoritepäätös 2019'!$A:$S,COLUMN('3.2 Suoritepäätös 2019'!Q:Q),FALSE)-VLOOKUP(Vertailu[[#This Row],[Y-tunnus]],'3.2 Suoritepäätös 2019'!$A:$S,COLUMN('3.2 Suoritepäätös 2019'!L:L),FALSE),0)</f>
        <v>2171316</v>
      </c>
      <c r="M150" s="21">
        <f>IFERROR(VLOOKUP(Vertailu[[#This Row],[Y-tunnus]],'1.2 Ohjaus-laskentataulu'!A:AT,COLUMN('1.2 Ohjaus-laskentataulu'!Z:Z),FALSE),0)</f>
        <v>2256005</v>
      </c>
      <c r="N150" s="21">
        <f>IFERROR(Vertailu[[#This Row],[Rahoitus pl. hark. kor. 2020 ilman alv, €]]-Vertailu[[#This Row],[Rahoitus pl. hark. kor. 2019 ilman alv, €]],0)</f>
        <v>84689</v>
      </c>
      <c r="O150" s="46">
        <f>IFERROR(Vertailu[[#This Row],[Muutos, € 1]]/Vertailu[[#This Row],[Rahoitus pl. hark. kor. 2019 ilman alv, €]],0)</f>
        <v>3.9003535183271341E-2</v>
      </c>
      <c r="P150" s="217">
        <f>IFERROR(VLOOKUP(Vertailu[[#This Row],[Y-tunnus]],'3.2 Suoritepäätös 2019'!$A:$S,COLUMN('3.2 Suoritepäätös 2019'!Q:Q),FALSE),0)</f>
        <v>2171316</v>
      </c>
      <c r="Q150" s="243">
        <f>IFERROR(VLOOKUP(Vertailu[[#This Row],[Y-tunnus]],'1.2 Ohjaus-laskentataulu'!A:AT,COLUMN('1.2 Ohjaus-laskentataulu'!AR:AR),FALSE),0)</f>
        <v>2261005</v>
      </c>
      <c r="R150" s="21">
        <f>IFERROR(Vertailu[[#This Row],[Rahoitus ml. hark. kor. 
2020 ilman alv, €]]-Vertailu[[#This Row],[Rahoitus ml. hark. kor. 
2019 ilman alv, €]],0)</f>
        <v>89689</v>
      </c>
      <c r="S150" s="19">
        <f>IFERROR(Vertailu[[#This Row],[Muutos, € 2]]/Vertailu[[#This Row],[Rahoitus ml. hark. kor. 
2019 ilman alv, €]],0)</f>
        <v>4.1306286141676293E-2</v>
      </c>
      <c r="T150" s="243">
        <f>IFERROR(VLOOKUP(Vertailu[[#This Row],[Y-tunnus]],'3.2 Suoritepäätös 2019'!$A:$S,COLUMN('3.2 Suoritepäätös 2019'!Q:Q),FALSE)+VLOOKUP(Vertailu[[#This Row],[Y-tunnus]],'3.2 Suoritepäätös 2019'!$A:$S,COLUMN('3.2 Suoritepäätös 2019'!R:R),FALSE),0)</f>
        <v>2284577</v>
      </c>
      <c r="U150" s="217">
        <f>IFERROR(VLOOKUP(Vertailu[[#This Row],[Y-tunnus]],'1.2 Ohjaus-laskentataulu'!A:AT,COLUMN('1.2 Ohjaus-laskentataulu'!AT:AT),FALSE),0)</f>
        <v>2366874</v>
      </c>
      <c r="V150" s="249">
        <f>IFERROR(Vertailu[[#This Row],[Rahoitus ml. hark. kor. + alv 2020, €]]-Vertailu[[#This Row],[Rahoitus ml. hark. kor. + alv 2019, €]],0)</f>
        <v>82297</v>
      </c>
      <c r="W150" s="46">
        <f>IFERROR(Vertailu[[#This Row],[Muutos, € 3]]/Vertailu[[#This Row],[Rahoitus ml. hark. kor. + alv 2019, €]],0)</f>
        <v>3.6022861124838428E-2</v>
      </c>
    </row>
    <row r="151" spans="1:23" ht="12.75" customHeight="1" x14ac:dyDescent="0.25">
      <c r="A151" s="12" t="s">
        <v>251</v>
      </c>
      <c r="B151" s="297" t="s">
        <v>147</v>
      </c>
      <c r="C151" s="297" t="s">
        <v>238</v>
      </c>
      <c r="D151" s="297" t="s">
        <v>424</v>
      </c>
      <c r="E151" s="22">
        <f>IFERROR(VLOOKUP(Vertailu[[#This Row],[Y-tunnus]],'1.2 Ohjaus-laskentataulu'!A:AT,COLUMN('1.2 Ohjaus-laskentataulu'!L:L),FALSE)/VLOOKUP(Vertailu[[#This Row],[Y-tunnus]],'1.2 Ohjaus-laskentataulu'!A:AT,COLUMN('1.2 Ohjaus-laskentataulu'!AR:AR),FALSE),0)</f>
        <v>0.6881315420856674</v>
      </c>
      <c r="F151" s="46">
        <f>IFERROR(VLOOKUP(Vertailu[[#This Row],[Y-tunnus]],'1.2 Ohjaus-laskentataulu'!A:AT,COLUMN('1.2 Ohjaus-laskentataulu'!AO:AO),FALSE)/VLOOKUP(Vertailu[[#This Row],[Y-tunnus]],'1.2 Ohjaus-laskentataulu'!A:AT,COLUMN('1.2 Ohjaus-laskentataulu'!AR:AR),FALSE),0)</f>
        <v>0.69189361363274404</v>
      </c>
      <c r="G151" s="299">
        <f>IFERROR(VLOOKUP(Vertailu[[#This Row],[Y-tunnus]],'1.2 Ohjaus-laskentataulu'!A:AT,COLUMN('1.2 Ohjaus-laskentataulu'!AP:AP),FALSE)/VLOOKUP(Vertailu[[#This Row],[Y-tunnus]],'1.2 Ohjaus-laskentataulu'!A:AT,COLUMN('1.2 Ohjaus-laskentataulu'!AR:AR),FALSE),0)</f>
        <v>0.21521892748356289</v>
      </c>
      <c r="H151" s="22">
        <f>IFERROR(VLOOKUP(Vertailu[[#This Row],[Y-tunnus]],'1.2 Ohjaus-laskentataulu'!A:AT,COLUMN('1.2 Ohjaus-laskentataulu'!AQ:AQ),FALSE)/VLOOKUP(Vertailu[[#This Row],[Y-tunnus]],'1.2 Ohjaus-laskentataulu'!A:AT,COLUMN('1.2 Ohjaus-laskentataulu'!AR:AR),FALSE),0)</f>
        <v>9.2887458883693055E-2</v>
      </c>
      <c r="I151" s="19">
        <f>IFERROR(VLOOKUP(Vertailu[[#This Row],[Y-tunnus]],'1.2 Ohjaus-laskentataulu'!A:AT,COLUMN('1.2 Ohjaus-laskentataulu'!R:R),FALSE)/VLOOKUP(Vertailu[[#This Row],[Y-tunnus]],'1.2 Ohjaus-laskentataulu'!A:AT,COLUMN('1.2 Ohjaus-laskentataulu'!AR:AR),FALSE),0)</f>
        <v>6.6241050972307397E-2</v>
      </c>
      <c r="J151" s="19">
        <f>IFERROR(VLOOKUP(Vertailu[[#This Row],[Y-tunnus]],'1.2 Ohjaus-laskentataulu'!A:AT,COLUMN('1.2 Ohjaus-laskentataulu'!U:U),FALSE)/VLOOKUP(Vertailu[[#This Row],[Y-tunnus]],'1.2 Ohjaus-laskentataulu'!A:AT,COLUMN('1.2 Ohjaus-laskentataulu'!AR:AR),FALSE),0)</f>
        <v>7.7354147621179464E-3</v>
      </c>
      <c r="K151" s="46">
        <f>IFERROR(VLOOKUP(Vertailu[[#This Row],[Y-tunnus]],'1.2 Ohjaus-laskentataulu'!A:AT,COLUMN('1.2 Ohjaus-laskentataulu'!X:X),FALSE)/VLOOKUP(Vertailu[[#This Row],[Y-tunnus]],'1.2 Ohjaus-laskentataulu'!A:AT,COLUMN('1.2 Ohjaus-laskentataulu'!AR:AR),FALSE),0)</f>
        <v>1.8910993149267714E-2</v>
      </c>
      <c r="L151" s="21">
        <f>IFERROR(VLOOKUP(Vertailu[[#This Row],[Y-tunnus]],'3.2 Suoritepäätös 2019'!$A:$S,COLUMN('3.2 Suoritepäätös 2019'!Q:Q),FALSE)-VLOOKUP(Vertailu[[#This Row],[Y-tunnus]],'3.2 Suoritepäätös 2019'!$A:$S,COLUMN('3.2 Suoritepäätös 2019'!L:L),FALSE),0)</f>
        <v>31497726</v>
      </c>
      <c r="M151" s="21">
        <f>IFERROR(VLOOKUP(Vertailu[[#This Row],[Y-tunnus]],'1.2 Ohjaus-laskentataulu'!A:AT,COLUMN('1.2 Ohjaus-laskentataulu'!Z:Z),FALSE),0)</f>
        <v>31777320</v>
      </c>
      <c r="N151" s="21">
        <f>IFERROR(Vertailu[[#This Row],[Rahoitus pl. hark. kor. 2020 ilman alv, €]]-Vertailu[[#This Row],[Rahoitus pl. hark. kor. 2019 ilman alv, €]],0)</f>
        <v>279594</v>
      </c>
      <c r="O151" s="46">
        <f>IFERROR(Vertailu[[#This Row],[Muutos, € 1]]/Vertailu[[#This Row],[Rahoitus pl. hark. kor. 2019 ilman alv, €]],0)</f>
        <v>8.8766408089269687E-3</v>
      </c>
      <c r="P151" s="217">
        <f>IFERROR(VLOOKUP(Vertailu[[#This Row],[Y-tunnus]],'3.2 Suoritepäätös 2019'!$A:$S,COLUMN('3.2 Suoritepäätös 2019'!Q:Q),FALSE),0)</f>
        <v>31497726</v>
      </c>
      <c r="Q151" s="243">
        <f>IFERROR(VLOOKUP(Vertailu[[#This Row],[Y-tunnus]],'1.2 Ohjaus-laskentataulu'!A:AT,COLUMN('1.2 Ohjaus-laskentataulu'!AR:AR),FALSE),0)</f>
        <v>31897320</v>
      </c>
      <c r="R151" s="21">
        <f>IFERROR(Vertailu[[#This Row],[Rahoitus ml. hark. kor. 
2020 ilman alv, €]]-Vertailu[[#This Row],[Rahoitus ml. hark. kor. 
2019 ilman alv, €]],0)</f>
        <v>399594</v>
      </c>
      <c r="S151" s="19">
        <f>IFERROR(Vertailu[[#This Row],[Muutos, € 2]]/Vertailu[[#This Row],[Rahoitus ml. hark. kor. 
2019 ilman alv, €]],0)</f>
        <v>1.2686439649643279E-2</v>
      </c>
      <c r="T151" s="243">
        <f>IFERROR(VLOOKUP(Vertailu[[#This Row],[Y-tunnus]],'3.2 Suoritepäätös 2019'!$A:$S,COLUMN('3.2 Suoritepäätös 2019'!Q:Q),FALSE)+VLOOKUP(Vertailu[[#This Row],[Y-tunnus]],'3.2 Suoritepäätös 2019'!$A:$S,COLUMN('3.2 Suoritepäätös 2019'!R:R),FALSE),0)</f>
        <v>31497726</v>
      </c>
      <c r="U151" s="217">
        <f>IFERROR(VLOOKUP(Vertailu[[#This Row],[Y-tunnus]],'1.2 Ohjaus-laskentataulu'!A:AT,COLUMN('1.2 Ohjaus-laskentataulu'!AT:AT),FALSE),0)</f>
        <v>31897320</v>
      </c>
      <c r="V151" s="249">
        <f>IFERROR(Vertailu[[#This Row],[Rahoitus ml. hark. kor. + alv 2020, €]]-Vertailu[[#This Row],[Rahoitus ml. hark. kor. + alv 2019, €]],0)</f>
        <v>399594</v>
      </c>
      <c r="W151" s="46">
        <f>IFERROR(Vertailu[[#This Row],[Muutos, € 3]]/Vertailu[[#This Row],[Rahoitus ml. hark. kor. + alv 2019, €]],0)</f>
        <v>1.2686439649643279E-2</v>
      </c>
    </row>
    <row r="152" spans="1:23" ht="12.75" customHeight="1" x14ac:dyDescent="0.25">
      <c r="A152" s="12" t="s">
        <v>250</v>
      </c>
      <c r="B152" s="297" t="s">
        <v>148</v>
      </c>
      <c r="C152" s="297" t="s">
        <v>249</v>
      </c>
      <c r="D152" s="297" t="s">
        <v>423</v>
      </c>
      <c r="E152" s="22">
        <f>IFERROR(VLOOKUP(Vertailu[[#This Row],[Y-tunnus]],'1.2 Ohjaus-laskentataulu'!A:AT,COLUMN('1.2 Ohjaus-laskentataulu'!L:L),FALSE)/VLOOKUP(Vertailu[[#This Row],[Y-tunnus]],'1.2 Ohjaus-laskentataulu'!A:AT,COLUMN('1.2 Ohjaus-laskentataulu'!AR:AR),FALSE),0)</f>
        <v>0.70050522782859148</v>
      </c>
      <c r="F152" s="46">
        <f>IFERROR(VLOOKUP(Vertailu[[#This Row],[Y-tunnus]],'1.2 Ohjaus-laskentataulu'!A:AT,COLUMN('1.2 Ohjaus-laskentataulu'!AO:AO),FALSE)/VLOOKUP(Vertailu[[#This Row],[Y-tunnus]],'1.2 Ohjaus-laskentataulu'!A:AT,COLUMN('1.2 Ohjaus-laskentataulu'!AR:AR),FALSE),0)</f>
        <v>0.70050522782859148</v>
      </c>
      <c r="G152" s="299">
        <f>IFERROR(VLOOKUP(Vertailu[[#This Row],[Y-tunnus]],'1.2 Ohjaus-laskentataulu'!A:AT,COLUMN('1.2 Ohjaus-laskentataulu'!AP:AP),FALSE)/VLOOKUP(Vertailu[[#This Row],[Y-tunnus]],'1.2 Ohjaus-laskentataulu'!A:AT,COLUMN('1.2 Ohjaus-laskentataulu'!AR:AR),FALSE),0)</f>
        <v>0.19502962715711833</v>
      </c>
      <c r="H152" s="22">
        <f>IFERROR(VLOOKUP(Vertailu[[#This Row],[Y-tunnus]],'1.2 Ohjaus-laskentataulu'!A:AT,COLUMN('1.2 Ohjaus-laskentataulu'!AQ:AQ),FALSE)/VLOOKUP(Vertailu[[#This Row],[Y-tunnus]],'1.2 Ohjaus-laskentataulu'!A:AT,COLUMN('1.2 Ohjaus-laskentataulu'!AR:AR),FALSE),0)</f>
        <v>0.10446514501429018</v>
      </c>
      <c r="I152" s="19">
        <f>IFERROR(VLOOKUP(Vertailu[[#This Row],[Y-tunnus]],'1.2 Ohjaus-laskentataulu'!A:AT,COLUMN('1.2 Ohjaus-laskentataulu'!R:R),FALSE)/VLOOKUP(Vertailu[[#This Row],[Y-tunnus]],'1.2 Ohjaus-laskentataulu'!A:AT,COLUMN('1.2 Ohjaus-laskentataulu'!AR:AR),FALSE),0)</f>
        <v>4.2589748403141406E-2</v>
      </c>
      <c r="J152" s="19">
        <f>IFERROR(VLOOKUP(Vertailu[[#This Row],[Y-tunnus]],'1.2 Ohjaus-laskentataulu'!A:AT,COLUMN('1.2 Ohjaus-laskentataulu'!U:U),FALSE)/VLOOKUP(Vertailu[[#This Row],[Y-tunnus]],'1.2 Ohjaus-laskentataulu'!A:AT,COLUMN('1.2 Ohjaus-laskentataulu'!AR:AR),FALSE),0)</f>
        <v>1.3678317183967524E-2</v>
      </c>
      <c r="K152" s="46">
        <f>IFERROR(VLOOKUP(Vertailu[[#This Row],[Y-tunnus]],'1.2 Ohjaus-laskentataulu'!A:AT,COLUMN('1.2 Ohjaus-laskentataulu'!X:X),FALSE)/VLOOKUP(Vertailu[[#This Row],[Y-tunnus]],'1.2 Ohjaus-laskentataulu'!A:AT,COLUMN('1.2 Ohjaus-laskentataulu'!AR:AR),FALSE),0)</f>
        <v>4.8197079427181246E-2</v>
      </c>
      <c r="L152" s="21">
        <f>IFERROR(VLOOKUP(Vertailu[[#This Row],[Y-tunnus]],'3.2 Suoritepäätös 2019'!$A:$S,COLUMN('3.2 Suoritepäätös 2019'!Q:Q),FALSE)-VLOOKUP(Vertailu[[#This Row],[Y-tunnus]],'3.2 Suoritepäätös 2019'!$A:$S,COLUMN('3.2 Suoritepäätös 2019'!L:L),FALSE),0)</f>
        <v>1817851</v>
      </c>
      <c r="M152" s="21">
        <f>IFERROR(VLOOKUP(Vertailu[[#This Row],[Y-tunnus]],'1.2 Ohjaus-laskentataulu'!A:AT,COLUMN('1.2 Ohjaus-laskentataulu'!Z:Z),FALSE),0)</f>
        <v>1848473</v>
      </c>
      <c r="N152" s="21">
        <f>IFERROR(Vertailu[[#This Row],[Rahoitus pl. hark. kor. 2020 ilman alv, €]]-Vertailu[[#This Row],[Rahoitus pl. hark. kor. 2019 ilman alv, €]],0)</f>
        <v>30622</v>
      </c>
      <c r="O152" s="46">
        <f>IFERROR(Vertailu[[#This Row],[Muutos, € 1]]/Vertailu[[#This Row],[Rahoitus pl. hark. kor. 2019 ilman alv, €]],0)</f>
        <v>1.6845164977767706E-2</v>
      </c>
      <c r="P152" s="217">
        <f>IFERROR(VLOOKUP(Vertailu[[#This Row],[Y-tunnus]],'3.2 Suoritepäätös 2019'!$A:$S,COLUMN('3.2 Suoritepäätös 2019'!Q:Q),FALSE),0)</f>
        <v>1817851</v>
      </c>
      <c r="Q152" s="243">
        <f>IFERROR(VLOOKUP(Vertailu[[#This Row],[Y-tunnus]],'1.2 Ohjaus-laskentataulu'!A:AT,COLUMN('1.2 Ohjaus-laskentataulu'!AR:AR),FALSE),0)</f>
        <v>1848473</v>
      </c>
      <c r="R152" s="21">
        <f>IFERROR(Vertailu[[#This Row],[Rahoitus ml. hark. kor. 
2020 ilman alv, €]]-Vertailu[[#This Row],[Rahoitus ml. hark. kor. 
2019 ilman alv, €]],0)</f>
        <v>30622</v>
      </c>
      <c r="S152" s="19">
        <f>IFERROR(Vertailu[[#This Row],[Muutos, € 2]]/Vertailu[[#This Row],[Rahoitus ml. hark. kor. 
2019 ilman alv, €]],0)</f>
        <v>1.6845164977767706E-2</v>
      </c>
      <c r="T152" s="243">
        <f>IFERROR(VLOOKUP(Vertailu[[#This Row],[Y-tunnus]],'3.2 Suoritepäätös 2019'!$A:$S,COLUMN('3.2 Suoritepäätös 2019'!Q:Q),FALSE)+VLOOKUP(Vertailu[[#This Row],[Y-tunnus]],'3.2 Suoritepäätös 2019'!$A:$S,COLUMN('3.2 Suoritepäätös 2019'!R:R),FALSE),0)</f>
        <v>1912723</v>
      </c>
      <c r="U152" s="217">
        <f>IFERROR(VLOOKUP(Vertailu[[#This Row],[Y-tunnus]],'1.2 Ohjaus-laskentataulu'!A:AT,COLUMN('1.2 Ohjaus-laskentataulu'!AT:AT),FALSE),0)</f>
        <v>2008444</v>
      </c>
      <c r="V152" s="249">
        <f>IFERROR(Vertailu[[#This Row],[Rahoitus ml. hark. kor. + alv 2020, €]]-Vertailu[[#This Row],[Rahoitus ml. hark. kor. + alv 2019, €]],0)</f>
        <v>95721</v>
      </c>
      <c r="W152" s="46">
        <f>IFERROR(Vertailu[[#This Row],[Muutos, € 3]]/Vertailu[[#This Row],[Rahoitus ml. hark. kor. + alv 2019, €]],0)</f>
        <v>5.0044360840539898E-2</v>
      </c>
    </row>
    <row r="153" spans="1:23" ht="12.75" customHeight="1" x14ac:dyDescent="0.25">
      <c r="A153" s="12" t="s">
        <v>245</v>
      </c>
      <c r="B153" s="297" t="s">
        <v>188</v>
      </c>
      <c r="C153" s="297" t="s">
        <v>244</v>
      </c>
      <c r="D153" s="297" t="s">
        <v>423</v>
      </c>
      <c r="E153" s="22">
        <f>IFERROR(VLOOKUP(Vertailu[[#This Row],[Y-tunnus]],'1.2 Ohjaus-laskentataulu'!A:AT,COLUMN('1.2 Ohjaus-laskentataulu'!L:L),FALSE)/VLOOKUP(Vertailu[[#This Row],[Y-tunnus]],'1.2 Ohjaus-laskentataulu'!A:AT,COLUMN('1.2 Ohjaus-laskentataulu'!AR:AR),FALSE),0)</f>
        <v>0</v>
      </c>
      <c r="F153" s="46">
        <f>IFERROR(VLOOKUP(Vertailu[[#This Row],[Y-tunnus]],'1.2 Ohjaus-laskentataulu'!A:AT,COLUMN('1.2 Ohjaus-laskentataulu'!AO:AO),FALSE)/VLOOKUP(Vertailu[[#This Row],[Y-tunnus]],'1.2 Ohjaus-laskentataulu'!A:AT,COLUMN('1.2 Ohjaus-laskentataulu'!AR:AR),FALSE),0)</f>
        <v>0</v>
      </c>
      <c r="G153" s="299">
        <f>IFERROR(VLOOKUP(Vertailu[[#This Row],[Y-tunnus]],'1.2 Ohjaus-laskentataulu'!A:AT,COLUMN('1.2 Ohjaus-laskentataulu'!AP:AP),FALSE)/VLOOKUP(Vertailu[[#This Row],[Y-tunnus]],'1.2 Ohjaus-laskentataulu'!A:AT,COLUMN('1.2 Ohjaus-laskentataulu'!AR:AR),FALSE),0)</f>
        <v>0</v>
      </c>
      <c r="H153" s="22">
        <f>IFERROR(VLOOKUP(Vertailu[[#This Row],[Y-tunnus]],'1.2 Ohjaus-laskentataulu'!A:AT,COLUMN('1.2 Ohjaus-laskentataulu'!AQ:AQ),FALSE)/VLOOKUP(Vertailu[[#This Row],[Y-tunnus]],'1.2 Ohjaus-laskentataulu'!A:AT,COLUMN('1.2 Ohjaus-laskentataulu'!AR:AR),FALSE),0)</f>
        <v>0</v>
      </c>
      <c r="I153" s="19">
        <f>IFERROR(VLOOKUP(Vertailu[[#This Row],[Y-tunnus]],'1.2 Ohjaus-laskentataulu'!A:AT,COLUMN('1.2 Ohjaus-laskentataulu'!R:R),FALSE)/VLOOKUP(Vertailu[[#This Row],[Y-tunnus]],'1.2 Ohjaus-laskentataulu'!A:AT,COLUMN('1.2 Ohjaus-laskentataulu'!AR:AR),FALSE),0)</f>
        <v>0</v>
      </c>
      <c r="J153" s="19">
        <f>IFERROR(VLOOKUP(Vertailu[[#This Row],[Y-tunnus]],'1.2 Ohjaus-laskentataulu'!A:AT,COLUMN('1.2 Ohjaus-laskentataulu'!U:U),FALSE)/VLOOKUP(Vertailu[[#This Row],[Y-tunnus]],'1.2 Ohjaus-laskentataulu'!A:AT,COLUMN('1.2 Ohjaus-laskentataulu'!AR:AR),FALSE),0)</f>
        <v>0</v>
      </c>
      <c r="K153" s="46">
        <f>IFERROR(VLOOKUP(Vertailu[[#This Row],[Y-tunnus]],'1.2 Ohjaus-laskentataulu'!A:AT,COLUMN('1.2 Ohjaus-laskentataulu'!X:X),FALSE)/VLOOKUP(Vertailu[[#This Row],[Y-tunnus]],'1.2 Ohjaus-laskentataulu'!A:AT,COLUMN('1.2 Ohjaus-laskentataulu'!AR:AR),FALSE),0)</f>
        <v>0</v>
      </c>
      <c r="L153" s="21">
        <f>IFERROR(VLOOKUP(Vertailu[[#This Row],[Y-tunnus]],'3.2 Suoritepäätös 2019'!$A:$S,COLUMN('3.2 Suoritepäätös 2019'!Q:Q),FALSE)-VLOOKUP(Vertailu[[#This Row],[Y-tunnus]],'3.2 Suoritepäätös 2019'!$A:$S,COLUMN('3.2 Suoritepäätös 2019'!L:L),FALSE),0)</f>
        <v>89930</v>
      </c>
      <c r="M153" s="21">
        <f>IFERROR(VLOOKUP(Vertailu[[#This Row],[Y-tunnus]],'1.2 Ohjaus-laskentataulu'!A:AT,COLUMN('1.2 Ohjaus-laskentataulu'!Z:Z),FALSE),0)</f>
        <v>0</v>
      </c>
      <c r="N153" s="21">
        <f>IFERROR(Vertailu[[#This Row],[Rahoitus pl. hark. kor. 2020 ilman alv, €]]-Vertailu[[#This Row],[Rahoitus pl. hark. kor. 2019 ilman alv, €]],0)</f>
        <v>-89930</v>
      </c>
      <c r="O153" s="46">
        <f>IFERROR(Vertailu[[#This Row],[Muutos, € 1]]/Vertailu[[#This Row],[Rahoitus pl. hark. kor. 2019 ilman alv, €]],0)</f>
        <v>-1</v>
      </c>
      <c r="P153" s="217">
        <f>IFERROR(VLOOKUP(Vertailu[[#This Row],[Y-tunnus]],'3.2 Suoritepäätös 2019'!$A:$S,COLUMN('3.2 Suoritepäätös 2019'!Q:Q),FALSE),0)</f>
        <v>333680</v>
      </c>
      <c r="Q153" s="243">
        <f>IFERROR(VLOOKUP(Vertailu[[#This Row],[Y-tunnus]],'1.2 Ohjaus-laskentataulu'!A:AT,COLUMN('1.2 Ohjaus-laskentataulu'!AR:AR),FALSE),0)</f>
        <v>0</v>
      </c>
      <c r="R153" s="21">
        <f>IFERROR(Vertailu[[#This Row],[Rahoitus ml. hark. kor. 
2020 ilman alv, €]]-Vertailu[[#This Row],[Rahoitus ml. hark. kor. 
2019 ilman alv, €]],0)</f>
        <v>-333680</v>
      </c>
      <c r="S153" s="19">
        <f>IFERROR(Vertailu[[#This Row],[Muutos, € 2]]/Vertailu[[#This Row],[Rahoitus ml. hark. kor. 
2019 ilman alv, €]],0)</f>
        <v>-1</v>
      </c>
      <c r="T153" s="243">
        <f>IFERROR(VLOOKUP(Vertailu[[#This Row],[Y-tunnus]],'3.2 Suoritepäätös 2019'!$A:$S,COLUMN('3.2 Suoritepäätös 2019'!Q:Q),FALSE)+VLOOKUP(Vertailu[[#This Row],[Y-tunnus]],'3.2 Suoritepäätös 2019'!$A:$S,COLUMN('3.2 Suoritepäätös 2019'!R:R),FALSE),0)</f>
        <v>352350</v>
      </c>
      <c r="U153" s="217">
        <f>IFERROR(VLOOKUP(Vertailu[[#This Row],[Y-tunnus]],'1.2 Ohjaus-laskentataulu'!A:AT,COLUMN('1.2 Ohjaus-laskentataulu'!AT:AT),FALSE),0)</f>
        <v>0</v>
      </c>
      <c r="V153" s="249">
        <f>IFERROR(Vertailu[[#This Row],[Rahoitus ml. hark. kor. + alv 2020, €]]-Vertailu[[#This Row],[Rahoitus ml. hark. kor. + alv 2019, €]],0)</f>
        <v>-352350</v>
      </c>
      <c r="W153" s="46">
        <f>IFERROR(Vertailu[[#This Row],[Muutos, € 3]]/Vertailu[[#This Row],[Rahoitus ml. hark. kor. + alv 2019, €]],0)</f>
        <v>-1</v>
      </c>
    </row>
    <row r="154" spans="1:23" ht="12.75" customHeight="1" x14ac:dyDescent="0.25">
      <c r="A154" s="12" t="s">
        <v>243</v>
      </c>
      <c r="B154" s="297" t="s">
        <v>149</v>
      </c>
      <c r="C154" s="297" t="s">
        <v>242</v>
      </c>
      <c r="D154" s="297" t="s">
        <v>422</v>
      </c>
      <c r="E154" s="22">
        <f>IFERROR(VLOOKUP(Vertailu[[#This Row],[Y-tunnus]],'1.2 Ohjaus-laskentataulu'!A:AT,COLUMN('1.2 Ohjaus-laskentataulu'!L:L),FALSE)/VLOOKUP(Vertailu[[#This Row],[Y-tunnus]],'1.2 Ohjaus-laskentataulu'!A:AT,COLUMN('1.2 Ohjaus-laskentataulu'!AR:AR),FALSE),0)</f>
        <v>0.67056091545030327</v>
      </c>
      <c r="F154" s="46">
        <f>IFERROR(VLOOKUP(Vertailu[[#This Row],[Y-tunnus]],'1.2 Ohjaus-laskentataulu'!A:AT,COLUMN('1.2 Ohjaus-laskentataulu'!AO:AO),FALSE)/VLOOKUP(Vertailu[[#This Row],[Y-tunnus]],'1.2 Ohjaus-laskentataulu'!A:AT,COLUMN('1.2 Ohjaus-laskentataulu'!AR:AR),FALSE),0)</f>
        <v>0.67539678951156945</v>
      </c>
      <c r="G154" s="299">
        <f>IFERROR(VLOOKUP(Vertailu[[#This Row],[Y-tunnus]],'1.2 Ohjaus-laskentataulu'!A:AT,COLUMN('1.2 Ohjaus-laskentataulu'!AP:AP),FALSE)/VLOOKUP(Vertailu[[#This Row],[Y-tunnus]],'1.2 Ohjaus-laskentataulu'!A:AT,COLUMN('1.2 Ohjaus-laskentataulu'!AR:AR),FALSE),0)</f>
        <v>0.23782840722992188</v>
      </c>
      <c r="H154" s="22">
        <f>IFERROR(VLOOKUP(Vertailu[[#This Row],[Y-tunnus]],'1.2 Ohjaus-laskentataulu'!A:AT,COLUMN('1.2 Ohjaus-laskentataulu'!AQ:AQ),FALSE)/VLOOKUP(Vertailu[[#This Row],[Y-tunnus]],'1.2 Ohjaus-laskentataulu'!A:AT,COLUMN('1.2 Ohjaus-laskentataulu'!AR:AR),FALSE),0)</f>
        <v>8.6774803258508657E-2</v>
      </c>
      <c r="I154" s="19">
        <f>IFERROR(VLOOKUP(Vertailu[[#This Row],[Y-tunnus]],'1.2 Ohjaus-laskentataulu'!A:AT,COLUMN('1.2 Ohjaus-laskentataulu'!R:R),FALSE)/VLOOKUP(Vertailu[[#This Row],[Y-tunnus]],'1.2 Ohjaus-laskentataulu'!A:AT,COLUMN('1.2 Ohjaus-laskentataulu'!AR:AR),FALSE),0)</f>
        <v>7.6150327497481116E-2</v>
      </c>
      <c r="J154" s="19">
        <f>IFERROR(VLOOKUP(Vertailu[[#This Row],[Y-tunnus]],'1.2 Ohjaus-laskentataulu'!A:AT,COLUMN('1.2 Ohjaus-laskentataulu'!U:U),FALSE)/VLOOKUP(Vertailu[[#This Row],[Y-tunnus]],'1.2 Ohjaus-laskentataulu'!A:AT,COLUMN('1.2 Ohjaus-laskentataulu'!AR:AR),FALSE),0)</f>
        <v>2.5070380102119151E-3</v>
      </c>
      <c r="K154" s="46">
        <f>IFERROR(VLOOKUP(Vertailu[[#This Row],[Y-tunnus]],'1.2 Ohjaus-laskentataulu'!A:AT,COLUMN('1.2 Ohjaus-laskentataulu'!X:X),FALSE)/VLOOKUP(Vertailu[[#This Row],[Y-tunnus]],'1.2 Ohjaus-laskentataulu'!A:AT,COLUMN('1.2 Ohjaus-laskentataulu'!AR:AR),FALSE),0)</f>
        <v>8.1174377508156301E-3</v>
      </c>
      <c r="L154" s="21">
        <f>IFERROR(VLOOKUP(Vertailu[[#This Row],[Y-tunnus]],'3.2 Suoritepäätös 2019'!$A:$S,COLUMN('3.2 Suoritepäätös 2019'!Q:Q),FALSE)-VLOOKUP(Vertailu[[#This Row],[Y-tunnus]],'3.2 Suoritepäätös 2019'!$A:$S,COLUMN('3.2 Suoritepäätös 2019'!L:L),FALSE),0)</f>
        <v>15914595</v>
      </c>
      <c r="M154" s="21">
        <f>IFERROR(VLOOKUP(Vertailu[[#This Row],[Y-tunnus]],'1.2 Ohjaus-laskentataulu'!A:AT,COLUMN('1.2 Ohjaus-laskentataulu'!Z:Z),FALSE),0)</f>
        <v>16463028</v>
      </c>
      <c r="N154" s="21">
        <f>IFERROR(Vertailu[[#This Row],[Rahoitus pl. hark. kor. 2020 ilman alv, €]]-Vertailu[[#This Row],[Rahoitus pl. hark. kor. 2019 ilman alv, €]],0)</f>
        <v>548433</v>
      </c>
      <c r="O154" s="46">
        <f>IFERROR(Vertailu[[#This Row],[Muutos, € 1]]/Vertailu[[#This Row],[Rahoitus pl. hark. kor. 2019 ilman alv, €]],0)</f>
        <v>3.4461008904090866E-2</v>
      </c>
      <c r="P154" s="217">
        <f>IFERROR(VLOOKUP(Vertailu[[#This Row],[Y-tunnus]],'3.2 Suoritepäätös 2019'!$A:$S,COLUMN('3.2 Suoritepäätös 2019'!Q:Q),FALSE),0)</f>
        <v>15914595</v>
      </c>
      <c r="Q154" s="243">
        <f>IFERROR(VLOOKUP(Vertailu[[#This Row],[Y-tunnus]],'1.2 Ohjaus-laskentataulu'!A:AT,COLUMN('1.2 Ohjaus-laskentataulu'!AR:AR),FALSE),0)</f>
        <v>16543028</v>
      </c>
      <c r="R154" s="21">
        <f>IFERROR(Vertailu[[#This Row],[Rahoitus ml. hark. kor. 
2020 ilman alv, €]]-Vertailu[[#This Row],[Rahoitus ml. hark. kor. 
2019 ilman alv, €]],0)</f>
        <v>628433</v>
      </c>
      <c r="S154" s="19">
        <f>IFERROR(Vertailu[[#This Row],[Muutos, € 2]]/Vertailu[[#This Row],[Rahoitus ml. hark. kor. 
2019 ilman alv, €]],0)</f>
        <v>3.9487841192314348E-2</v>
      </c>
      <c r="T154" s="243">
        <f>IFERROR(VLOOKUP(Vertailu[[#This Row],[Y-tunnus]],'3.2 Suoritepäätös 2019'!$A:$S,COLUMN('3.2 Suoritepäätös 2019'!Q:Q),FALSE)+VLOOKUP(Vertailu[[#This Row],[Y-tunnus]],'3.2 Suoritepäätös 2019'!$A:$S,COLUMN('3.2 Suoritepäätös 2019'!R:R),FALSE),0)</f>
        <v>15914595</v>
      </c>
      <c r="U154" s="217">
        <f>IFERROR(VLOOKUP(Vertailu[[#This Row],[Y-tunnus]],'1.2 Ohjaus-laskentataulu'!A:AT,COLUMN('1.2 Ohjaus-laskentataulu'!AT:AT),FALSE),0)</f>
        <v>16543028</v>
      </c>
      <c r="V154" s="249">
        <f>IFERROR(Vertailu[[#This Row],[Rahoitus ml. hark. kor. + alv 2020, €]]-Vertailu[[#This Row],[Rahoitus ml. hark. kor. + alv 2019, €]],0)</f>
        <v>628433</v>
      </c>
      <c r="W154" s="46">
        <f>IFERROR(Vertailu[[#This Row],[Muutos, € 3]]/Vertailu[[#This Row],[Rahoitus ml. hark. kor. + alv 2019, €]],0)</f>
        <v>3.9487841192314348E-2</v>
      </c>
    </row>
    <row r="155" spans="1:23" ht="12.75" customHeight="1" x14ac:dyDescent="0.25">
      <c r="A155" s="12" t="s">
        <v>241</v>
      </c>
      <c r="B155" s="297" t="s">
        <v>150</v>
      </c>
      <c r="C155" s="297" t="s">
        <v>240</v>
      </c>
      <c r="D155" s="297" t="s">
        <v>422</v>
      </c>
      <c r="E155" s="22">
        <f>IFERROR(VLOOKUP(Vertailu[[#This Row],[Y-tunnus]],'1.2 Ohjaus-laskentataulu'!A:AT,COLUMN('1.2 Ohjaus-laskentataulu'!L:L),FALSE)/VLOOKUP(Vertailu[[#This Row],[Y-tunnus]],'1.2 Ohjaus-laskentataulu'!A:AT,COLUMN('1.2 Ohjaus-laskentataulu'!AR:AR),FALSE),0)</f>
        <v>0.65357400979774072</v>
      </c>
      <c r="F155" s="46">
        <f>IFERROR(VLOOKUP(Vertailu[[#This Row],[Y-tunnus]],'1.2 Ohjaus-laskentataulu'!A:AT,COLUMN('1.2 Ohjaus-laskentataulu'!AO:AO),FALSE)/VLOOKUP(Vertailu[[#This Row],[Y-tunnus]],'1.2 Ohjaus-laskentataulu'!A:AT,COLUMN('1.2 Ohjaus-laskentataulu'!AR:AR),FALSE),0)</f>
        <v>0.6585494395707</v>
      </c>
      <c r="G155" s="299">
        <f>IFERROR(VLOOKUP(Vertailu[[#This Row],[Y-tunnus]],'1.2 Ohjaus-laskentataulu'!A:AT,COLUMN('1.2 Ohjaus-laskentataulu'!AP:AP),FALSE)/VLOOKUP(Vertailu[[#This Row],[Y-tunnus]],'1.2 Ohjaus-laskentataulu'!A:AT,COLUMN('1.2 Ohjaus-laskentataulu'!AR:AR),FALSE),0)</f>
        <v>0.22225051997905593</v>
      </c>
      <c r="H155" s="22">
        <f>IFERROR(VLOOKUP(Vertailu[[#This Row],[Y-tunnus]],'1.2 Ohjaus-laskentataulu'!A:AT,COLUMN('1.2 Ohjaus-laskentataulu'!AQ:AQ),FALSE)/VLOOKUP(Vertailu[[#This Row],[Y-tunnus]],'1.2 Ohjaus-laskentataulu'!A:AT,COLUMN('1.2 Ohjaus-laskentataulu'!AR:AR),FALSE),0)</f>
        <v>0.11920004045024406</v>
      </c>
      <c r="I155" s="19">
        <f>IFERROR(VLOOKUP(Vertailu[[#This Row],[Y-tunnus]],'1.2 Ohjaus-laskentataulu'!A:AT,COLUMN('1.2 Ohjaus-laskentataulu'!R:R),FALSE)/VLOOKUP(Vertailu[[#This Row],[Y-tunnus]],'1.2 Ohjaus-laskentataulu'!A:AT,COLUMN('1.2 Ohjaus-laskentataulu'!AR:AR),FALSE),0)</f>
        <v>7.7536413460204304E-2</v>
      </c>
      <c r="J155" s="19">
        <f>IFERROR(VLOOKUP(Vertailu[[#This Row],[Y-tunnus]],'1.2 Ohjaus-laskentataulu'!A:AT,COLUMN('1.2 Ohjaus-laskentataulu'!U:U),FALSE)/VLOOKUP(Vertailu[[#This Row],[Y-tunnus]],'1.2 Ohjaus-laskentataulu'!A:AT,COLUMN('1.2 Ohjaus-laskentataulu'!AR:AR),FALSE),0)</f>
        <v>9.5245896001203562E-3</v>
      </c>
      <c r="K155" s="46">
        <f>IFERROR(VLOOKUP(Vertailu[[#This Row],[Y-tunnus]],'1.2 Ohjaus-laskentataulu'!A:AT,COLUMN('1.2 Ohjaus-laskentataulu'!X:X),FALSE)/VLOOKUP(Vertailu[[#This Row],[Y-tunnus]],'1.2 Ohjaus-laskentataulu'!A:AT,COLUMN('1.2 Ohjaus-laskentataulu'!AR:AR),FALSE),0)</f>
        <v>3.2139037389919391E-2</v>
      </c>
      <c r="L155" s="21">
        <f>IFERROR(VLOOKUP(Vertailu[[#This Row],[Y-tunnus]],'3.2 Suoritepäätös 2019'!$A:$S,COLUMN('3.2 Suoritepäätös 2019'!Q:Q),FALSE)-VLOOKUP(Vertailu[[#This Row],[Y-tunnus]],'3.2 Suoritepäätös 2019'!$A:$S,COLUMN('3.2 Suoritepäätös 2019'!L:L),FALSE),0)</f>
        <v>14766315</v>
      </c>
      <c r="M155" s="21">
        <f>IFERROR(VLOOKUP(Vertailu[[#This Row],[Y-tunnus]],'1.2 Ohjaus-laskentataulu'!A:AT,COLUMN('1.2 Ohjaus-laskentataulu'!Z:Z),FALSE),0)</f>
        <v>15999013</v>
      </c>
      <c r="N155" s="21">
        <f>IFERROR(Vertailu[[#This Row],[Rahoitus pl. hark. kor. 2020 ilman alv, €]]-Vertailu[[#This Row],[Rahoitus pl. hark. kor. 2019 ilman alv, €]],0)</f>
        <v>1232698</v>
      </c>
      <c r="O155" s="46">
        <f>IFERROR(Vertailu[[#This Row],[Muutos, € 1]]/Vertailu[[#This Row],[Rahoitus pl. hark. kor. 2019 ilman alv, €]],0)</f>
        <v>8.3480407941995002E-2</v>
      </c>
      <c r="P155" s="217">
        <f>IFERROR(VLOOKUP(Vertailu[[#This Row],[Y-tunnus]],'3.2 Suoritepäätös 2019'!$A:$S,COLUMN('3.2 Suoritepäätös 2019'!Q:Q),FALSE),0)</f>
        <v>14766315</v>
      </c>
      <c r="Q155" s="243">
        <f>IFERROR(VLOOKUP(Vertailu[[#This Row],[Y-tunnus]],'1.2 Ohjaus-laskentataulu'!A:AT,COLUMN('1.2 Ohjaus-laskentataulu'!AR:AR),FALSE),0)</f>
        <v>16079013</v>
      </c>
      <c r="R155" s="21">
        <f>IFERROR(Vertailu[[#This Row],[Rahoitus ml. hark. kor. 
2020 ilman alv, €]]-Vertailu[[#This Row],[Rahoitus ml. hark. kor. 
2019 ilman alv, €]],0)</f>
        <v>1312698</v>
      </c>
      <c r="S155" s="19">
        <f>IFERROR(Vertailu[[#This Row],[Muutos, € 2]]/Vertailu[[#This Row],[Rahoitus ml. hark. kor. 
2019 ilman alv, €]],0)</f>
        <v>8.8898144188309672E-2</v>
      </c>
      <c r="T155" s="243">
        <f>IFERROR(VLOOKUP(Vertailu[[#This Row],[Y-tunnus]],'3.2 Suoritepäätös 2019'!$A:$S,COLUMN('3.2 Suoritepäätös 2019'!Q:Q),FALSE)+VLOOKUP(Vertailu[[#This Row],[Y-tunnus]],'3.2 Suoritepäätös 2019'!$A:$S,COLUMN('3.2 Suoritepäätös 2019'!R:R),FALSE),0)</f>
        <v>14766315</v>
      </c>
      <c r="U155" s="217">
        <f>IFERROR(VLOOKUP(Vertailu[[#This Row],[Y-tunnus]],'1.2 Ohjaus-laskentataulu'!A:AT,COLUMN('1.2 Ohjaus-laskentataulu'!AT:AT),FALSE),0)</f>
        <v>16079013</v>
      </c>
      <c r="V155" s="249">
        <f>IFERROR(Vertailu[[#This Row],[Rahoitus ml. hark. kor. + alv 2020, €]]-Vertailu[[#This Row],[Rahoitus ml. hark. kor. + alv 2019, €]],0)</f>
        <v>1312698</v>
      </c>
      <c r="W155" s="46">
        <f>IFERROR(Vertailu[[#This Row],[Muutos, € 3]]/Vertailu[[#This Row],[Rahoitus ml. hark. kor. + alv 2019, €]],0)</f>
        <v>8.8898144188309672E-2</v>
      </c>
    </row>
    <row r="156" spans="1:23" s="142" customFormat="1" ht="12.75" customHeight="1" x14ac:dyDescent="0.25">
      <c r="A156" s="358" t="s">
        <v>21</v>
      </c>
      <c r="B156" s="358">
        <f>COUNTIF(Vertailu[Nimi],"?*")</f>
        <v>150</v>
      </c>
      <c r="C156" s="358"/>
      <c r="D156" s="378"/>
      <c r="E156" s="357">
        <f>Ohj.lask.[[#Totals],[Jaettava € 1]]/Ohj.lask.[[#Totals],[Perus-, suoritus- ja vaikuttavuusrahoitus yhteensä, €]]</f>
        <v>0.67658362938079797</v>
      </c>
      <c r="F156" s="379">
        <f>Ohj.lask.[[#Totals],[Opiskelijavuosiin perustuva (suoriteperusteinen) sekä harkinnanvarainen korotus, €]]/Ohj.lask.[[#Totals],[Perus-, suoritus- ja vaikuttavuusrahoitus yhteensä, €]]</f>
        <v>0.6841331706435152</v>
      </c>
      <c r="G156" s="357">
        <f>Ohj.lask.[[#Totals],[Suoritusrahoitus, €]]/Ohj.lask.[[#Totals],[Perus-, suoritus- ja vaikuttavuusrahoitus yhteensä, €]]</f>
        <v>0.21057788718549594</v>
      </c>
      <c r="H156" s="357">
        <f>Ohj.lask.[[#Totals],[Työllistymiseen ja jatko-opintoihin siirtymiseen perustuva sekä opiskelija-palautteisiin perustuva, €]]/Ohj.lask.[[#Totals],[Perus-, suoritus- ja vaikuttavuusrahoitus yhteensä, €]]</f>
        <v>0.10528894217098879</v>
      </c>
      <c r="I156" s="354">
        <f>Ohj.lask.[[#Totals],[Jaettava € 3]]/Ohj.lask.[[#Totals],[Perus-, suoritus- ja vaikuttavuusrahoitus yhteensä, €]]</f>
        <v>7.8966709898287718E-2</v>
      </c>
      <c r="J156" s="354">
        <f>Ohj.lask.[[#Totals],[Jaettava € 4]]/Ohj.lask.[[#Totals],[Perus-, suoritus- ja vaikuttavuusrahoitus yhteensä, €]]</f>
        <v>6.5805572151197596E-3</v>
      </c>
      <c r="K156" s="379">
        <f>Ohj.lask.[[#Totals],[Jaettava € 5]]/Ohj.lask.[[#Totals],[Perus-, suoritus- ja vaikuttavuusrahoitus yhteensä, €]]</f>
        <v>1.9741675057581318E-2</v>
      </c>
      <c r="L156" s="352">
        <f>SUBTOTAL(109,Vertailu[Rahoitus pl. hark. kor. 2019 ilman alv, €])</f>
        <v>1672125512</v>
      </c>
      <c r="M156" s="352">
        <f>SUBTOTAL(109,Vertailu[Rahoitus pl. hark. kor. 2020 ilman alv, €])</f>
        <v>1745109985</v>
      </c>
      <c r="N156" s="352">
        <f>SUBTOTAL(109,Vertailu[Muutos, € 1])</f>
        <v>72984473</v>
      </c>
      <c r="O156" s="379">
        <f>IFERROR(Vertailu[[#Totals],[Muutos, € 1]]/Vertailu[[#Totals],[Rahoitus pl. hark. kor. 2019 ilman alv, €]],0)</f>
        <v>4.3647724095008007E-2</v>
      </c>
      <c r="P156" s="353">
        <f>SUBTOTAL(109,Vertailu[Rahoitus ml. hark. kor. 
2019 ilman alv, €])</f>
        <v>1686626762</v>
      </c>
      <c r="Q156" s="356">
        <f>SUBTOTAL(109,Vertailu[Rahoitus ml. hark. kor. 
2020 ilman alv, €])</f>
        <v>1758384985</v>
      </c>
      <c r="R156" s="353">
        <f>SUBTOTAL(109,Vertailu[Muutos, € 2])</f>
        <v>71758223</v>
      </c>
      <c r="S156" s="354">
        <f>IFERROR(Vertailu[[#Totals],[Muutos, € 2]]/Vertailu[[#Totals],[Rahoitus ml. hark. kor. 
2019 ilman alv, €]],0)</f>
        <v>4.2545407565399464E-2</v>
      </c>
      <c r="T156" s="352">
        <f>SUBTOTAL(109,Vertailu[Rahoitus ml. hark. kor. + alv 2019, €])</f>
        <v>1713611307</v>
      </c>
      <c r="U156" s="356">
        <f>SUBTOTAL(109,Vertailu[Rahoitus ml. hark. kor. + alv 2020, €])</f>
        <v>1788901440</v>
      </c>
      <c r="V156" s="353">
        <f>SUBTOTAL(109,Vertailu[Muutos, € 3])</f>
        <v>75290133</v>
      </c>
      <c r="W156" s="379">
        <f>IFERROR(Vertailu[[#Totals],[Muutos, € 3]]/Vertailu[[#Totals],[Rahoitus ml. hark. kor. + alv 2019, €]],0)</f>
        <v>4.3936529067265313E-2</v>
      </c>
    </row>
    <row r="157" spans="1:23" x14ac:dyDescent="0.25">
      <c r="A157" s="106" t="s">
        <v>895</v>
      </c>
      <c r="E157" s="19">
        <f t="array" ref="E157">AVERAGE(IF(Vertailu[Suorite-perusteinen perusrahoitus (pl. hark. kor.)]&gt;0,Vertailu[Suorite-perusteinen perusrahoitus (pl. hark. kor.)]))</f>
        <v>0.64852219525039434</v>
      </c>
      <c r="F157" s="19">
        <f t="array" ref="F157">AVERAGE(IF(Vertailu[Suorite-perusteinen perusrahoitus (pl. hark. kor.)]&gt;0,Vertailu[Perusrahoitus yhteensä (ml. hark. kor.)]))</f>
        <v>0.67766199175022623</v>
      </c>
      <c r="G157" s="19">
        <f t="array" ref="G157">AVERAGE(IF(Vertailu[Suorite-perusteinen perusrahoitus (pl. hark. kor.)]&gt;0,Vertailu[Suoritus-rahoitus]))</f>
        <v>0.19989129157202395</v>
      </c>
      <c r="H157" s="19">
        <f t="array" ref="H157">AVERAGE(IF(Vertailu[Suorite-perusteinen perusrahoitus (pl. hark. kor.)]&gt;0,Vertailu[Vaikuttavuus-rahoitus yhteensä]))</f>
        <v>0.12244671667774949</v>
      </c>
      <c r="I157" s="19">
        <f t="array" ref="I157">AVERAGE(IF(Vertailu[Suorite-perusteinen perusrahoitus (pl. hark. kor.)]&gt;0,Vertailu[-josta työllistyneet ja jatko-opiskelijat]))</f>
        <v>8.5362379352105486E-2</v>
      </c>
      <c r="J157" s="19">
        <f t="array" ref="J157">AVERAGE(IF(Vertailu[Suorite-perusteinen perusrahoitus (pl. hark. kor.)]&gt;0,Vertailu[-josta aloittaneet opiskelija-palaute]))</f>
        <v>8.7652128517191254E-3</v>
      </c>
      <c r="K157" s="19">
        <f t="array" ref="K157">AVERAGE(IF(Vertailu[Suorite-perusteinen perusrahoitus (pl. hark. kor.)]&gt;0,Vertailu[-josta päättäneet opiskelija-palaute]))</f>
        <v>2.8319124473924904E-2</v>
      </c>
      <c r="L157" s="217">
        <f t="array" ref="L157">AVERAGE(IF(Vertailu[Suorite-perusteinen perusrahoitus (pl. hark. kor.)]&gt;0,Vertailu[Rahoitus pl. hark. kor. 2019 ilman alv, €]))</f>
        <v>11608962.347222222</v>
      </c>
      <c r="M157" s="217">
        <f t="array" ref="M157">AVERAGE(IF(Vertailu[Suorite-perusteinen perusrahoitus (pl. hark. kor.)]&gt;0,Vertailu[Rahoitus pl. hark. kor. 2020 ilman alv, €]))</f>
        <v>12118819.340277778</v>
      </c>
      <c r="N157" s="217">
        <f t="array" ref="N157">AVERAGE(IF(Vertailu[Suorite-perusteinen perusrahoitus (pl. hark. kor.)]&gt;0,Vertailu[Muutos, € 1]))</f>
        <v>509856.99305555556</v>
      </c>
      <c r="O157" s="19">
        <f t="array" ref="O157">AVERAGE(IF(Vertailu[Suorite-perusteinen perusrahoitus (pl. hark. kor.)]&gt;0,Vertailu[Muutos, % 1]))</f>
        <v>6.3984535154317373E-2</v>
      </c>
      <c r="P157" s="217">
        <f t="array" ref="P157">AVERAGE(IF(Vertailu[Suorite-perusteinen perusrahoitus (pl. hark. kor.)]&gt;0,Vertailu[Rahoitus ml. hark. kor. 
2019 ilman alv, €]))</f>
        <v>11707712.347222222</v>
      </c>
      <c r="Q157" s="217">
        <f t="array" ref="Q157">AVERAGE(IF(Vertailu[Suorite-perusteinen perusrahoitus (pl. hark. kor.)]&gt;0,Vertailu[Rahoitus ml. hark. kor. 
2020 ilman alv, €]))</f>
        <v>12211006.840277778</v>
      </c>
      <c r="R157" s="217">
        <f t="array" ref="R157">AVERAGE(IF(Vertailu[Suorite-perusteinen perusrahoitus (pl. hark. kor.)]&gt;0,Vertailu[Muutos, € 2]))</f>
        <v>503294.49305555556</v>
      </c>
      <c r="S157" s="19">
        <f t="array" ref="S157">AVERAGE(IF(Vertailu[Suorite-perusteinen perusrahoitus (pl. hark. kor.)]&gt;0,Vertailu[Muutos, % 2]))</f>
        <v>4.1087735896820576E-2</v>
      </c>
      <c r="T157" s="217">
        <f t="array" ref="T157">AVERAGE(IF(Vertailu[Suorite-perusteinen perusrahoitus (pl. hark. kor.)]&gt;0,Vertailu[Rahoitus ml. hark. kor. + alv 2019, €]))</f>
        <v>11894826.743055556</v>
      </c>
      <c r="U157" s="217">
        <f t="array" ref="U157">AVERAGE(IF(Vertailu[Suorite-perusteinen perusrahoitus (pl. hark. kor.)]&gt;0,Vertailu[Rahoitus ml. hark. kor. 
2019 ilman alv, €]))</f>
        <v>11707712.347222222</v>
      </c>
      <c r="V157" s="217">
        <f t="array" ref="V157">AVERAGE(IF(Vertailu[Suorite-perusteinen perusrahoitus (pl. hark. kor.)]&gt;0,Vertailu[Muutos, € 3]))</f>
        <v>527803.7569444445</v>
      </c>
      <c r="W157" s="19">
        <f t="array" ref="W157">AVERAGE(IF(Vertailu[Suorite-perusteinen perusrahoitus (pl. hark. kor.)]&gt;0,Vertailu[Muutos, % 3]))</f>
        <v>4.5714032246523123E-2</v>
      </c>
    </row>
    <row r="158" spans="1:23" x14ac:dyDescent="0.25">
      <c r="A158"/>
      <c r="B158"/>
      <c r="C158"/>
      <c r="D158"/>
      <c r="E158"/>
      <c r="F158"/>
      <c r="G158"/>
      <c r="H158"/>
      <c r="I158"/>
      <c r="J158"/>
      <c r="K158"/>
      <c r="L158"/>
      <c r="M158"/>
    </row>
    <row r="159" spans="1:23" x14ac:dyDescent="0.25">
      <c r="A159"/>
      <c r="B159"/>
      <c r="C159"/>
      <c r="D159"/>
      <c r="E159"/>
      <c r="F159"/>
      <c r="G159"/>
      <c r="H159"/>
      <c r="I159"/>
      <c r="J159"/>
      <c r="K159"/>
      <c r="L159"/>
      <c r="M159"/>
    </row>
    <row r="160" spans="1:23" x14ac:dyDescent="0.25">
      <c r="A160"/>
      <c r="B160"/>
      <c r="C160"/>
      <c r="D160"/>
      <c r="E160"/>
      <c r="F160"/>
      <c r="G160"/>
      <c r="H160"/>
      <c r="I160"/>
      <c r="J160"/>
      <c r="K160"/>
      <c r="N160" s="25"/>
      <c r="O160" s="25"/>
    </row>
    <row r="161" spans="1:13" x14ac:dyDescent="0.25">
      <c r="A161"/>
      <c r="B161"/>
      <c r="C161"/>
      <c r="D161"/>
      <c r="E161"/>
      <c r="F161"/>
      <c r="G161"/>
      <c r="H161"/>
      <c r="I161"/>
      <c r="J161"/>
      <c r="K161"/>
      <c r="L161"/>
      <c r="M161"/>
    </row>
    <row r="162" spans="1:13" x14ac:dyDescent="0.25">
      <c r="A162"/>
      <c r="B162"/>
      <c r="C162"/>
      <c r="D162"/>
      <c r="E162"/>
      <c r="F162"/>
      <c r="G162"/>
      <c r="H162"/>
      <c r="I162"/>
      <c r="J162"/>
      <c r="K162"/>
      <c r="L162"/>
      <c r="M162"/>
    </row>
    <row r="163" spans="1:13" x14ac:dyDescent="0.25">
      <c r="A163"/>
      <c r="B163"/>
      <c r="C163"/>
      <c r="D163"/>
      <c r="E163"/>
      <c r="F163"/>
      <c r="G163"/>
      <c r="H163"/>
      <c r="I163"/>
      <c r="J163"/>
      <c r="K163"/>
      <c r="L163"/>
      <c r="M163"/>
    </row>
    <row r="164" spans="1:13" x14ac:dyDescent="0.25">
      <c r="A164"/>
      <c r="B164"/>
      <c r="C164"/>
      <c r="D164"/>
      <c r="E164"/>
      <c r="F164"/>
      <c r="G164"/>
      <c r="H164"/>
      <c r="I164"/>
      <c r="J164"/>
      <c r="K164"/>
      <c r="L164"/>
      <c r="M164"/>
    </row>
    <row r="165" spans="1:13" x14ac:dyDescent="0.25">
      <c r="A165"/>
      <c r="B165"/>
      <c r="C165"/>
      <c r="D165"/>
      <c r="E165"/>
      <c r="F165"/>
      <c r="G165"/>
      <c r="H165"/>
      <c r="I165"/>
      <c r="J165"/>
      <c r="K165"/>
      <c r="L165"/>
      <c r="M165"/>
    </row>
    <row r="166" spans="1:13" x14ac:dyDescent="0.25">
      <c r="A166"/>
      <c r="B166"/>
      <c r="C166"/>
      <c r="D166"/>
      <c r="E166"/>
      <c r="F166"/>
      <c r="G166"/>
      <c r="H166"/>
      <c r="I166"/>
      <c r="J166"/>
      <c r="K166"/>
      <c r="L166"/>
      <c r="M166"/>
    </row>
    <row r="167" spans="1:13" x14ac:dyDescent="0.25">
      <c r="A167"/>
      <c r="B167"/>
      <c r="C167"/>
      <c r="D167"/>
      <c r="E167"/>
      <c r="F167"/>
      <c r="G167"/>
      <c r="H167"/>
      <c r="I167"/>
      <c r="J167"/>
      <c r="K167"/>
      <c r="L167"/>
      <c r="M167"/>
    </row>
    <row r="168" spans="1:13" x14ac:dyDescent="0.25">
      <c r="A168"/>
      <c r="B168"/>
      <c r="C168"/>
      <c r="D168"/>
      <c r="E168"/>
      <c r="F168"/>
      <c r="G168"/>
      <c r="H168"/>
      <c r="I168"/>
      <c r="J168"/>
      <c r="K168"/>
      <c r="L168"/>
      <c r="M168"/>
    </row>
    <row r="169" spans="1:13" x14ac:dyDescent="0.25">
      <c r="A169"/>
      <c r="B169"/>
      <c r="C169"/>
      <c r="D169"/>
      <c r="E169"/>
      <c r="F169"/>
      <c r="G169"/>
      <c r="H169"/>
      <c r="I169"/>
      <c r="J169"/>
      <c r="K169"/>
      <c r="L169"/>
      <c r="M169"/>
    </row>
    <row r="170" spans="1:13" x14ac:dyDescent="0.25">
      <c r="A170"/>
      <c r="B170"/>
      <c r="C170"/>
      <c r="D170"/>
      <c r="E170"/>
      <c r="F170"/>
      <c r="G170"/>
      <c r="H170"/>
      <c r="I170"/>
      <c r="J170"/>
      <c r="K170"/>
      <c r="L170"/>
      <c r="M170"/>
    </row>
    <row r="171" spans="1:13" x14ac:dyDescent="0.25">
      <c r="A171"/>
      <c r="B171"/>
      <c r="C171"/>
      <c r="D171"/>
      <c r="E171"/>
      <c r="F171"/>
      <c r="G171"/>
      <c r="H171"/>
      <c r="I171"/>
      <c r="J171"/>
      <c r="K171"/>
      <c r="L171"/>
      <c r="M171"/>
    </row>
    <row r="172" spans="1:13" x14ac:dyDescent="0.25">
      <c r="A172"/>
      <c r="B172"/>
      <c r="C172"/>
      <c r="D172"/>
      <c r="E172"/>
      <c r="F172"/>
      <c r="G172"/>
      <c r="H172"/>
      <c r="I172"/>
      <c r="J172"/>
      <c r="K172"/>
      <c r="L172"/>
      <c r="M172"/>
    </row>
    <row r="173" spans="1:13" x14ac:dyDescent="0.25">
      <c r="A173"/>
      <c r="B173"/>
      <c r="C173"/>
      <c r="D173"/>
      <c r="E173"/>
      <c r="F173"/>
      <c r="G173"/>
      <c r="H173"/>
      <c r="I173"/>
      <c r="J173"/>
      <c r="K173"/>
      <c r="L173"/>
      <c r="M173"/>
    </row>
    <row r="174" spans="1:13" x14ac:dyDescent="0.25">
      <c r="A174"/>
      <c r="B174"/>
      <c r="C174"/>
      <c r="D174"/>
      <c r="E174"/>
      <c r="F174"/>
      <c r="G174"/>
      <c r="H174"/>
      <c r="I174"/>
      <c r="J174"/>
      <c r="K174"/>
      <c r="L174"/>
      <c r="M174"/>
    </row>
    <row r="175" spans="1:13" x14ac:dyDescent="0.25">
      <c r="A175"/>
      <c r="B175"/>
      <c r="C175"/>
      <c r="D175"/>
      <c r="E175"/>
      <c r="F175"/>
      <c r="G175"/>
      <c r="H175"/>
      <c r="I175"/>
      <c r="J175"/>
      <c r="K175"/>
      <c r="L175"/>
      <c r="M175"/>
    </row>
    <row r="176" spans="1:13" x14ac:dyDescent="0.25">
      <c r="A176"/>
      <c r="B176"/>
      <c r="C176"/>
      <c r="D176"/>
      <c r="E176"/>
      <c r="F176"/>
      <c r="G176"/>
      <c r="H176"/>
      <c r="I176"/>
      <c r="J176"/>
      <c r="K176"/>
      <c r="L176"/>
      <c r="M176"/>
    </row>
    <row r="177" spans="1:13" x14ac:dyDescent="0.25">
      <c r="A177"/>
      <c r="B177"/>
      <c r="C177"/>
      <c r="D177"/>
      <c r="E177"/>
      <c r="F177"/>
      <c r="G177"/>
      <c r="H177"/>
      <c r="I177"/>
      <c r="J177"/>
      <c r="K177"/>
      <c r="L177"/>
      <c r="M177"/>
    </row>
    <row r="178" spans="1:13" x14ac:dyDescent="0.25">
      <c r="A178"/>
      <c r="B178"/>
      <c r="C178"/>
      <c r="D178"/>
      <c r="E178"/>
      <c r="F178"/>
      <c r="G178"/>
      <c r="H178"/>
      <c r="I178"/>
      <c r="J178"/>
      <c r="K178"/>
      <c r="L178"/>
      <c r="M178"/>
    </row>
    <row r="179" spans="1:13" x14ac:dyDescent="0.25">
      <c r="A179"/>
      <c r="B179"/>
      <c r="C179"/>
      <c r="D179"/>
      <c r="E179"/>
      <c r="F179"/>
      <c r="G179"/>
      <c r="H179"/>
      <c r="I179"/>
      <c r="J179"/>
      <c r="K179"/>
      <c r="L179"/>
      <c r="M179"/>
    </row>
    <row r="180" spans="1:13" x14ac:dyDescent="0.25">
      <c r="A180"/>
      <c r="B180"/>
      <c r="C180"/>
      <c r="D180"/>
      <c r="E180"/>
      <c r="F180"/>
      <c r="G180"/>
      <c r="H180"/>
      <c r="I180"/>
      <c r="J180"/>
      <c r="K180"/>
      <c r="L180"/>
      <c r="M180"/>
    </row>
    <row r="181" spans="1:13" x14ac:dyDescent="0.25">
      <c r="A181"/>
      <c r="B181"/>
      <c r="C181"/>
      <c r="D181"/>
      <c r="E181"/>
      <c r="F181"/>
      <c r="G181"/>
      <c r="H181"/>
      <c r="I181"/>
      <c r="J181"/>
      <c r="K181"/>
      <c r="L181"/>
      <c r="M181"/>
    </row>
    <row r="182" spans="1:13" x14ac:dyDescent="0.25">
      <c r="A182"/>
      <c r="B182"/>
      <c r="C182"/>
      <c r="D182"/>
      <c r="E182"/>
      <c r="F182"/>
      <c r="G182"/>
      <c r="H182"/>
      <c r="I182"/>
      <c r="J182"/>
      <c r="K182"/>
      <c r="L182"/>
      <c r="M182"/>
    </row>
    <row r="183" spans="1:13" x14ac:dyDescent="0.25">
      <c r="A183"/>
      <c r="B183"/>
      <c r="C183"/>
      <c r="D183"/>
      <c r="E183"/>
      <c r="F183"/>
      <c r="G183"/>
      <c r="H183"/>
      <c r="I183"/>
      <c r="J183"/>
      <c r="K183"/>
      <c r="L183"/>
      <c r="M183"/>
    </row>
    <row r="184" spans="1:13" x14ac:dyDescent="0.25">
      <c r="A184"/>
      <c r="B184"/>
      <c r="C184"/>
      <c r="D184"/>
      <c r="E184"/>
      <c r="F184"/>
      <c r="G184"/>
      <c r="H184"/>
      <c r="I184"/>
      <c r="J184"/>
      <c r="K184"/>
      <c r="L184"/>
      <c r="M184"/>
    </row>
    <row r="185" spans="1:13" x14ac:dyDescent="0.25">
      <c r="A185"/>
      <c r="B185"/>
      <c r="C185"/>
      <c r="D185"/>
      <c r="E185"/>
      <c r="F185"/>
      <c r="G185"/>
      <c r="H185"/>
      <c r="I185"/>
      <c r="J185"/>
      <c r="K185"/>
      <c r="L185"/>
      <c r="M185"/>
    </row>
    <row r="186" spans="1:13" x14ac:dyDescent="0.25">
      <c r="A186"/>
      <c r="B186"/>
      <c r="C186"/>
      <c r="D186"/>
      <c r="E186"/>
      <c r="F186"/>
      <c r="G186"/>
      <c r="H186"/>
      <c r="I186"/>
      <c r="J186"/>
      <c r="K186"/>
      <c r="L186"/>
      <c r="M186"/>
    </row>
    <row r="187" spans="1:13" x14ac:dyDescent="0.25">
      <c r="A187"/>
      <c r="B187"/>
      <c r="C187"/>
      <c r="D187"/>
      <c r="E187"/>
      <c r="F187"/>
      <c r="G187"/>
      <c r="H187"/>
      <c r="I187"/>
      <c r="J187"/>
      <c r="K187"/>
      <c r="L187"/>
      <c r="M187"/>
    </row>
    <row r="188" spans="1:13" x14ac:dyDescent="0.25">
      <c r="A188"/>
      <c r="B188"/>
      <c r="C188"/>
      <c r="D188"/>
      <c r="E188"/>
      <c r="F188"/>
      <c r="G188"/>
      <c r="H188"/>
      <c r="I188"/>
      <c r="J188"/>
      <c r="K188"/>
      <c r="L188"/>
      <c r="M188"/>
    </row>
    <row r="189" spans="1:13" x14ac:dyDescent="0.25">
      <c r="A189"/>
      <c r="B189"/>
      <c r="C189"/>
      <c r="D189"/>
      <c r="E189"/>
      <c r="F189"/>
      <c r="G189"/>
      <c r="H189"/>
      <c r="I189"/>
      <c r="J189"/>
      <c r="K189"/>
      <c r="L189"/>
      <c r="M189"/>
    </row>
    <row r="190" spans="1:13" x14ac:dyDescent="0.25">
      <c r="A190"/>
      <c r="B190"/>
      <c r="C190"/>
      <c r="D190"/>
      <c r="E190"/>
      <c r="F190"/>
      <c r="G190"/>
      <c r="H190"/>
      <c r="I190"/>
      <c r="J190"/>
      <c r="K190"/>
      <c r="L190"/>
      <c r="M190"/>
    </row>
    <row r="191" spans="1:13" x14ac:dyDescent="0.25">
      <c r="A191"/>
      <c r="B191"/>
      <c r="C191"/>
      <c r="D191"/>
      <c r="E191"/>
      <c r="F191"/>
      <c r="G191"/>
      <c r="H191"/>
      <c r="I191"/>
      <c r="J191"/>
      <c r="K191"/>
      <c r="L191"/>
      <c r="M191"/>
    </row>
    <row r="192" spans="1:13" x14ac:dyDescent="0.25">
      <c r="A192"/>
      <c r="B192"/>
      <c r="C192"/>
      <c r="D192"/>
      <c r="E192"/>
      <c r="F192"/>
      <c r="G192"/>
      <c r="H192"/>
      <c r="I192"/>
      <c r="J192"/>
      <c r="K192"/>
      <c r="L192"/>
      <c r="M192"/>
    </row>
    <row r="193" spans="1:13" x14ac:dyDescent="0.25">
      <c r="A193"/>
      <c r="B193"/>
      <c r="C193"/>
      <c r="D193"/>
      <c r="E193"/>
      <c r="F193"/>
      <c r="G193"/>
      <c r="H193"/>
      <c r="I193"/>
      <c r="J193"/>
      <c r="K193"/>
      <c r="L193"/>
      <c r="M193"/>
    </row>
    <row r="194" spans="1:13" x14ac:dyDescent="0.25">
      <c r="A194"/>
      <c r="B194"/>
      <c r="C194"/>
      <c r="D194"/>
      <c r="E194"/>
      <c r="F194"/>
      <c r="G194"/>
      <c r="H194"/>
      <c r="I194"/>
      <c r="J194"/>
      <c r="K194"/>
      <c r="L194"/>
      <c r="M194"/>
    </row>
    <row r="195" spans="1:13" x14ac:dyDescent="0.25">
      <c r="A195"/>
      <c r="B195"/>
      <c r="C195"/>
      <c r="D195"/>
      <c r="E195"/>
      <c r="F195"/>
      <c r="G195"/>
      <c r="H195"/>
      <c r="I195"/>
      <c r="J195"/>
      <c r="K195"/>
      <c r="L195"/>
      <c r="M195"/>
    </row>
    <row r="196" spans="1:13" x14ac:dyDescent="0.25">
      <c r="A196"/>
      <c r="B196"/>
      <c r="C196"/>
      <c r="D196"/>
      <c r="E196"/>
      <c r="F196"/>
      <c r="G196"/>
      <c r="H196"/>
      <c r="I196"/>
      <c r="J196"/>
      <c r="K196"/>
      <c r="L196"/>
      <c r="M196"/>
    </row>
    <row r="197" spans="1:13" x14ac:dyDescent="0.25">
      <c r="A197"/>
      <c r="B197"/>
      <c r="C197"/>
      <c r="D197"/>
      <c r="E197"/>
      <c r="F197"/>
      <c r="G197"/>
      <c r="H197"/>
      <c r="I197"/>
      <c r="J197"/>
      <c r="K197"/>
      <c r="L197"/>
      <c r="M197"/>
    </row>
    <row r="198" spans="1:13" x14ac:dyDescent="0.25">
      <c r="A198"/>
      <c r="B198"/>
      <c r="C198"/>
      <c r="D198"/>
      <c r="E198"/>
      <c r="F198"/>
      <c r="G198"/>
      <c r="H198"/>
      <c r="I198"/>
      <c r="J198"/>
      <c r="K198"/>
      <c r="L198"/>
      <c r="M198"/>
    </row>
    <row r="199" spans="1:13" x14ac:dyDescent="0.25">
      <c r="A199"/>
      <c r="B199"/>
      <c r="C199"/>
      <c r="D199"/>
      <c r="E199"/>
      <c r="F199"/>
      <c r="G199"/>
      <c r="H199"/>
      <c r="I199"/>
      <c r="J199"/>
      <c r="K199"/>
      <c r="L199"/>
      <c r="M199"/>
    </row>
    <row r="200" spans="1:13" x14ac:dyDescent="0.25">
      <c r="A200"/>
      <c r="B200"/>
      <c r="C200"/>
      <c r="D200"/>
      <c r="E200"/>
      <c r="F200"/>
      <c r="G200"/>
      <c r="H200"/>
      <c r="I200"/>
      <c r="J200"/>
      <c r="K200"/>
      <c r="L200"/>
      <c r="M200"/>
    </row>
    <row r="201" spans="1:13" x14ac:dyDescent="0.25">
      <c r="A201"/>
      <c r="B201"/>
      <c r="C201"/>
      <c r="D201"/>
      <c r="E201"/>
      <c r="F201"/>
      <c r="G201"/>
      <c r="H201"/>
      <c r="I201"/>
      <c r="J201"/>
      <c r="K201"/>
      <c r="L201"/>
      <c r="M201"/>
    </row>
    <row r="202" spans="1:13" x14ac:dyDescent="0.25">
      <c r="A202"/>
      <c r="B202"/>
      <c r="C202"/>
      <c r="D202"/>
      <c r="E202"/>
      <c r="F202"/>
      <c r="G202"/>
      <c r="H202"/>
      <c r="I202"/>
      <c r="J202"/>
      <c r="K202"/>
      <c r="L202"/>
      <c r="M202"/>
    </row>
    <row r="203" spans="1:13" x14ac:dyDescent="0.25">
      <c r="A203"/>
      <c r="B203"/>
      <c r="C203"/>
      <c r="D203"/>
      <c r="E203"/>
      <c r="F203"/>
      <c r="G203"/>
      <c r="H203"/>
      <c r="I203"/>
      <c r="J203"/>
      <c r="K203"/>
      <c r="L203"/>
      <c r="M203"/>
    </row>
    <row r="204" spans="1:13" x14ac:dyDescent="0.25">
      <c r="A204"/>
      <c r="B204"/>
      <c r="C204"/>
      <c r="D204"/>
      <c r="E204"/>
      <c r="F204"/>
      <c r="G204"/>
      <c r="H204"/>
      <c r="I204"/>
      <c r="J204"/>
      <c r="K204"/>
      <c r="L204"/>
      <c r="M204"/>
    </row>
    <row r="205" spans="1:13" x14ac:dyDescent="0.25">
      <c r="A205"/>
      <c r="B205"/>
      <c r="C205"/>
      <c r="D205"/>
      <c r="E205"/>
      <c r="F205"/>
      <c r="G205"/>
      <c r="H205"/>
      <c r="I205"/>
      <c r="J205"/>
      <c r="K205"/>
      <c r="L205"/>
      <c r="M205"/>
    </row>
    <row r="206" spans="1:13" x14ac:dyDescent="0.25">
      <c r="A206"/>
      <c r="B206"/>
      <c r="C206"/>
      <c r="D206"/>
      <c r="E206"/>
      <c r="F206"/>
      <c r="G206"/>
      <c r="H206"/>
      <c r="I206"/>
      <c r="J206"/>
      <c r="K206"/>
      <c r="L206"/>
      <c r="M206"/>
    </row>
    <row r="207" spans="1:13" x14ac:dyDescent="0.25">
      <c r="A207"/>
      <c r="B207"/>
      <c r="C207"/>
      <c r="D207"/>
      <c r="E207"/>
      <c r="F207"/>
      <c r="G207"/>
      <c r="H207"/>
      <c r="I207"/>
      <c r="J207"/>
      <c r="K207"/>
      <c r="L207"/>
      <c r="M207"/>
    </row>
    <row r="208" spans="1:13" x14ac:dyDescent="0.25">
      <c r="A208"/>
      <c r="B208"/>
      <c r="C208"/>
      <c r="D208"/>
      <c r="E208"/>
      <c r="F208"/>
      <c r="G208"/>
      <c r="H208"/>
      <c r="I208"/>
      <c r="J208"/>
      <c r="K208"/>
      <c r="L208"/>
      <c r="M208"/>
    </row>
    <row r="209" spans="1:13" x14ac:dyDescent="0.25">
      <c r="A209"/>
      <c r="B209"/>
      <c r="C209"/>
      <c r="D209"/>
      <c r="E209"/>
      <c r="F209"/>
      <c r="G209"/>
      <c r="H209"/>
      <c r="I209"/>
      <c r="J209"/>
      <c r="K209"/>
      <c r="L209"/>
      <c r="M209"/>
    </row>
    <row r="210" spans="1:13" x14ac:dyDescent="0.25">
      <c r="A210"/>
      <c r="B210"/>
      <c r="C210"/>
      <c r="D210"/>
      <c r="E210"/>
      <c r="F210"/>
      <c r="G210"/>
      <c r="H210"/>
      <c r="I210"/>
      <c r="J210"/>
      <c r="K210"/>
      <c r="L210"/>
      <c r="M210"/>
    </row>
    <row r="211" spans="1:13" x14ac:dyDescent="0.25">
      <c r="A211"/>
      <c r="B211"/>
      <c r="C211"/>
      <c r="D211"/>
      <c r="E211"/>
      <c r="F211"/>
      <c r="G211"/>
      <c r="H211"/>
      <c r="I211"/>
      <c r="J211"/>
      <c r="K211"/>
      <c r="L211"/>
      <c r="M211"/>
    </row>
    <row r="212" spans="1:13" x14ac:dyDescent="0.25">
      <c r="A212"/>
      <c r="B212"/>
      <c r="C212"/>
      <c r="D212"/>
      <c r="E212"/>
      <c r="F212"/>
      <c r="G212"/>
      <c r="H212"/>
      <c r="I212"/>
      <c r="J212"/>
      <c r="K212"/>
      <c r="L212"/>
      <c r="M212"/>
    </row>
    <row r="213" spans="1:13" x14ac:dyDescent="0.25">
      <c r="A213"/>
      <c r="B213"/>
      <c r="C213"/>
      <c r="D213"/>
      <c r="E213"/>
      <c r="F213"/>
      <c r="G213"/>
      <c r="H213"/>
      <c r="I213"/>
      <c r="J213"/>
      <c r="K213"/>
      <c r="L213"/>
      <c r="M213"/>
    </row>
    <row r="214" spans="1:13" x14ac:dyDescent="0.25">
      <c r="K214"/>
    </row>
    <row r="215" spans="1:13" x14ac:dyDescent="0.25">
      <c r="K215"/>
    </row>
    <row r="216" spans="1:13" x14ac:dyDescent="0.25">
      <c r="K216"/>
    </row>
    <row r="217" spans="1:13" x14ac:dyDescent="0.25">
      <c r="K217"/>
    </row>
    <row r="218" spans="1:13" x14ac:dyDescent="0.25">
      <c r="K218"/>
    </row>
    <row r="219" spans="1:13" x14ac:dyDescent="0.25">
      <c r="K219"/>
    </row>
    <row r="220" spans="1:13" x14ac:dyDescent="0.25">
      <c r="K220"/>
    </row>
    <row r="221" spans="1:13" x14ac:dyDescent="0.25">
      <c r="K221"/>
    </row>
    <row r="222" spans="1:13" x14ac:dyDescent="0.25">
      <c r="K222"/>
    </row>
    <row r="223" spans="1:13" x14ac:dyDescent="0.25">
      <c r="K223"/>
    </row>
    <row r="224" spans="1:13" x14ac:dyDescent="0.25">
      <c r="K224"/>
    </row>
    <row r="225" spans="11:11" x14ac:dyDescent="0.25">
      <c r="K225"/>
    </row>
    <row r="226" spans="11:11" x14ac:dyDescent="0.25">
      <c r="K226"/>
    </row>
    <row r="227" spans="11:11" x14ac:dyDescent="0.25">
      <c r="K227"/>
    </row>
    <row r="228" spans="11:11" x14ac:dyDescent="0.25">
      <c r="K228"/>
    </row>
  </sheetData>
  <sortState ref="H182:H222">
    <sortCondition ref="H182"/>
  </sortState>
  <mergeCells count="8">
    <mergeCell ref="T3:W4"/>
    <mergeCell ref="L2:O2"/>
    <mergeCell ref="E4:F4"/>
    <mergeCell ref="A2:B4"/>
    <mergeCell ref="H4:K4"/>
    <mergeCell ref="E2:K2"/>
    <mergeCell ref="L3:O4"/>
    <mergeCell ref="P3:S4"/>
  </mergeCells>
  <pageMargins left="0.7" right="0.7" top="0.75" bottom="0.75" header="0.3" footer="0.3"/>
  <pageSetup paperSize="9" orientation="portrait"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DV28"/>
  <sheetViews>
    <sheetView zoomScale="90" zoomScaleNormal="90" workbookViewId="0">
      <pane xSplit="2" ySplit="5" topLeftCell="F6" activePane="bottomRight" state="frozen"/>
      <selection pane="topRight" activeCell="C1" sqref="C1"/>
      <selection pane="bottomLeft" activeCell="A6" sqref="A6"/>
      <selection pane="bottomRight"/>
    </sheetView>
  </sheetViews>
  <sheetFormatPr defaultRowHeight="12.75" x14ac:dyDescent="0.2"/>
  <cols>
    <col min="1" max="1" width="22.7109375" style="25" customWidth="1"/>
    <col min="2" max="2" width="13.28515625" style="25" customWidth="1"/>
    <col min="3" max="5" width="0" style="25" hidden="1" customWidth="1"/>
    <col min="6" max="6" width="16.7109375" style="25" customWidth="1"/>
    <col min="7" max="7" width="18.7109375" style="25" customWidth="1"/>
    <col min="8" max="11" width="10.28515625" style="25" customWidth="1"/>
    <col min="12" max="12" width="12.28515625" style="25" customWidth="1"/>
    <col min="13" max="14" width="10.28515625" style="25" customWidth="1"/>
    <col min="15" max="15" width="12.28515625" style="25" customWidth="1"/>
    <col min="16" max="17" width="10.28515625" style="25" customWidth="1"/>
    <col min="18" max="18" width="12.28515625" style="25" customWidth="1"/>
    <col min="19" max="20" width="10.28515625" style="25" customWidth="1"/>
    <col min="21" max="21" width="12.28515625" style="25" customWidth="1"/>
    <col min="22" max="23" width="10.28515625" style="25" customWidth="1"/>
    <col min="24" max="24" width="12.28515625" style="25" customWidth="1"/>
    <col min="25" max="25" width="10.28515625" style="25" customWidth="1"/>
    <col min="26" max="26" width="15.42578125" style="25" customWidth="1"/>
    <col min="27" max="30" width="10.28515625" style="25" customWidth="1"/>
    <col min="31" max="32" width="11.5703125" style="25" customWidth="1"/>
    <col min="33" max="34" width="10.28515625" style="25" customWidth="1"/>
    <col min="35" max="38" width="11.5703125" style="25" customWidth="1"/>
    <col min="39" max="40" width="10.28515625" style="25" customWidth="1"/>
    <col min="41" max="44" width="25.5703125" style="25" customWidth="1"/>
    <col min="45" max="51" width="13.140625" style="25" customWidth="1"/>
    <col min="52" max="53" width="25.5703125" style="25" customWidth="1"/>
    <col min="54" max="55" width="13.140625" style="25" customWidth="1"/>
    <col min="56" max="126" width="9.140625" style="12"/>
    <col min="127" max="16384" width="9.140625" style="25"/>
  </cols>
  <sheetData>
    <row r="1" spans="1:55" x14ac:dyDescent="0.2">
      <c r="A1" s="106" t="s">
        <v>841</v>
      </c>
      <c r="B1" s="103"/>
    </row>
    <row r="2" spans="1:55" ht="53.25" customHeight="1" x14ac:dyDescent="0.2">
      <c r="A2" s="423" t="s">
        <v>906</v>
      </c>
      <c r="B2" s="423"/>
      <c r="C2" s="81"/>
      <c r="D2" s="81"/>
      <c r="E2" s="81"/>
      <c r="F2" s="394" t="s">
        <v>834</v>
      </c>
      <c r="G2" s="395"/>
      <c r="H2" s="395"/>
      <c r="I2" s="395"/>
      <c r="J2" s="395"/>
      <c r="K2" s="364"/>
      <c r="L2" s="365"/>
      <c r="M2" s="365"/>
      <c r="N2" s="365"/>
      <c r="O2" s="365"/>
      <c r="P2" s="366"/>
      <c r="Q2" s="366"/>
      <c r="R2" s="366"/>
      <c r="S2" s="366"/>
      <c r="T2" s="366"/>
      <c r="U2" s="366"/>
      <c r="V2" s="366"/>
      <c r="W2" s="366"/>
      <c r="X2" s="366"/>
      <c r="Y2" s="365"/>
      <c r="Z2" s="367"/>
      <c r="AA2" s="409" t="s">
        <v>893</v>
      </c>
      <c r="AB2" s="410"/>
      <c r="AC2" s="410"/>
      <c r="AD2" s="410"/>
      <c r="AE2" s="410"/>
      <c r="AF2" s="410"/>
      <c r="AG2" s="410"/>
      <c r="AH2" s="410"/>
      <c r="AI2" s="410"/>
      <c r="AJ2" s="410"/>
      <c r="AK2" s="410"/>
      <c r="AL2" s="410"/>
      <c r="AM2" s="410"/>
      <c r="AN2" s="411"/>
      <c r="AO2" s="406" t="s">
        <v>836</v>
      </c>
      <c r="AP2" s="407"/>
      <c r="AQ2" s="407"/>
      <c r="AR2" s="408"/>
      <c r="AS2" s="425" t="s">
        <v>898</v>
      </c>
      <c r="AT2" s="426"/>
      <c r="AU2" s="426"/>
      <c r="AV2" s="426"/>
      <c r="AW2" s="426"/>
      <c r="AX2" s="426"/>
      <c r="AY2" s="427"/>
      <c r="AZ2" s="419" t="s">
        <v>897</v>
      </c>
      <c r="BA2" s="420"/>
      <c r="BB2" s="420"/>
      <c r="BC2" s="428"/>
    </row>
    <row r="3" spans="1:55" ht="15" customHeight="1" x14ac:dyDescent="0.2">
      <c r="A3" s="423"/>
      <c r="B3" s="423"/>
      <c r="C3" s="81"/>
      <c r="D3" s="81"/>
      <c r="E3" s="81"/>
      <c r="F3" s="391" t="s">
        <v>835</v>
      </c>
      <c r="G3" s="392"/>
      <c r="H3" s="392"/>
      <c r="I3" s="392"/>
      <c r="J3" s="392"/>
      <c r="K3" s="392"/>
      <c r="L3" s="393"/>
      <c r="M3" s="391" t="s">
        <v>882</v>
      </c>
      <c r="N3" s="392"/>
      <c r="O3" s="393"/>
      <c r="P3" s="398" t="s">
        <v>883</v>
      </c>
      <c r="Q3" s="399"/>
      <c r="R3" s="399"/>
      <c r="S3" s="399"/>
      <c r="T3" s="399"/>
      <c r="U3" s="399"/>
      <c r="V3" s="399"/>
      <c r="W3" s="399"/>
      <c r="X3" s="400"/>
      <c r="Y3" s="391" t="s">
        <v>884</v>
      </c>
      <c r="Z3" s="393"/>
      <c r="AA3" s="397" t="s">
        <v>869</v>
      </c>
      <c r="AB3" s="397"/>
      <c r="AC3" s="396" t="s">
        <v>870</v>
      </c>
      <c r="AD3" s="404"/>
      <c r="AE3" s="396" t="s">
        <v>871</v>
      </c>
      <c r="AF3" s="397"/>
      <c r="AG3" s="396" t="s">
        <v>872</v>
      </c>
      <c r="AH3" s="397"/>
      <c r="AI3" s="396" t="s">
        <v>873</v>
      </c>
      <c r="AJ3" s="404"/>
      <c r="AK3" s="397" t="s">
        <v>874</v>
      </c>
      <c r="AL3" s="397"/>
      <c r="AM3" s="396" t="s">
        <v>875</v>
      </c>
      <c r="AN3" s="404"/>
      <c r="AO3" s="414" t="s">
        <v>466</v>
      </c>
      <c r="AP3" s="412" t="s">
        <v>467</v>
      </c>
      <c r="AQ3" s="413" t="s">
        <v>468</v>
      </c>
      <c r="AR3" s="415" t="s">
        <v>842</v>
      </c>
      <c r="AS3" s="36"/>
      <c r="AT3" s="40"/>
      <c r="AU3" s="52"/>
      <c r="AV3" s="37"/>
      <c r="AW3" s="37"/>
      <c r="AX3" s="37"/>
      <c r="AY3" s="40"/>
      <c r="AZ3" s="416" t="s">
        <v>846</v>
      </c>
      <c r="BA3" s="417"/>
      <c r="BB3" s="417"/>
      <c r="BC3" s="418"/>
    </row>
    <row r="4" spans="1:55" ht="29.45" customHeight="1" x14ac:dyDescent="0.2">
      <c r="A4" s="423"/>
      <c r="B4" s="423"/>
      <c r="C4" s="81"/>
      <c r="D4" s="81"/>
      <c r="E4" s="81"/>
      <c r="F4" s="388" t="s">
        <v>226</v>
      </c>
      <c r="G4" s="389"/>
      <c r="H4" s="389"/>
      <c r="I4" s="389"/>
      <c r="J4" s="389"/>
      <c r="K4" s="389"/>
      <c r="L4" s="390"/>
      <c r="M4" s="401" t="s">
        <v>227</v>
      </c>
      <c r="N4" s="402"/>
      <c r="O4" s="403"/>
      <c r="P4" s="401" t="s">
        <v>228</v>
      </c>
      <c r="Q4" s="402"/>
      <c r="R4" s="403"/>
      <c r="S4" s="401" t="s">
        <v>229</v>
      </c>
      <c r="T4" s="402"/>
      <c r="U4" s="403"/>
      <c r="V4" s="401" t="s">
        <v>426</v>
      </c>
      <c r="W4" s="402"/>
      <c r="X4" s="403"/>
      <c r="Y4" s="401" t="s">
        <v>885</v>
      </c>
      <c r="Z4" s="403"/>
      <c r="AA4" s="397"/>
      <c r="AB4" s="397"/>
      <c r="AC4" s="396"/>
      <c r="AD4" s="404"/>
      <c r="AE4" s="396"/>
      <c r="AF4" s="397"/>
      <c r="AG4" s="396"/>
      <c r="AH4" s="397"/>
      <c r="AI4" s="396"/>
      <c r="AJ4" s="404"/>
      <c r="AK4" s="397"/>
      <c r="AL4" s="397"/>
      <c r="AM4" s="396"/>
      <c r="AN4" s="404"/>
      <c r="AO4" s="414"/>
      <c r="AP4" s="412"/>
      <c r="AQ4" s="413"/>
      <c r="AR4" s="415"/>
      <c r="AS4" s="421" t="s">
        <v>843</v>
      </c>
      <c r="AT4" s="422"/>
      <c r="AU4" s="52"/>
      <c r="AV4" s="424" t="s">
        <v>425</v>
      </c>
      <c r="AW4" s="424"/>
      <c r="AX4" s="424"/>
      <c r="AY4" s="422"/>
      <c r="AZ4" s="416"/>
      <c r="BA4" s="417"/>
      <c r="BB4" s="417"/>
      <c r="BC4" s="418"/>
    </row>
    <row r="5" spans="1:55" ht="50.25" customHeight="1" x14ac:dyDescent="0.2">
      <c r="A5" s="33" t="s">
        <v>430</v>
      </c>
      <c r="B5" s="146" t="s">
        <v>451</v>
      </c>
      <c r="C5" s="35" t="s">
        <v>450</v>
      </c>
      <c r="D5" s="35" t="s">
        <v>449</v>
      </c>
      <c r="E5" s="35" t="s">
        <v>452</v>
      </c>
      <c r="F5" s="368" t="s">
        <v>644</v>
      </c>
      <c r="G5" s="369" t="s">
        <v>886</v>
      </c>
      <c r="H5" s="370" t="s">
        <v>234</v>
      </c>
      <c r="I5" s="369" t="s">
        <v>235</v>
      </c>
      <c r="J5" s="31" t="s">
        <v>233</v>
      </c>
      <c r="K5" s="31" t="s">
        <v>221</v>
      </c>
      <c r="L5" s="31" t="s">
        <v>887</v>
      </c>
      <c r="M5" s="30" t="s">
        <v>222</v>
      </c>
      <c r="N5" s="31" t="s">
        <v>223</v>
      </c>
      <c r="O5" s="32" t="s">
        <v>888</v>
      </c>
      <c r="P5" s="31" t="s">
        <v>224</v>
      </c>
      <c r="Q5" s="31" t="s">
        <v>225</v>
      </c>
      <c r="R5" s="31" t="s">
        <v>889</v>
      </c>
      <c r="S5" s="30" t="s">
        <v>230</v>
      </c>
      <c r="T5" s="31" t="s">
        <v>231</v>
      </c>
      <c r="U5" s="32" t="s">
        <v>890</v>
      </c>
      <c r="V5" s="31" t="s">
        <v>237</v>
      </c>
      <c r="W5" s="31" t="s">
        <v>236</v>
      </c>
      <c r="X5" s="31" t="s">
        <v>891</v>
      </c>
      <c r="Y5" s="30" t="s">
        <v>232</v>
      </c>
      <c r="Z5" s="32" t="s">
        <v>892</v>
      </c>
      <c r="AA5" s="28" t="s">
        <v>431</v>
      </c>
      <c r="AB5" s="28" t="s">
        <v>432</v>
      </c>
      <c r="AC5" s="27" t="s">
        <v>421</v>
      </c>
      <c r="AD5" s="29" t="s">
        <v>420</v>
      </c>
      <c r="AE5" s="27" t="s">
        <v>419</v>
      </c>
      <c r="AF5" s="28" t="s">
        <v>418</v>
      </c>
      <c r="AG5" s="27" t="s">
        <v>417</v>
      </c>
      <c r="AH5" s="28" t="s">
        <v>416</v>
      </c>
      <c r="AI5" s="27" t="s">
        <v>415</v>
      </c>
      <c r="AJ5" s="29" t="s">
        <v>414</v>
      </c>
      <c r="AK5" s="28" t="s">
        <v>471</v>
      </c>
      <c r="AL5" s="28" t="s">
        <v>472</v>
      </c>
      <c r="AM5" s="27" t="s">
        <v>473</v>
      </c>
      <c r="AN5" s="29" t="s">
        <v>474</v>
      </c>
      <c r="AO5" s="118" t="s">
        <v>894</v>
      </c>
      <c r="AP5" s="118" t="s">
        <v>469</v>
      </c>
      <c r="AQ5" s="118" t="s">
        <v>470</v>
      </c>
      <c r="AR5" s="114" t="s">
        <v>475</v>
      </c>
      <c r="AS5" s="38" t="s">
        <v>844</v>
      </c>
      <c r="AT5" s="39" t="s">
        <v>845</v>
      </c>
      <c r="AU5" s="53" t="s">
        <v>433</v>
      </c>
      <c r="AV5" s="39" t="s">
        <v>434</v>
      </c>
      <c r="AW5" s="50" t="s">
        <v>435</v>
      </c>
      <c r="AX5" s="50" t="s">
        <v>436</v>
      </c>
      <c r="AY5" s="51" t="s">
        <v>437</v>
      </c>
      <c r="AZ5" s="242" t="s">
        <v>847</v>
      </c>
      <c r="BA5" s="114" t="s">
        <v>848</v>
      </c>
      <c r="BB5" s="41" t="s">
        <v>645</v>
      </c>
      <c r="BC5" s="42" t="s">
        <v>646</v>
      </c>
    </row>
    <row r="6" spans="1:55" x14ac:dyDescent="0.2">
      <c r="A6" s="25" t="s">
        <v>399</v>
      </c>
      <c r="B6" s="25">
        <f>COUNTIF(Ohj.lask.[Maakunta],Maakunt.[[#This Row],[Maakunta]])</f>
        <v>1</v>
      </c>
      <c r="C6" s="25">
        <f>COUNTIFS(Ohj.lask.[Maakunta],Maakunt.[[#This Row],[Maakunta]],Ohj.lask.[Omistajatyyppi],"=yksityinen")</f>
        <v>0</v>
      </c>
      <c r="D6" s="25">
        <f>COUNTIFS(Ohj.lask.[Maakunta],Maakunt.[[#This Row],[Maakunta]],Ohj.lask.[Omistajatyyppi],"=kunta")</f>
        <v>0</v>
      </c>
      <c r="E6" s="25">
        <f>COUNTIFS(Ohj.lask.[Maakunta],Maakunt.[[#This Row],[Maakunta]],Ohj.lask.[Omistajatyyppi],"=kuntayhtymä")</f>
        <v>1</v>
      </c>
      <c r="F6" s="21">
        <f>SUMIF(Ohj.lask.[Maakunta],Maakunt.[[#This Row],[Maakunta]],Ohj.lask.[Järjestämisluvan opisk.vuosien vähimmäismäärä])</f>
        <v>2900</v>
      </c>
      <c r="G6" s="20">
        <f>SUMIF(Ohj.lask.[Maakunta],Maakunt.[[#This Row],[Maakunta]],Ohj.lask.[Suoritepäätöksellä jaettavat opv:t (luvan ylittävä osuus)])</f>
        <v>239</v>
      </c>
      <c r="H6" s="20">
        <f>SUMIF(Ohj.lask.[Maakunta],Maakunt.[[#This Row],[Maakunta]],Ohj.lask.[Tavoitteelliset opiske-lijavuodet])</f>
        <v>3139</v>
      </c>
      <c r="I6" s="84">
        <f>Maakunt.[[#This Row],[Painotetut opiskelija-vuodet]]/Maakunt.[[#This Row],[Tavoitteelliset opiske-lijavuodet]]</f>
        <v>1.0260911118190508</v>
      </c>
      <c r="J6" s="85">
        <f>SUMIF(Ohj.lask.[Maakunta],Maakunt.[[#This Row],[Maakunta]],Ohj.lask.[Painotetut opiskelija-vuodet])</f>
        <v>3220.9</v>
      </c>
      <c r="K6" s="19">
        <f>SUMIF(Ohj.lask.[Maakunta],Maakunt.[[#This Row],[Maakunta]],Ohj.lask.[%-osuus 1])</f>
        <v>1.5978263727421508E-2</v>
      </c>
      <c r="L6" s="20">
        <f>SUMIF(Ohj.lask.[Maakunta],Maakunt.[[#This Row],[Maakunta]],Ohj.lask.[Jaettava € 1])</f>
        <v>19009252</v>
      </c>
      <c r="M6" s="21">
        <f>SUMIF(Ohj.lask.[Maakunta],Maakunt.[[#This Row],[Maakunta]],Ohj.lask.[Painotetut pisteet 2])</f>
        <v>273319.90000000002</v>
      </c>
      <c r="N6" s="19">
        <f>SUMIF(Ohj.lask.[Maakunta],Maakunt.[[#This Row],[Maakunta]],Ohj.lask.[%-osuus 2])</f>
        <v>1.7466305329840046E-2</v>
      </c>
      <c r="O6" s="20">
        <f>SUMIF(Ohj.lask.[Maakunta],Maakunt.[[#This Row],[Maakunta]],Ohj.lask.[Jaettava € 2])</f>
        <v>6467371</v>
      </c>
      <c r="P6" s="21">
        <f>SUMIF(Ohj.lask.[Maakunta],Maakunt.[[#This Row],[Maakunta]],Ohj.lask.[Painotetut pisteet 3])</f>
        <v>3442.4</v>
      </c>
      <c r="Q6" s="19">
        <f>SUMIF(Ohj.lask.[Maakunta],Maakunt.[[#This Row],[Maakunta]],Ohj.lask.[%-osuus 3])</f>
        <v>1.8172527091973343E-2</v>
      </c>
      <c r="R6" s="20">
        <f>SUMIF(Ohj.lask.[Maakunta],Maakunt.[[#This Row],[Maakunta]],Ohj.lask.[Jaettava € 3])</f>
        <v>2523326</v>
      </c>
      <c r="S6" s="21">
        <f>SUMIF(Ohj.lask.[Maakunta],Maakunt.[[#This Row],[Maakunta]],Ohj.lask.[Painotetut pisteet 4])</f>
        <v>27654.6</v>
      </c>
      <c r="T6" s="19">
        <f>SUMIF(Ohj.lask.[Maakunta],Maakunt.[[#This Row],[Maakunta]],Ohj.lask.[%-osuus 4])</f>
        <v>2.2211873576748888E-2</v>
      </c>
      <c r="U6" s="20">
        <f>SUMIF(Ohj.lask.[Maakunta],Maakunt.[[#This Row],[Maakunta]],Ohj.lask.[Jaettava € 4])</f>
        <v>257017</v>
      </c>
      <c r="V6" s="21">
        <f>SUMIF(Ohj.lask.[Maakunta],Maakunt.[[#This Row],[Maakunta]],Ohj.lask.[Painotetut pisteet 5])</f>
        <v>167706</v>
      </c>
      <c r="W6" s="19">
        <f>SUMIF(Ohj.lask.[Maakunta],Maakunt.[[#This Row],[Maakunta]],Ohj.lask.[%-osuus 5])</f>
        <v>2.532521884162697E-2</v>
      </c>
      <c r="X6" s="20">
        <f>SUMIF(Ohj.lask.[Maakunta],Maakunt.[[#This Row],[Maakunta]],Ohj.lask.[Jaettava € 5])</f>
        <v>879126</v>
      </c>
      <c r="Y6" s="22">
        <f>SUMIF(Ohj.lask.[Maakunta],Maakunt.[[#This Row],[Maakunta]],Ohj.lask.[%-osuus 6])</f>
        <v>1.6695848542749584E-2</v>
      </c>
      <c r="Z6" s="20">
        <f>SUMIF(Ohj.lask.[Maakunta],Maakunt.[[#This Row],[Maakunta]],Ohj.lask.[Jaettava € 6])</f>
        <v>29136092</v>
      </c>
      <c r="AA6" s="21">
        <f>SUMIF(Ohj.lask.[Maakunta],Maakunt.[[#This Row],[Maakunta]],Ohj.lask.[Hakemus 1, €])</f>
        <v>450000</v>
      </c>
      <c r="AB6" s="20">
        <f>SUMIF(Ohj.lask.[Maakunta],Maakunt.[[#This Row],[Maakunta]],Ohj.lask.[Päätös 1, €])</f>
        <v>0</v>
      </c>
      <c r="AC6" s="21">
        <f>SUMIF(Ohj.lask.[Maakunta],Maakunt.[[#This Row],[Maakunta]],Ohj.lask.[Hakemus 2, €])</f>
        <v>800000</v>
      </c>
      <c r="AD6" s="20">
        <f>SUMIF(Ohj.lask.[Maakunta],Maakunt.[[#This Row],[Maakunta]],Ohj.lask.[Päätös 2, €])</f>
        <v>0</v>
      </c>
      <c r="AE6" s="21">
        <f>SUMIF(Ohj.lask.[Maakunta],Maakunt.[[#This Row],[Maakunta]],Ohj.lask.[Hakemus 3, €])</f>
        <v>0</v>
      </c>
      <c r="AF6" s="20">
        <f>SUMIF(Ohj.lask.[Maakunta],Maakunt.[[#This Row],[Maakunta]],Ohj.lask.[Päätös 3, €])</f>
        <v>0</v>
      </c>
      <c r="AG6" s="21">
        <f>SUMIF(Ohj.lask.[Maakunta],Maakunt.[[#This Row],[Maakunta]],Ohj.lask.[Hakemus 4, €])</f>
        <v>400000</v>
      </c>
      <c r="AH6" s="20">
        <f>SUMIF(Ohj.lask.[Maakunta],Maakunt.[[#This Row],[Maakunta]],Ohj.lask.[Päätös 4, €])</f>
        <v>0</v>
      </c>
      <c r="AI6" s="21">
        <f>SUMIF(Ohj.lask.[Maakunta],Maakunt.[[#This Row],[Maakunta]],Ohj.lask.[Hakemus 5, €])</f>
        <v>100000</v>
      </c>
      <c r="AJ6" s="26">
        <f>SUMIF(Ohj.lask.[Maakunta],Maakunt.[[#This Row],[Maakunta]],Ohj.lask.[Päätös 5, €])</f>
        <v>100000</v>
      </c>
      <c r="AK6" s="20">
        <f>SUMIF(Ohj.lask.[Maakunta],Maakunt.[[#This Row],[Maakunta]],Ohj.lask.[Hakemus 6, €])</f>
        <v>0</v>
      </c>
      <c r="AL6" s="20">
        <f>SUMIF(Ohj.lask.[Maakunta],Maakunt.[[#This Row],[Maakunta]],Ohj.lask.[Päätös 6, €])</f>
        <v>0</v>
      </c>
      <c r="AM6" s="21">
        <f>Maakunt.[[#This Row],[Hakemus 1, €]]+Maakunt.[[#This Row],[Hakemus 2, €]]+Maakunt.[[#This Row],[Hakemus 3, €]]+Maakunt.[[#This Row],[Hakemus 4, €]]+Maakunt.[[#This Row],[Hakemus 5, €]]+Maakunt.[[#This Row],[Hakemus 6, €]]</f>
        <v>1750000</v>
      </c>
      <c r="AN6" s="20">
        <f>Maakunt.[[#This Row],[Päätös 1, €]]+Maakunt.[[#This Row],[Päätös 2, €]]+Maakunt.[[#This Row],[Päätös 3, €]]+Maakunt.[[#This Row],[Päätös 4, €]]++Maakunt.[[#This Row],[Päätös 5, €]]+Maakunt.[[#This Row],[Päätös 6, €]]</f>
        <v>100000</v>
      </c>
      <c r="AO6" s="21">
        <f>SUMIF(Ohj.lask.[Maakunta],Maakunt.[[#This Row],[Maakunta]],Ohj.lask.[Opiskelijavuosiin perustuva (suoriteperusteinen) sekä harkinnanvarainen korotus, €])</f>
        <v>19109252</v>
      </c>
      <c r="AP6" s="21">
        <f>SUMIF(Ohj.lask.[Maakunta],Maakunt.[[#This Row],[Maakunta]],Ohj.lask.[Suoritusrahoitus, €])</f>
        <v>6467371</v>
      </c>
      <c r="AQ6" s="21">
        <f>SUMIF(Ohj.lask.[Maakunta],Maakunt.[[#This Row],[Maakunta]],Ohj.lask.[Työllistymiseen ja jatko-opintoihin siirtymiseen perustuva sekä opiskelija-palautteisiin perustuva, €])</f>
        <v>3659469</v>
      </c>
      <c r="AR6" s="45">
        <f>SUMIF(Ohj.lask.[Maakunta],Maakunt.[[#This Row],[Maakunta]],Ohj.lask.[Perus-, suoritus- ja vaikuttavuusrahoitus yhteensä, €])</f>
        <v>29236092</v>
      </c>
      <c r="AS6" s="22">
        <f>Maakunt.[[#This Row],[Jaettava € 1]]/Maakunt.[[#This Row],[Perus-, suoritus- ja vaikuttavuusrahoitus yhteensä, €]]</f>
        <v>0.65019811813425676</v>
      </c>
      <c r="AT6" s="46">
        <f>Maakunt.[[#This Row],[Opiskelijavuosiin perustuva (suoriteperusteinen) sekä harkinnanvarainen korotus, €]]/Maakunt.[[#This Row],[Perus-, suoritus- ja vaikuttavuusrahoitus yhteensä, €]]</f>
        <v>0.65361854792357332</v>
      </c>
      <c r="AU6" s="54">
        <f>Maakunt.[[#This Row],[Suoritusrahoitus, €]]/Maakunt.[[#This Row],[Perus-, suoritus- ja vaikuttavuusrahoitus yhteensä, €]]</f>
        <v>0.22121188426962127</v>
      </c>
      <c r="AV6" s="19">
        <f>Maakunt.[[#This Row],[Työllistymiseen ja jatko-opintoihin siirtymiseen perustuva sekä opiskelija-palautteisiin perustuva, €]]/Maakunt.[[#This Row],[Perus-, suoritus- ja vaikuttavuusrahoitus yhteensä, €]]</f>
        <v>0.12516956780680538</v>
      </c>
      <c r="AW6" s="19">
        <f>SUMIF(Ohj.lask.[Maakunta],Maakunt.[[#This Row],[Maakunta]],Ohj.lask.[Jaettava € 3])/Maakunt.[[#This Row],[Perus-, suoritus- ja vaikuttavuusrahoitus yhteensä, €]]</f>
        <v>8.6308594185570353E-2</v>
      </c>
      <c r="AX6" s="19">
        <f>SUMIF(Ohj.lask.[Maakunta],Maakunt.[[#This Row],[Maakunta]],Ohj.lask.[Jaettava € 4])/Maakunt.[[#This Row],[Perus-, suoritus- ja vaikuttavuusrahoitus yhteensä, €]]</f>
        <v>8.7910860316077807E-3</v>
      </c>
      <c r="AY6" s="46">
        <f>SUMIF(Ohj.lask.[Maakunta],Maakunt.[[#This Row],[Maakunta]],Ohj.lask.[Jaettava € 5])/Maakunt.[[#This Row],[Perus-, suoritus- ja vaikuttavuusrahoitus yhteensä, €]]</f>
        <v>3.0069887589627232E-2</v>
      </c>
      <c r="AZ6" s="21">
        <f>SUMIF(Vertailu[Maakunta],Maakunt.[[#This Row],[Maakunta]],Vertailu[Rahoitus ml. hark. kor. 
2019 ilman alv, €])</f>
        <v>29180507</v>
      </c>
      <c r="BA6" s="21">
        <f>SUMIF(Vertailu[Maakunta],Maakunt.[[#This Row],[Maakunta]],Vertailu[Rahoitus ml. hark. kor. 
2020 ilman alv, €])</f>
        <v>29236092</v>
      </c>
      <c r="BB6" s="21">
        <f>SUMIF(Vertailu[Maakunta],Maakunt.[[#This Row],[Maakunta]],Vertailu[Muutos, € 2])</f>
        <v>55585</v>
      </c>
      <c r="BC6" s="46">
        <f>IFERROR(Maakunt.[[#This Row],[Muutos, € 2]]/Maakunt.[[#This Row],[Rahoitus ml. hark. kor. 
2019 ilman alv, €]],0)</f>
        <v>1.9048675199509041E-3</v>
      </c>
    </row>
    <row r="7" spans="1:55" x14ac:dyDescent="0.2">
      <c r="A7" s="25" t="s">
        <v>271</v>
      </c>
      <c r="B7" s="25">
        <f>COUNTIF(Ohj.lask.[Maakunta],Maakunt.[[#This Row],[Maakunta]])</f>
        <v>6</v>
      </c>
      <c r="C7" s="25">
        <f>COUNTIFS(Ohj.lask.[Maakunta],Maakunt.[[#This Row],[Maakunta]],Ohj.lask.[Omistajatyyppi],"=yksityinen")</f>
        <v>3</v>
      </c>
      <c r="D7" s="25">
        <f>COUNTIFS(Ohj.lask.[Maakunta],Maakunt.[[#This Row],[Maakunta]],Ohj.lask.[Omistajatyyppi],"=kunta")</f>
        <v>0</v>
      </c>
      <c r="E7" s="25">
        <f>COUNTIFS(Ohj.lask.[Maakunta],Maakunt.[[#This Row],[Maakunta]],Ohj.lask.[Omistajatyyppi],"=kuntayhtymä")</f>
        <v>3</v>
      </c>
      <c r="F7" s="21">
        <f>SUMIF(Ohj.lask.[Maakunta],Maakunt.[[#This Row],[Maakunta]],Ohj.lask.[Järjestämisluvan opisk.vuosien vähimmäismäärä])</f>
        <v>5951</v>
      </c>
      <c r="G7" s="20">
        <f>SUMIF(Ohj.lask.[Maakunta],Maakunt.[[#This Row],[Maakunta]],Ohj.lask.[Suoritepäätöksellä jaettavat opv:t (luvan ylittävä osuus)])</f>
        <v>719</v>
      </c>
      <c r="H7" s="20">
        <f>SUMIF(Ohj.lask.[Maakunta],Maakunt.[[#This Row],[Maakunta]],Ohj.lask.[Tavoitteelliset opiske-lijavuodet])</f>
        <v>6670</v>
      </c>
      <c r="I7" s="84">
        <f>Maakunt.[[#This Row],[Painotetut opiskelija-vuodet]]/Maakunt.[[#This Row],[Tavoitteelliset opiske-lijavuodet]]</f>
        <v>1.0588455772113943</v>
      </c>
      <c r="J7" s="85">
        <f>SUMIF(Ohj.lask.[Maakunta],Maakunt.[[#This Row],[Maakunta]],Ohj.lask.[Painotetut opiskelija-vuodet])</f>
        <v>7062.5</v>
      </c>
      <c r="K7" s="19">
        <f>SUMIF(Ohj.lask.[Maakunta],Maakunt.[[#This Row],[Maakunta]],Ohj.lask.[%-osuus 1])</f>
        <v>3.5035700448605794E-2</v>
      </c>
      <c r="L7" s="20">
        <f>SUMIF(Ohj.lask.[Maakunta],Maakunt.[[#This Row],[Maakunta]],Ohj.lask.[Jaettava € 1])</f>
        <v>41681781</v>
      </c>
      <c r="M7" s="21">
        <f>SUMIF(Ohj.lask.[Maakunta],Maakunt.[[#This Row],[Maakunta]],Ohj.lask.[Painotetut pisteet 2])</f>
        <v>615334.1</v>
      </c>
      <c r="N7" s="19">
        <f>SUMIF(Ohj.lask.[Maakunta],Maakunt.[[#This Row],[Maakunta]],Ohj.lask.[%-osuus 2])</f>
        <v>3.9322468910834248E-2</v>
      </c>
      <c r="O7" s="20">
        <f>SUMIF(Ohj.lask.[Maakunta],Maakunt.[[#This Row],[Maakunta]],Ohj.lask.[Jaettava € 2])</f>
        <v>14560205</v>
      </c>
      <c r="P7" s="21">
        <f>SUMIF(Ohj.lask.[Maakunta],Maakunt.[[#This Row],[Maakunta]],Ohj.lask.[Painotetut pisteet 3])</f>
        <v>7894.8999999999987</v>
      </c>
      <c r="Q7" s="19">
        <f>SUMIF(Ohj.lask.[Maakunta],Maakunt.[[#This Row],[Maakunta]],Ohj.lask.[%-osuus 3])</f>
        <v>4.1677400690919228E-2</v>
      </c>
      <c r="R7" s="20">
        <f>SUMIF(Ohj.lask.[Maakunta],Maakunt.[[#This Row],[Maakunta]],Ohj.lask.[Jaettava € 3])</f>
        <v>5787069</v>
      </c>
      <c r="S7" s="21">
        <f>SUMIF(Ohj.lask.[Maakunta],Maakunt.[[#This Row],[Maakunta]],Ohj.lask.[Painotetut pisteet 4])</f>
        <v>46073.4</v>
      </c>
      <c r="T7" s="19">
        <f>SUMIF(Ohj.lask.[Maakunta],Maakunt.[[#This Row],[Maakunta]],Ohj.lask.[%-osuus 4])</f>
        <v>3.7005653166235719E-2</v>
      </c>
      <c r="U7" s="20">
        <f>SUMIF(Ohj.lask.[Maakunta],Maakunt.[[#This Row],[Maakunta]],Ohj.lask.[Jaettava € 4])</f>
        <v>428199</v>
      </c>
      <c r="V7" s="21">
        <f>SUMIF(Ohj.lask.[Maakunta],Maakunt.[[#This Row],[Maakunta]],Ohj.lask.[Painotetut pisteet 5])</f>
        <v>373760.60000000003</v>
      </c>
      <c r="W7" s="19">
        <f>SUMIF(Ohj.lask.[Maakunta],Maakunt.[[#This Row],[Maakunta]],Ohj.lask.[%-osuus 5])</f>
        <v>5.6441445084718503E-2</v>
      </c>
      <c r="X7" s="20">
        <f>SUMIF(Ohj.lask.[Maakunta],Maakunt.[[#This Row],[Maakunta]],Ohj.lask.[Jaettava € 5])</f>
        <v>1959279</v>
      </c>
      <c r="Y7" s="22">
        <f>SUMIF(Ohj.lask.[Maakunta],Maakunt.[[#This Row],[Maakunta]],Ohj.lask.[%-osuus 6])</f>
        <v>3.6912592073673797E-2</v>
      </c>
      <c r="Z7" s="20">
        <f>SUMIF(Ohj.lask.[Maakunta],Maakunt.[[#This Row],[Maakunta]],Ohj.lask.[Jaettava € 6])</f>
        <v>64416533</v>
      </c>
      <c r="AA7" s="21">
        <f>SUMIF(Ohj.lask.[Maakunta],Maakunt.[[#This Row],[Maakunta]],Ohj.lask.[Hakemus 1, €])</f>
        <v>30000</v>
      </c>
      <c r="AB7" s="20">
        <f>SUMIF(Ohj.lask.[Maakunta],Maakunt.[[#This Row],[Maakunta]],Ohj.lask.[Päätös 1, €])</f>
        <v>0</v>
      </c>
      <c r="AC7" s="21">
        <f>SUMIF(Ohj.lask.[Maakunta],Maakunt.[[#This Row],[Maakunta]],Ohj.lask.[Hakemus 2, €])</f>
        <v>200000</v>
      </c>
      <c r="AD7" s="20">
        <f>SUMIF(Ohj.lask.[Maakunta],Maakunt.[[#This Row],[Maakunta]],Ohj.lask.[Päätös 2, €])</f>
        <v>0</v>
      </c>
      <c r="AE7" s="21">
        <f>SUMIF(Ohj.lask.[Maakunta],Maakunt.[[#This Row],[Maakunta]],Ohj.lask.[Hakemus 3, €])</f>
        <v>430000</v>
      </c>
      <c r="AF7" s="20">
        <f>SUMIF(Ohj.lask.[Maakunta],Maakunt.[[#This Row],[Maakunta]],Ohj.lask.[Päätös 3, €])</f>
        <v>0</v>
      </c>
      <c r="AG7" s="21">
        <f>SUMIF(Ohj.lask.[Maakunta],Maakunt.[[#This Row],[Maakunta]],Ohj.lask.[Hakemus 4, €])</f>
        <v>800000</v>
      </c>
      <c r="AH7" s="20">
        <f>SUMIF(Ohj.lask.[Maakunta],Maakunt.[[#This Row],[Maakunta]],Ohj.lask.[Päätös 4, €])</f>
        <v>0</v>
      </c>
      <c r="AI7" s="21">
        <f>SUMIF(Ohj.lask.[Maakunta],Maakunt.[[#This Row],[Maakunta]],Ohj.lask.[Hakemus 5, €])</f>
        <v>210000</v>
      </c>
      <c r="AJ7" s="26">
        <f>SUMIF(Ohj.lask.[Maakunta],Maakunt.[[#This Row],[Maakunta]],Ohj.lask.[Päätös 5, €])</f>
        <v>0</v>
      </c>
      <c r="AK7" s="20">
        <f>SUMIF(Ohj.lask.[Maakunta],Maakunt.[[#This Row],[Maakunta]],Ohj.lask.[Hakemus 6, €])</f>
        <v>35000</v>
      </c>
      <c r="AL7" s="20">
        <f>SUMIF(Ohj.lask.[Maakunta],Maakunt.[[#This Row],[Maakunta]],Ohj.lask.[Päätös 6, €])</f>
        <v>15000</v>
      </c>
      <c r="AM7" s="21">
        <f>Maakunt.[[#This Row],[Hakemus 1, €]]+Maakunt.[[#This Row],[Hakemus 2, €]]+Maakunt.[[#This Row],[Hakemus 3, €]]+Maakunt.[[#This Row],[Hakemus 4, €]]+Maakunt.[[#This Row],[Hakemus 5, €]]+Maakunt.[[#This Row],[Hakemus 6, €]]</f>
        <v>1705000</v>
      </c>
      <c r="AN7" s="20">
        <f>Maakunt.[[#This Row],[Päätös 1, €]]+Maakunt.[[#This Row],[Päätös 2, €]]+Maakunt.[[#This Row],[Päätös 3, €]]+Maakunt.[[#This Row],[Päätös 4, €]]++Maakunt.[[#This Row],[Päätös 5, €]]+Maakunt.[[#This Row],[Päätös 6, €]]</f>
        <v>15000</v>
      </c>
      <c r="AO7" s="21">
        <f>SUMIF(Ohj.lask.[Maakunta],Maakunt.[[#This Row],[Maakunta]],Ohj.lask.[Opiskelijavuosiin perustuva (suoriteperusteinen) sekä harkinnanvarainen korotus, €])</f>
        <v>41696781</v>
      </c>
      <c r="AP7" s="21">
        <f>SUMIF(Ohj.lask.[Maakunta],Maakunt.[[#This Row],[Maakunta]],Ohj.lask.[Suoritusrahoitus, €])</f>
        <v>14560205</v>
      </c>
      <c r="AQ7" s="21">
        <f>SUMIF(Ohj.lask.[Maakunta],Maakunt.[[#This Row],[Maakunta]],Ohj.lask.[Työllistymiseen ja jatko-opintoihin siirtymiseen perustuva sekä opiskelija-palautteisiin perustuva, €])</f>
        <v>8174547</v>
      </c>
      <c r="AR7" s="45">
        <f>SUMIF(Ohj.lask.[Maakunta],Maakunt.[[#This Row],[Maakunta]],Ohj.lask.[Perus-, suoritus- ja vaikuttavuusrahoitus yhteensä, €])</f>
        <v>64431533</v>
      </c>
      <c r="AS7" s="22">
        <f>Maakunt.[[#This Row],[Jaettava € 1]]/Maakunt.[[#This Row],[Perus-, suoritus- ja vaikuttavuusrahoitus yhteensä, €]]</f>
        <v>0.64691586649040311</v>
      </c>
      <c r="AT7" s="19">
        <f>Maakunt.[[#This Row],[Opiskelijavuosiin perustuva (suoriteperusteinen) sekä harkinnanvarainen korotus, €]]/Maakunt.[[#This Row],[Perus-, suoritus- ja vaikuttavuusrahoitus yhteensä, €]]</f>
        <v>0.64714867175362722</v>
      </c>
      <c r="AU7" s="54">
        <f>Maakunt.[[#This Row],[Suoritusrahoitus, €]]/Maakunt.[[#This Row],[Perus-, suoritus- ja vaikuttavuusrahoitus yhteensä, €]]</f>
        <v>0.22597949050816468</v>
      </c>
      <c r="AV7" s="19">
        <f>Maakunt.[[#This Row],[Työllistymiseen ja jatko-opintoihin siirtymiseen perustuva sekä opiskelija-palautteisiin perustuva, €]]/Maakunt.[[#This Row],[Perus-, suoritus- ja vaikuttavuusrahoitus yhteensä, €]]</f>
        <v>0.12687183773820809</v>
      </c>
      <c r="AW7" s="19">
        <f>SUMIF(Ohj.lask.[Maakunta],Maakunt.[[#This Row],[Maakunta]],Ohj.lask.[Jaettava € 3])/Maakunt.[[#This Row],[Perus-, suoritus- ja vaikuttavuusrahoitus yhteensä, €]]</f>
        <v>8.9817341456084859E-2</v>
      </c>
      <c r="AX7" s="19">
        <f>SUMIF(Ohj.lask.[Maakunta],Maakunt.[[#This Row],[Maakunta]],Ohj.lask.[Jaettava € 4])/Maakunt.[[#This Row],[Perus-, suoritus- ja vaikuttavuusrahoitus yhteensä, €]]</f>
        <v>6.6457987271542956E-3</v>
      </c>
      <c r="AY7" s="46">
        <f>SUMIF(Ohj.lask.[Maakunta],Maakunt.[[#This Row],[Maakunta]],Ohj.lask.[Jaettava € 5])/Maakunt.[[#This Row],[Perus-, suoritus- ja vaikuttavuusrahoitus yhteensä, €]]</f>
        <v>3.040869755496893E-2</v>
      </c>
      <c r="AZ7" s="21">
        <f>SUMIF(Vertailu[Maakunta],Maakunt.[[#This Row],[Maakunta]],Vertailu[Rahoitus ml. hark. kor. 
2019 ilman alv, €])</f>
        <v>59726000</v>
      </c>
      <c r="BA7" s="21">
        <f>SUMIF(Vertailu[Maakunta],Maakunt.[[#This Row],[Maakunta]],Vertailu[Rahoitus ml. hark. kor. 
2020 ilman alv, €])</f>
        <v>64431533</v>
      </c>
      <c r="BB7" s="21">
        <f>SUMIF(Vertailu[Maakunta],Maakunt.[[#This Row],[Maakunta]],Vertailu[Muutos, € 2])</f>
        <v>4705533</v>
      </c>
      <c r="BC7" s="46">
        <f>IFERROR(Maakunt.[[#This Row],[Muutos, € 2]]/Maakunt.[[#This Row],[Rahoitus ml. hark. kor. 
2019 ilman alv, €]],0)</f>
        <v>7.8785336369420353E-2</v>
      </c>
    </row>
    <row r="8" spans="1:55" x14ac:dyDescent="0.2">
      <c r="A8" s="25" t="s">
        <v>272</v>
      </c>
      <c r="B8" s="25">
        <f>COUNTIF(Ohj.lask.[Maakunta],Maakunt.[[#This Row],[Maakunta]])</f>
        <v>5</v>
      </c>
      <c r="C8" s="25">
        <f>COUNTIFS(Ohj.lask.[Maakunta],Maakunt.[[#This Row],[Maakunta]],Ohj.lask.[Omistajatyyppi],"=yksityinen")</f>
        <v>4</v>
      </c>
      <c r="D8" s="25">
        <f>COUNTIFS(Ohj.lask.[Maakunta],Maakunt.[[#This Row],[Maakunta]],Ohj.lask.[Omistajatyyppi],"=kunta")</f>
        <v>0</v>
      </c>
      <c r="E8" s="25">
        <f>COUNTIFS(Ohj.lask.[Maakunta],Maakunt.[[#This Row],[Maakunta]],Ohj.lask.[Omistajatyyppi],"=kuntayhtymä")</f>
        <v>1</v>
      </c>
      <c r="F8" s="21">
        <f>SUMIF(Ohj.lask.[Maakunta],Maakunt.[[#This Row],[Maakunta]],Ohj.lask.[Järjestämisluvan opisk.vuosien vähimmäismäärä])</f>
        <v>4083</v>
      </c>
      <c r="G8" s="20">
        <f>SUMIF(Ohj.lask.[Maakunta],Maakunt.[[#This Row],[Maakunta]],Ohj.lask.[Suoritepäätöksellä jaettavat opv:t (luvan ylittävä osuus)])</f>
        <v>204</v>
      </c>
      <c r="H8" s="20">
        <f>SUMIF(Ohj.lask.[Maakunta],Maakunt.[[#This Row],[Maakunta]],Ohj.lask.[Tavoitteelliset opiske-lijavuodet])</f>
        <v>4287</v>
      </c>
      <c r="I8" s="84">
        <f>Maakunt.[[#This Row],[Painotetut opiskelija-vuodet]]/Maakunt.[[#This Row],[Tavoitteelliset opiske-lijavuodet]]</f>
        <v>1.130277583391649</v>
      </c>
      <c r="J8" s="85">
        <f>SUMIF(Ohj.lask.[Maakunta],Maakunt.[[#This Row],[Maakunta]],Ohj.lask.[Painotetut opiskelija-vuodet])</f>
        <v>4845.4999999999991</v>
      </c>
      <c r="K8" s="19">
        <f>SUMIF(Ohj.lask.[Maakunta],Maakunt.[[#This Row],[Maakunta]],Ohj.lask.[%-osuus 1])</f>
        <v>2.4037591012208048E-2</v>
      </c>
      <c r="L8" s="20">
        <f>SUMIF(Ohj.lask.[Maakunta],Maakunt.[[#This Row],[Maakunta]],Ohj.lask.[Jaettava € 1])</f>
        <v>28597390</v>
      </c>
      <c r="M8" s="21">
        <f>SUMIF(Ohj.lask.[Maakunta],Maakunt.[[#This Row],[Maakunta]],Ohj.lask.[Painotetut pisteet 2])</f>
        <v>427064.80000000005</v>
      </c>
      <c r="N8" s="19">
        <f>SUMIF(Ohj.lask.[Maakunta],Maakunt.[[#This Row],[Maakunta]],Ohj.lask.[%-osuus 2])</f>
        <v>2.7291259042708099E-2</v>
      </c>
      <c r="O8" s="20">
        <f>SUMIF(Ohj.lask.[Maakunta],Maakunt.[[#This Row],[Maakunta]],Ohj.lask.[Jaettava € 2])</f>
        <v>10105325</v>
      </c>
      <c r="P8" s="21">
        <f>SUMIF(Ohj.lask.[Maakunta],Maakunt.[[#This Row],[Maakunta]],Ohj.lask.[Painotetut pisteet 3])</f>
        <v>5756.8</v>
      </c>
      <c r="Q8" s="19">
        <f>SUMIF(Ohj.lask.[Maakunta],Maakunt.[[#This Row],[Maakunta]],Ohj.lask.[%-osuus 3])</f>
        <v>3.0390310237936365E-2</v>
      </c>
      <c r="R8" s="20">
        <f>SUMIF(Ohj.lask.[Maakunta],Maakunt.[[#This Row],[Maakunta]],Ohj.lask.[Jaettava € 3])</f>
        <v>4219813</v>
      </c>
      <c r="S8" s="21">
        <f>SUMIF(Ohj.lask.[Maakunta],Maakunt.[[#This Row],[Maakunta]],Ohj.lask.[Painotetut pisteet 4])</f>
        <v>31716.699999999997</v>
      </c>
      <c r="T8" s="19">
        <f>SUMIF(Ohj.lask.[Maakunta],Maakunt.[[#This Row],[Maakunta]],Ohj.lask.[%-osuus 4])</f>
        <v>2.5474508062733561E-2</v>
      </c>
      <c r="U8" s="20">
        <f>SUMIF(Ohj.lask.[Maakunta],Maakunt.[[#This Row],[Maakunta]],Ohj.lask.[Jaettava € 4])</f>
        <v>294770</v>
      </c>
      <c r="V8" s="21">
        <f>SUMIF(Ohj.lask.[Maakunta],Maakunt.[[#This Row],[Maakunta]],Ohj.lask.[Painotetut pisteet 5])</f>
        <v>112146.59999999999</v>
      </c>
      <c r="W8" s="19">
        <f>SUMIF(Ohj.lask.[Maakunta],Maakunt.[[#This Row],[Maakunta]],Ohj.lask.[%-osuus 5])</f>
        <v>1.693521512256212E-2</v>
      </c>
      <c r="X8" s="20">
        <f>SUMIF(Ohj.lask.[Maakunta],Maakunt.[[#This Row],[Maakunta]],Ohj.lask.[Jaettava € 5])</f>
        <v>587880</v>
      </c>
      <c r="Y8" s="22">
        <f>SUMIF(Ohj.lask.[Maakunta],Maakunt.[[#This Row],[Maakunta]],Ohj.lask.[%-osuus 6])</f>
        <v>2.5101671743629383E-2</v>
      </c>
      <c r="Z8" s="20">
        <f>SUMIF(Ohj.lask.[Maakunta],Maakunt.[[#This Row],[Maakunta]],Ohj.lask.[Jaettava € 6])</f>
        <v>43805178</v>
      </c>
      <c r="AA8" s="21">
        <f>SUMIF(Ohj.lask.[Maakunta],Maakunt.[[#This Row],[Maakunta]],Ohj.lask.[Hakemus 1, €])</f>
        <v>300000</v>
      </c>
      <c r="AB8" s="20">
        <f>SUMIF(Ohj.lask.[Maakunta],Maakunt.[[#This Row],[Maakunta]],Ohj.lask.[Päätös 1, €])</f>
        <v>0</v>
      </c>
      <c r="AC8" s="21">
        <f>SUMIF(Ohj.lask.[Maakunta],Maakunt.[[#This Row],[Maakunta]],Ohj.lask.[Hakemus 2, €])</f>
        <v>0</v>
      </c>
      <c r="AD8" s="20">
        <f>SUMIF(Ohj.lask.[Maakunta],Maakunt.[[#This Row],[Maakunta]],Ohj.lask.[Päätös 2, €])</f>
        <v>0</v>
      </c>
      <c r="AE8" s="21">
        <f>SUMIF(Ohj.lask.[Maakunta],Maakunt.[[#This Row],[Maakunta]],Ohj.lask.[Hakemus 3, €])</f>
        <v>75000</v>
      </c>
      <c r="AF8" s="20">
        <f>SUMIF(Ohj.lask.[Maakunta],Maakunt.[[#This Row],[Maakunta]],Ohj.lask.[Päätös 3, €])</f>
        <v>0</v>
      </c>
      <c r="AG8" s="21">
        <f>SUMIF(Ohj.lask.[Maakunta],Maakunt.[[#This Row],[Maakunta]],Ohj.lask.[Hakemus 4, €])</f>
        <v>200000</v>
      </c>
      <c r="AH8" s="20">
        <f>SUMIF(Ohj.lask.[Maakunta],Maakunt.[[#This Row],[Maakunta]],Ohj.lask.[Päätös 4, €])</f>
        <v>0</v>
      </c>
      <c r="AI8" s="21">
        <f>SUMIF(Ohj.lask.[Maakunta],Maakunt.[[#This Row],[Maakunta]],Ohj.lask.[Hakemus 5, €])</f>
        <v>225000</v>
      </c>
      <c r="AJ8" s="26">
        <f>SUMIF(Ohj.lask.[Maakunta],Maakunt.[[#This Row],[Maakunta]],Ohj.lask.[Päätös 5, €])</f>
        <v>190000</v>
      </c>
      <c r="AK8" s="20">
        <f>SUMIF(Ohj.lask.[Maakunta],Maakunt.[[#This Row],[Maakunta]],Ohj.lask.[Hakemus 6, €])</f>
        <v>0</v>
      </c>
      <c r="AL8" s="20">
        <f>SUMIF(Ohj.lask.[Maakunta],Maakunt.[[#This Row],[Maakunta]],Ohj.lask.[Päätös 6, €])</f>
        <v>0</v>
      </c>
      <c r="AM8" s="21">
        <f>Maakunt.[[#This Row],[Hakemus 1, €]]+Maakunt.[[#This Row],[Hakemus 2, €]]+Maakunt.[[#This Row],[Hakemus 3, €]]+Maakunt.[[#This Row],[Hakemus 4, €]]+Maakunt.[[#This Row],[Hakemus 5, €]]+Maakunt.[[#This Row],[Hakemus 6, €]]</f>
        <v>800000</v>
      </c>
      <c r="AN8" s="20">
        <f>Maakunt.[[#This Row],[Päätös 1, €]]+Maakunt.[[#This Row],[Päätös 2, €]]+Maakunt.[[#This Row],[Päätös 3, €]]+Maakunt.[[#This Row],[Päätös 4, €]]++Maakunt.[[#This Row],[Päätös 5, €]]+Maakunt.[[#This Row],[Päätös 6, €]]</f>
        <v>190000</v>
      </c>
      <c r="AO8" s="21">
        <f>SUMIF(Ohj.lask.[Maakunta],Maakunt.[[#This Row],[Maakunta]],Ohj.lask.[Opiskelijavuosiin perustuva (suoriteperusteinen) sekä harkinnanvarainen korotus, €])</f>
        <v>28787390</v>
      </c>
      <c r="AP8" s="21">
        <f>SUMIF(Ohj.lask.[Maakunta],Maakunt.[[#This Row],[Maakunta]],Ohj.lask.[Suoritusrahoitus, €])</f>
        <v>10105325</v>
      </c>
      <c r="AQ8" s="21">
        <f>SUMIF(Ohj.lask.[Maakunta],Maakunt.[[#This Row],[Maakunta]],Ohj.lask.[Työllistymiseen ja jatko-opintoihin siirtymiseen perustuva sekä opiskelija-palautteisiin perustuva, €])</f>
        <v>5102463</v>
      </c>
      <c r="AR8" s="45">
        <f>SUMIF(Ohj.lask.[Maakunta],Maakunt.[[#This Row],[Maakunta]],Ohj.lask.[Perus-, suoritus- ja vaikuttavuusrahoitus yhteensä, €])</f>
        <v>43995178</v>
      </c>
      <c r="AS8" s="22">
        <f>Maakunt.[[#This Row],[Jaettava € 1]]/Maakunt.[[#This Row],[Perus-, suoritus- ja vaikuttavuusrahoitus yhteensä, €]]</f>
        <v>0.65001191721510931</v>
      </c>
      <c r="AT8" s="19">
        <f>Maakunt.[[#This Row],[Opiskelijavuosiin perustuva (suoriteperusteinen) sekä harkinnanvarainen korotus, €]]/Maakunt.[[#This Row],[Perus-, suoritus- ja vaikuttavuusrahoitus yhteensä, €]]</f>
        <v>0.65433057231863001</v>
      </c>
      <c r="AU8" s="54">
        <f>Maakunt.[[#This Row],[Suoritusrahoitus, €]]/Maakunt.[[#This Row],[Perus-, suoritus- ja vaikuttavuusrahoitus yhteensä, €]]</f>
        <v>0.22969164938939446</v>
      </c>
      <c r="AV8" s="19">
        <f>Maakunt.[[#This Row],[Työllistymiseen ja jatko-opintoihin siirtymiseen perustuva sekä opiskelija-palautteisiin perustuva, €]]/Maakunt.[[#This Row],[Perus-, suoritus- ja vaikuttavuusrahoitus yhteensä, €]]</f>
        <v>0.11597777829197554</v>
      </c>
      <c r="AW8" s="19">
        <f>SUMIF(Ohj.lask.[Maakunta],Maakunt.[[#This Row],[Maakunta]],Ohj.lask.[Jaettava € 3])/Maakunt.[[#This Row],[Perus-, suoritus- ja vaikuttavuusrahoitus yhteensä, €]]</f>
        <v>9.5915352359751793E-2</v>
      </c>
      <c r="AX8" s="19">
        <f>SUMIF(Ohj.lask.[Maakunta],Maakunt.[[#This Row],[Maakunta]],Ohj.lask.[Jaettava € 4])/Maakunt.[[#This Row],[Perus-, suoritus- ja vaikuttavuusrahoitus yhteensä, €]]</f>
        <v>6.7000524466567677E-3</v>
      </c>
      <c r="AY8" s="46">
        <f>SUMIF(Ohj.lask.[Maakunta],Maakunt.[[#This Row],[Maakunta]],Ohj.lask.[Jaettava € 5])/Maakunt.[[#This Row],[Perus-, suoritus- ja vaikuttavuusrahoitus yhteensä, €]]</f>
        <v>1.3362373485566986E-2</v>
      </c>
      <c r="AZ8" s="21">
        <f>SUMIF(Vertailu[Maakunta],Maakunt.[[#This Row],[Maakunta]],Vertailu[Rahoitus ml. hark. kor. 
2019 ilman alv, €])</f>
        <v>41976764</v>
      </c>
      <c r="BA8" s="21">
        <f>SUMIF(Vertailu[Maakunta],Maakunt.[[#This Row],[Maakunta]],Vertailu[Rahoitus ml. hark. kor. 
2020 ilman alv, €])</f>
        <v>43995178</v>
      </c>
      <c r="BB8" s="21">
        <f>SUMIF(Vertailu[Maakunta],Maakunt.[[#This Row],[Maakunta]],Vertailu[Muutos, € 2])</f>
        <v>2018414</v>
      </c>
      <c r="BC8" s="46">
        <f>IFERROR(Maakunt.[[#This Row],[Muutos, € 2]]/Maakunt.[[#This Row],[Rahoitus ml. hark. kor. 
2019 ilman alv, €]],0)</f>
        <v>4.8084078134274476E-2</v>
      </c>
    </row>
    <row r="9" spans="1:55" x14ac:dyDescent="0.2">
      <c r="A9" s="25" t="s">
        <v>248</v>
      </c>
      <c r="B9" s="25">
        <f>COUNTIF(Ohj.lask.[Maakunta],Maakunt.[[#This Row],[Maakunta]])</f>
        <v>1</v>
      </c>
      <c r="C9" s="25">
        <f>COUNTIFS(Ohj.lask.[Maakunta],Maakunt.[[#This Row],[Maakunta]],Ohj.lask.[Omistajatyyppi],"=yksityinen")</f>
        <v>0</v>
      </c>
      <c r="D9" s="25">
        <f>COUNTIFS(Ohj.lask.[Maakunta],Maakunt.[[#This Row],[Maakunta]],Ohj.lask.[Omistajatyyppi],"=kunta")</f>
        <v>1</v>
      </c>
      <c r="E9" s="25">
        <f>COUNTIFS(Ohj.lask.[Maakunta],Maakunt.[[#This Row],[Maakunta]],Ohj.lask.[Omistajatyyppi],"=kuntayhtymä")</f>
        <v>0</v>
      </c>
      <c r="F9" s="21">
        <f>SUMIF(Ohj.lask.[Maakunta],Maakunt.[[#This Row],[Maakunta]],Ohj.lask.[Järjestämisluvan opisk.vuosien vähimmäismäärä])</f>
        <v>2561</v>
      </c>
      <c r="G9" s="20">
        <f>SUMIF(Ohj.lask.[Maakunta],Maakunt.[[#This Row],[Maakunta]],Ohj.lask.[Suoritepäätöksellä jaettavat opv:t (luvan ylittävä osuus)])</f>
        <v>263</v>
      </c>
      <c r="H9" s="20">
        <f>SUMIF(Ohj.lask.[Maakunta],Maakunt.[[#This Row],[Maakunta]],Ohj.lask.[Tavoitteelliset opiske-lijavuodet])</f>
        <v>2824</v>
      </c>
      <c r="I9" s="84">
        <f>Maakunt.[[#This Row],[Painotetut opiskelija-vuodet]]/Maakunt.[[#This Row],[Tavoitteelliset opiske-lijavuodet]]</f>
        <v>1.091643059490085</v>
      </c>
      <c r="J9" s="85">
        <f>SUMIF(Ohj.lask.[Maakunta],Maakunt.[[#This Row],[Maakunta]],Ohj.lask.[Painotetut opiskelija-vuodet])</f>
        <v>3082.8</v>
      </c>
      <c r="K9" s="19">
        <f>SUMIF(Ohj.lask.[Maakunta],Maakunt.[[#This Row],[Maakunta]],Ohj.lask.[%-osuus 1])</f>
        <v>1.5293176260950362E-2</v>
      </c>
      <c r="L9" s="20">
        <f>SUMIF(Ohj.lask.[Maakunta],Maakunt.[[#This Row],[Maakunta]],Ohj.lask.[Jaettava € 1])</f>
        <v>18194208</v>
      </c>
      <c r="M9" s="21">
        <f>SUMIF(Ohj.lask.[Maakunta],Maakunt.[[#This Row],[Maakunta]],Ohj.lask.[Painotetut pisteet 2])</f>
        <v>251439.8</v>
      </c>
      <c r="N9" s="19">
        <f>SUMIF(Ohj.lask.[Maakunta],Maakunt.[[#This Row],[Maakunta]],Ohj.lask.[%-osuus 2])</f>
        <v>1.6068073780481824E-2</v>
      </c>
      <c r="O9" s="20">
        <f>SUMIF(Ohj.lask.[Maakunta],Maakunt.[[#This Row],[Maakunta]],Ohj.lask.[Jaettava € 2])</f>
        <v>5949638</v>
      </c>
      <c r="P9" s="21">
        <f>SUMIF(Ohj.lask.[Maakunta],Maakunt.[[#This Row],[Maakunta]],Ohj.lask.[Painotetut pisteet 3])</f>
        <v>3425.3</v>
      </c>
      <c r="Q9" s="19">
        <f>SUMIF(Ohj.lask.[Maakunta],Maakunt.[[#This Row],[Maakunta]],Ohj.lask.[%-osuus 3])</f>
        <v>1.8082255707685423E-2</v>
      </c>
      <c r="R9" s="20">
        <f>SUMIF(Ohj.lask.[Maakunta],Maakunt.[[#This Row],[Maakunta]],Ohj.lask.[Jaettava € 3])</f>
        <v>2510791</v>
      </c>
      <c r="S9" s="21">
        <f>SUMIF(Ohj.lask.[Maakunta],Maakunt.[[#This Row],[Maakunta]],Ohj.lask.[Painotetut pisteet 4])</f>
        <v>23991.5</v>
      </c>
      <c r="T9" s="19">
        <f>SUMIF(Ohj.lask.[Maakunta],Maakunt.[[#This Row],[Maakunta]],Ohj.lask.[%-osuus 4])</f>
        <v>1.9269711545875586E-2</v>
      </c>
      <c r="U9" s="20">
        <f>SUMIF(Ohj.lask.[Maakunta],Maakunt.[[#This Row],[Maakunta]],Ohj.lask.[Jaettava € 4])</f>
        <v>222973</v>
      </c>
      <c r="V9" s="21">
        <f>SUMIF(Ohj.lask.[Maakunta],Maakunt.[[#This Row],[Maakunta]],Ohj.lask.[Painotetut pisteet 5])</f>
        <v>136394.79999999999</v>
      </c>
      <c r="W9" s="19">
        <f>SUMIF(Ohj.lask.[Maakunta],Maakunt.[[#This Row],[Maakunta]],Ohj.lask.[%-osuus 5])</f>
        <v>2.0596926519384769E-2</v>
      </c>
      <c r="X9" s="20">
        <f>SUMIF(Ohj.lask.[Maakunta],Maakunt.[[#This Row],[Maakunta]],Ohj.lask.[Jaettava € 5])</f>
        <v>714991</v>
      </c>
      <c r="Y9" s="22">
        <f>SUMIF(Ohj.lask.[Maakunta],Maakunt.[[#This Row],[Maakunta]],Ohj.lask.[%-osuus 6])</f>
        <v>1.5811382226433138E-2</v>
      </c>
      <c r="Z9" s="20">
        <f>SUMIF(Ohj.lask.[Maakunta],Maakunt.[[#This Row],[Maakunta]],Ohj.lask.[Jaettava € 6])</f>
        <v>27592601</v>
      </c>
      <c r="AA9" s="21">
        <f>SUMIF(Ohj.lask.[Maakunta],Maakunt.[[#This Row],[Maakunta]],Ohj.lask.[Hakemus 1, €])</f>
        <v>250000</v>
      </c>
      <c r="AB9" s="20">
        <f>SUMIF(Ohj.lask.[Maakunta],Maakunt.[[#This Row],[Maakunta]],Ohj.lask.[Päätös 1, €])</f>
        <v>0</v>
      </c>
      <c r="AC9" s="21">
        <f>SUMIF(Ohj.lask.[Maakunta],Maakunt.[[#This Row],[Maakunta]],Ohj.lask.[Hakemus 2, €])</f>
        <v>0</v>
      </c>
      <c r="AD9" s="20">
        <f>SUMIF(Ohj.lask.[Maakunta],Maakunt.[[#This Row],[Maakunta]],Ohj.lask.[Päätös 2, €])</f>
        <v>0</v>
      </c>
      <c r="AE9" s="21">
        <f>SUMIF(Ohj.lask.[Maakunta],Maakunt.[[#This Row],[Maakunta]],Ohj.lask.[Hakemus 3, €])</f>
        <v>0</v>
      </c>
      <c r="AF9" s="20">
        <f>SUMIF(Ohj.lask.[Maakunta],Maakunt.[[#This Row],[Maakunta]],Ohj.lask.[Päätös 3, €])</f>
        <v>0</v>
      </c>
      <c r="AG9" s="21">
        <f>SUMIF(Ohj.lask.[Maakunta],Maakunt.[[#This Row],[Maakunta]],Ohj.lask.[Hakemus 4, €])</f>
        <v>0</v>
      </c>
      <c r="AH9" s="20">
        <f>SUMIF(Ohj.lask.[Maakunta],Maakunt.[[#This Row],[Maakunta]],Ohj.lask.[Päätös 4, €])</f>
        <v>0</v>
      </c>
      <c r="AI9" s="21">
        <f>SUMIF(Ohj.lask.[Maakunta],Maakunt.[[#This Row],[Maakunta]],Ohj.lask.[Hakemus 5, €])</f>
        <v>50000</v>
      </c>
      <c r="AJ9" s="26">
        <f>SUMIF(Ohj.lask.[Maakunta],Maakunt.[[#This Row],[Maakunta]],Ohj.lask.[Päätös 5, €])</f>
        <v>0</v>
      </c>
      <c r="AK9" s="20">
        <f>SUMIF(Ohj.lask.[Maakunta],Maakunt.[[#This Row],[Maakunta]],Ohj.lask.[Hakemus 6, €])</f>
        <v>0</v>
      </c>
      <c r="AL9" s="20">
        <f>SUMIF(Ohj.lask.[Maakunta],Maakunt.[[#This Row],[Maakunta]],Ohj.lask.[Päätös 6, €])</f>
        <v>0</v>
      </c>
      <c r="AM9" s="21">
        <f>Maakunt.[[#This Row],[Hakemus 1, €]]+Maakunt.[[#This Row],[Hakemus 2, €]]+Maakunt.[[#This Row],[Hakemus 3, €]]+Maakunt.[[#This Row],[Hakemus 4, €]]+Maakunt.[[#This Row],[Hakemus 5, €]]+Maakunt.[[#This Row],[Hakemus 6, €]]</f>
        <v>300000</v>
      </c>
      <c r="AN9" s="20">
        <f>Maakunt.[[#This Row],[Päätös 1, €]]+Maakunt.[[#This Row],[Päätös 2, €]]+Maakunt.[[#This Row],[Päätös 3, €]]+Maakunt.[[#This Row],[Päätös 4, €]]++Maakunt.[[#This Row],[Päätös 5, €]]+Maakunt.[[#This Row],[Päätös 6, €]]</f>
        <v>0</v>
      </c>
      <c r="AO9" s="21">
        <f>SUMIF(Ohj.lask.[Maakunta],Maakunt.[[#This Row],[Maakunta]],Ohj.lask.[Opiskelijavuosiin perustuva (suoriteperusteinen) sekä harkinnanvarainen korotus, €])</f>
        <v>18194208</v>
      </c>
      <c r="AP9" s="21">
        <f>SUMIF(Ohj.lask.[Maakunta],Maakunt.[[#This Row],[Maakunta]],Ohj.lask.[Suoritusrahoitus, €])</f>
        <v>5949638</v>
      </c>
      <c r="AQ9" s="21">
        <f>SUMIF(Ohj.lask.[Maakunta],Maakunt.[[#This Row],[Maakunta]],Ohj.lask.[Työllistymiseen ja jatko-opintoihin siirtymiseen perustuva sekä opiskelija-palautteisiin perustuva, €])</f>
        <v>3448755</v>
      </c>
      <c r="AR9" s="45">
        <f>SUMIF(Ohj.lask.[Maakunta],Maakunt.[[#This Row],[Maakunta]],Ohj.lask.[Perus-, suoritus- ja vaikuttavuusrahoitus yhteensä, €])</f>
        <v>27592601</v>
      </c>
      <c r="AS9" s="22">
        <f>Maakunt.[[#This Row],[Jaettava € 1]]/Maakunt.[[#This Row],[Perus-, suoritus- ja vaikuttavuusrahoitus yhteensä, €]]</f>
        <v>0.65938720311289245</v>
      </c>
      <c r="AT9" s="19">
        <f>Maakunt.[[#This Row],[Opiskelijavuosiin perustuva (suoriteperusteinen) sekä harkinnanvarainen korotus, €]]/Maakunt.[[#This Row],[Perus-, suoritus- ja vaikuttavuusrahoitus yhteensä, €]]</f>
        <v>0.65938720311289245</v>
      </c>
      <c r="AU9" s="54">
        <f>Maakunt.[[#This Row],[Suoritusrahoitus, €]]/Maakunt.[[#This Row],[Perus-, suoritus- ja vaikuttavuusrahoitus yhteensä, €]]</f>
        <v>0.21562439872921005</v>
      </c>
      <c r="AV9" s="19">
        <f>Maakunt.[[#This Row],[Työllistymiseen ja jatko-opintoihin siirtymiseen perustuva sekä opiskelija-palautteisiin perustuva, €]]/Maakunt.[[#This Row],[Perus-, suoritus- ja vaikuttavuusrahoitus yhteensä, €]]</f>
        <v>0.12498839815789747</v>
      </c>
      <c r="AW9" s="19">
        <f>SUMIF(Ohj.lask.[Maakunta],Maakunt.[[#This Row],[Maakunta]],Ohj.lask.[Jaettava € 3])/Maakunt.[[#This Row],[Perus-, suoritus- ja vaikuttavuusrahoitus yhteensä, €]]</f>
        <v>9.0995082341095712E-2</v>
      </c>
      <c r="AX9" s="19">
        <f>SUMIF(Ohj.lask.[Maakunta],Maakunt.[[#This Row],[Maakunta]],Ohj.lask.[Jaettava € 4])/Maakunt.[[#This Row],[Perus-, suoritus- ja vaikuttavuusrahoitus yhteensä, €]]</f>
        <v>8.0808982089075262E-3</v>
      </c>
      <c r="AY9" s="46">
        <f>SUMIF(Ohj.lask.[Maakunta],Maakunt.[[#This Row],[Maakunta]],Ohj.lask.[Jaettava € 5])/Maakunt.[[#This Row],[Perus-, suoritus- ja vaikuttavuusrahoitus yhteensä, €]]</f>
        <v>2.5912417607894232E-2</v>
      </c>
      <c r="AZ9" s="21">
        <f>SUMIF(Vertailu[Maakunta],Maakunt.[[#This Row],[Maakunta]],Vertailu[Rahoitus ml. hark. kor. 
2019 ilman alv, €])</f>
        <v>25331672</v>
      </c>
      <c r="BA9" s="21">
        <f>SUMIF(Vertailu[Maakunta],Maakunt.[[#This Row],[Maakunta]],Vertailu[Rahoitus ml. hark. kor. 
2020 ilman alv, €])</f>
        <v>27592601</v>
      </c>
      <c r="BB9" s="21">
        <f>SUMIF(Vertailu[Maakunta],Maakunt.[[#This Row],[Maakunta]],Vertailu[Muutos, € 2])</f>
        <v>2260929</v>
      </c>
      <c r="BC9" s="46">
        <f>IFERROR(Maakunt.[[#This Row],[Muutos, € 2]]/Maakunt.[[#This Row],[Rahoitus ml. hark. kor. 
2019 ilman alv, €]],0)</f>
        <v>8.9253050489521576E-2</v>
      </c>
    </row>
    <row r="10" spans="1:55" x14ac:dyDescent="0.2">
      <c r="A10" s="25" t="s">
        <v>334</v>
      </c>
      <c r="B10" s="25">
        <f>COUNTIF(Ohj.lask.[Maakunta],Maakunt.[[#This Row],[Maakunta]])</f>
        <v>6</v>
      </c>
      <c r="C10" s="25">
        <f>COUNTIFS(Ohj.lask.[Maakunta],Maakunt.[[#This Row],[Maakunta]],Ohj.lask.[Omistajatyyppi],"=yksityinen")</f>
        <v>4</v>
      </c>
      <c r="D10" s="25">
        <f>COUNTIFS(Ohj.lask.[Maakunta],Maakunt.[[#This Row],[Maakunta]],Ohj.lask.[Omistajatyyppi],"=kunta")</f>
        <v>0</v>
      </c>
      <c r="E10" s="25">
        <f>COUNTIFS(Ohj.lask.[Maakunta],Maakunt.[[#This Row],[Maakunta]],Ohj.lask.[Omistajatyyppi],"=kuntayhtymä")</f>
        <v>2</v>
      </c>
      <c r="F10" s="21">
        <f>SUMIF(Ohj.lask.[Maakunta],Maakunt.[[#This Row],[Maakunta]],Ohj.lask.[Järjestämisluvan opisk.vuosien vähimmäismäärä])</f>
        <v>4670</v>
      </c>
      <c r="G10" s="20">
        <f>SUMIF(Ohj.lask.[Maakunta],Maakunt.[[#This Row],[Maakunta]],Ohj.lask.[Suoritepäätöksellä jaettavat opv:t (luvan ylittävä osuus)])</f>
        <v>331</v>
      </c>
      <c r="H10" s="20">
        <f>SUMIF(Ohj.lask.[Maakunta],Maakunt.[[#This Row],[Maakunta]],Ohj.lask.[Tavoitteelliset opiske-lijavuodet])</f>
        <v>5001</v>
      </c>
      <c r="I10" s="84">
        <f>Maakunt.[[#This Row],[Painotetut opiskelija-vuodet]]/Maakunt.[[#This Row],[Tavoitteelliset opiske-lijavuodet]]</f>
        <v>1.5756648670265947</v>
      </c>
      <c r="J10" s="85">
        <f>SUMIF(Ohj.lask.[Maakunta],Maakunt.[[#This Row],[Maakunta]],Ohj.lask.[Painotetut opiskelija-vuodet])</f>
        <v>7879.9000000000005</v>
      </c>
      <c r="K10" s="19">
        <f>SUMIF(Ohj.lask.[Maakunta],Maakunt.[[#This Row],[Maakunta]],Ohj.lask.[%-osuus 1])</f>
        <v>3.9090664207429203E-2</v>
      </c>
      <c r="L10" s="20">
        <f>SUMIF(Ohj.lask.[Maakunta],Maakunt.[[#This Row],[Maakunta]],Ohj.lask.[Jaettava € 1])</f>
        <v>46505948</v>
      </c>
      <c r="M10" s="21">
        <f>SUMIF(Ohj.lask.[Maakunta],Maakunt.[[#This Row],[Maakunta]],Ohj.lask.[Painotetut pisteet 2])</f>
        <v>503539.90000000008</v>
      </c>
      <c r="N10" s="19">
        <f>SUMIF(Ohj.lask.[Maakunta],Maakunt.[[#This Row],[Maakunta]],Ohj.lask.[%-osuus 2])</f>
        <v>3.2178343542336736E-2</v>
      </c>
      <c r="O10" s="20">
        <f>SUMIF(Ohj.lask.[Maakunta],Maakunt.[[#This Row],[Maakunta]],Ohj.lask.[Jaettava € 2])</f>
        <v>11914901</v>
      </c>
      <c r="P10" s="21">
        <f>SUMIF(Ohj.lask.[Maakunta],Maakunt.[[#This Row],[Maakunta]],Ohj.lask.[Painotetut pisteet 3])</f>
        <v>5440.5</v>
      </c>
      <c r="Q10" s="19">
        <f>SUMIF(Ohj.lask.[Maakunta],Maakunt.[[#This Row],[Maakunta]],Ohj.lask.[%-osuus 3])</f>
        <v>2.872055358002585E-2</v>
      </c>
      <c r="R10" s="20">
        <f>SUMIF(Ohj.lask.[Maakunta],Maakunt.[[#This Row],[Maakunta]],Ohj.lask.[Jaettava € 3])</f>
        <v>3987960</v>
      </c>
      <c r="S10" s="21">
        <f>SUMIF(Ohj.lask.[Maakunta],Maakunt.[[#This Row],[Maakunta]],Ohj.lask.[Painotetut pisteet 4])</f>
        <v>40324.300000000003</v>
      </c>
      <c r="T10" s="19">
        <f>SUMIF(Ohj.lask.[Maakunta],Maakunt.[[#This Row],[Maakunta]],Ohj.lask.[%-osuus 4])</f>
        <v>3.2388038650745098E-2</v>
      </c>
      <c r="U10" s="20">
        <f>SUMIF(Ohj.lask.[Maakunta],Maakunt.[[#This Row],[Maakunta]],Ohj.lask.[Jaettava € 4])</f>
        <v>374767</v>
      </c>
      <c r="V10" s="21">
        <f>SUMIF(Ohj.lask.[Maakunta],Maakunt.[[#This Row],[Maakunta]],Ohj.lask.[Painotetut pisteet 5])</f>
        <v>223326.99999999997</v>
      </c>
      <c r="W10" s="19">
        <f>SUMIF(Ohj.lask.[Maakunta],Maakunt.[[#This Row],[Maakunta]],Ohj.lask.[%-osuus 5])</f>
        <v>3.3724524753103807E-2</v>
      </c>
      <c r="X10" s="20">
        <f>SUMIF(Ohj.lask.[Maakunta],Maakunt.[[#This Row],[Maakunta]],Ohj.lask.[Jaettava € 5])</f>
        <v>1170694</v>
      </c>
      <c r="Y10" s="22">
        <f>SUMIF(Ohj.lask.[Maakunta],Maakunt.[[#This Row],[Maakunta]],Ohj.lask.[%-osuus 6])</f>
        <v>3.6647701606039459E-2</v>
      </c>
      <c r="Z10" s="20">
        <f>SUMIF(Ohj.lask.[Maakunta],Maakunt.[[#This Row],[Maakunta]],Ohj.lask.[Jaettava € 6])</f>
        <v>63954270</v>
      </c>
      <c r="AA10" s="21">
        <f>SUMIF(Ohj.lask.[Maakunta],Maakunt.[[#This Row],[Maakunta]],Ohj.lask.[Hakemus 1, €])</f>
        <v>370000</v>
      </c>
      <c r="AB10" s="20">
        <f>SUMIF(Ohj.lask.[Maakunta],Maakunt.[[#This Row],[Maakunta]],Ohj.lask.[Päätös 1, €])</f>
        <v>0</v>
      </c>
      <c r="AC10" s="21">
        <f>SUMIF(Ohj.lask.[Maakunta],Maakunt.[[#This Row],[Maakunta]],Ohj.lask.[Hakemus 2, €])</f>
        <v>0</v>
      </c>
      <c r="AD10" s="20">
        <f>SUMIF(Ohj.lask.[Maakunta],Maakunt.[[#This Row],[Maakunta]],Ohj.lask.[Päätös 2, €])</f>
        <v>0</v>
      </c>
      <c r="AE10" s="21">
        <f>SUMIF(Ohj.lask.[Maakunta],Maakunt.[[#This Row],[Maakunta]],Ohj.lask.[Hakemus 3, €])</f>
        <v>0</v>
      </c>
      <c r="AF10" s="20">
        <f>SUMIF(Ohj.lask.[Maakunta],Maakunt.[[#This Row],[Maakunta]],Ohj.lask.[Päätös 3, €])</f>
        <v>120000</v>
      </c>
      <c r="AG10" s="21">
        <f>SUMIF(Ohj.lask.[Maakunta],Maakunt.[[#This Row],[Maakunta]],Ohj.lask.[Hakemus 4, €])</f>
        <v>0</v>
      </c>
      <c r="AH10" s="20">
        <f>SUMIF(Ohj.lask.[Maakunta],Maakunt.[[#This Row],[Maakunta]],Ohj.lask.[Päätös 4, €])</f>
        <v>170000</v>
      </c>
      <c r="AI10" s="21">
        <f>SUMIF(Ohj.lask.[Maakunta],Maakunt.[[#This Row],[Maakunta]],Ohj.lask.[Hakemus 5, €])</f>
        <v>307000</v>
      </c>
      <c r="AJ10" s="26">
        <f>SUMIF(Ohj.lask.[Maakunta],Maakunt.[[#This Row],[Maakunta]],Ohj.lask.[Päätös 5, €])</f>
        <v>0</v>
      </c>
      <c r="AK10" s="20">
        <f>SUMIF(Ohj.lask.[Maakunta],Maakunt.[[#This Row],[Maakunta]],Ohj.lask.[Hakemus 6, €])</f>
        <v>0</v>
      </c>
      <c r="AL10" s="20">
        <f>SUMIF(Ohj.lask.[Maakunta],Maakunt.[[#This Row],[Maakunta]],Ohj.lask.[Päätös 6, €])</f>
        <v>0</v>
      </c>
      <c r="AM10" s="21">
        <f>Maakunt.[[#This Row],[Hakemus 1, €]]+Maakunt.[[#This Row],[Hakemus 2, €]]+Maakunt.[[#This Row],[Hakemus 3, €]]+Maakunt.[[#This Row],[Hakemus 4, €]]+Maakunt.[[#This Row],[Hakemus 5, €]]+Maakunt.[[#This Row],[Hakemus 6, €]]</f>
        <v>677000</v>
      </c>
      <c r="AN10" s="20">
        <f>Maakunt.[[#This Row],[Päätös 1, €]]+Maakunt.[[#This Row],[Päätös 2, €]]+Maakunt.[[#This Row],[Päätös 3, €]]+Maakunt.[[#This Row],[Päätös 4, €]]++Maakunt.[[#This Row],[Päätös 5, €]]+Maakunt.[[#This Row],[Päätös 6, €]]</f>
        <v>290000</v>
      </c>
      <c r="AO10" s="21">
        <f>SUMIF(Ohj.lask.[Maakunta],Maakunt.[[#This Row],[Maakunta]],Ohj.lask.[Opiskelijavuosiin perustuva (suoriteperusteinen) sekä harkinnanvarainen korotus, €])</f>
        <v>46795948</v>
      </c>
      <c r="AP10" s="21">
        <f>SUMIF(Ohj.lask.[Maakunta],Maakunt.[[#This Row],[Maakunta]],Ohj.lask.[Suoritusrahoitus, €])</f>
        <v>11914901</v>
      </c>
      <c r="AQ10" s="21">
        <f>SUMIF(Ohj.lask.[Maakunta],Maakunt.[[#This Row],[Maakunta]],Ohj.lask.[Työllistymiseen ja jatko-opintoihin siirtymiseen perustuva sekä opiskelija-palautteisiin perustuva, €])</f>
        <v>5533421</v>
      </c>
      <c r="AR10" s="45">
        <f>SUMIF(Ohj.lask.[Maakunta],Maakunt.[[#This Row],[Maakunta]],Ohj.lask.[Perus-, suoritus- ja vaikuttavuusrahoitus yhteensä, €])</f>
        <v>64244270</v>
      </c>
      <c r="AS10" s="22">
        <f>Maakunt.[[#This Row],[Jaettava € 1]]/Maakunt.[[#This Row],[Perus-, suoritus- ja vaikuttavuusrahoitus yhteensä, €]]</f>
        <v>0.72389254325716523</v>
      </c>
      <c r="AT10" s="19">
        <f>Maakunt.[[#This Row],[Opiskelijavuosiin perustuva (suoriteperusteinen) sekä harkinnanvarainen korotus, €]]/Maakunt.[[#This Row],[Perus-, suoritus- ja vaikuttavuusrahoitus yhteensä, €]]</f>
        <v>0.72840656450762065</v>
      </c>
      <c r="AU10" s="54">
        <f>Maakunt.[[#This Row],[Suoritusrahoitus, €]]/Maakunt.[[#This Row],[Perus-, suoritus- ja vaikuttavuusrahoitus yhteensä, €]]</f>
        <v>0.18546247003818395</v>
      </c>
      <c r="AV10" s="19">
        <f>Maakunt.[[#This Row],[Työllistymiseen ja jatko-opintoihin siirtymiseen perustuva sekä opiskelija-palautteisiin perustuva, €]]/Maakunt.[[#This Row],[Perus-, suoritus- ja vaikuttavuusrahoitus yhteensä, €]]</f>
        <v>8.6130965454195366E-2</v>
      </c>
      <c r="AW10" s="19">
        <f>SUMIF(Ohj.lask.[Maakunta],Maakunt.[[#This Row],[Maakunta]],Ohj.lask.[Jaettava € 3])/Maakunt.[[#This Row],[Perus-, suoritus- ja vaikuttavuusrahoitus yhteensä, €]]</f>
        <v>6.2074952365401614E-2</v>
      </c>
      <c r="AX10" s="19">
        <f>SUMIF(Ohj.lask.[Maakunta],Maakunt.[[#This Row],[Maakunta]],Ohj.lask.[Jaettava € 4])/Maakunt.[[#This Row],[Perus-, suoritus- ja vaikuttavuusrahoitus yhteensä, €]]</f>
        <v>5.8334696619636271E-3</v>
      </c>
      <c r="AY10" s="46">
        <f>SUMIF(Ohj.lask.[Maakunta],Maakunt.[[#This Row],[Maakunta]],Ohj.lask.[Jaettava € 5])/Maakunt.[[#This Row],[Perus-, suoritus- ja vaikuttavuusrahoitus yhteensä, €]]</f>
        <v>1.8222543426830128E-2</v>
      </c>
      <c r="AZ10" s="21">
        <f>SUMIF(Vertailu[Maakunta],Maakunt.[[#This Row],[Maakunta]],Vertailu[Rahoitus ml. hark. kor. 
2019 ilman alv, €])</f>
        <v>59946968</v>
      </c>
      <c r="BA10" s="21">
        <f>SUMIF(Vertailu[Maakunta],Maakunt.[[#This Row],[Maakunta]],Vertailu[Rahoitus ml. hark. kor. 
2020 ilman alv, €])</f>
        <v>64244270</v>
      </c>
      <c r="BB10" s="21">
        <f>SUMIF(Vertailu[Maakunta],Maakunt.[[#This Row],[Maakunta]],Vertailu[Muutos, € 2])</f>
        <v>4297302</v>
      </c>
      <c r="BC10" s="46">
        <f>IFERROR(Maakunt.[[#This Row],[Muutos, € 2]]/Maakunt.[[#This Row],[Rahoitus ml. hark. kor. 
2019 ilman alv, €]],0)</f>
        <v>7.1685060035062989E-2</v>
      </c>
    </row>
    <row r="11" spans="1:55" x14ac:dyDescent="0.2">
      <c r="A11" s="25" t="s">
        <v>346</v>
      </c>
      <c r="B11" s="25">
        <f>COUNTIF(Ohj.lask.[Maakunta],Maakunt.[[#This Row],[Maakunta]])</f>
        <v>3</v>
      </c>
      <c r="C11" s="25">
        <f>COUNTIFS(Ohj.lask.[Maakunta],Maakunt.[[#This Row],[Maakunta]],Ohj.lask.[Omistajatyyppi],"=yksityinen")</f>
        <v>2</v>
      </c>
      <c r="D11" s="25">
        <f>COUNTIFS(Ohj.lask.[Maakunta],Maakunt.[[#This Row],[Maakunta]],Ohj.lask.[Omistajatyyppi],"=kunta")</f>
        <v>0</v>
      </c>
      <c r="E11" s="25">
        <f>COUNTIFS(Ohj.lask.[Maakunta],Maakunt.[[#This Row],[Maakunta]],Ohj.lask.[Omistajatyyppi],"=kuntayhtymä")</f>
        <v>1</v>
      </c>
      <c r="F11" s="21">
        <f>SUMIF(Ohj.lask.[Maakunta],Maakunt.[[#This Row],[Maakunta]],Ohj.lask.[Järjestämisluvan opisk.vuosien vähimmäismäärä])</f>
        <v>2684</v>
      </c>
      <c r="G11" s="20">
        <f>SUMIF(Ohj.lask.[Maakunta],Maakunt.[[#This Row],[Maakunta]],Ohj.lask.[Suoritepäätöksellä jaettavat opv:t (luvan ylittävä osuus)])</f>
        <v>166</v>
      </c>
      <c r="H11" s="20">
        <f>SUMIF(Ohj.lask.[Maakunta],Maakunt.[[#This Row],[Maakunta]],Ohj.lask.[Tavoitteelliset opiske-lijavuodet])</f>
        <v>2850</v>
      </c>
      <c r="I11" s="84">
        <f>Maakunt.[[#This Row],[Painotetut opiskelija-vuodet]]/Maakunt.[[#This Row],[Tavoitteelliset opiske-lijavuodet]]</f>
        <v>1.1710877192982458</v>
      </c>
      <c r="J11" s="85">
        <f>SUMIF(Ohj.lask.[Maakunta],Maakunt.[[#This Row],[Maakunta]],Ohj.lask.[Painotetut opiskelija-vuodet])</f>
        <v>3337.6000000000004</v>
      </c>
      <c r="K11" s="19">
        <f>SUMIF(Ohj.lask.[Maakunta],Maakunt.[[#This Row],[Maakunta]],Ohj.lask.[%-osuus 1])</f>
        <v>1.6557189921028913E-2</v>
      </c>
      <c r="L11" s="20">
        <f>SUMIF(Ohj.lask.[Maakunta],Maakunt.[[#This Row],[Maakunta]],Ohj.lask.[Jaettava € 1])</f>
        <v>19697997</v>
      </c>
      <c r="M11" s="21">
        <f>SUMIF(Ohj.lask.[Maakunta],Maakunt.[[#This Row],[Maakunta]],Ohj.lask.[Painotetut pisteet 2])</f>
        <v>265563.09999999998</v>
      </c>
      <c r="N11" s="19">
        <f>SUMIF(Ohj.lask.[Maakunta],Maakunt.[[#This Row],[Maakunta]],Ohj.lask.[%-osuus 2])</f>
        <v>1.6970612783550866E-2</v>
      </c>
      <c r="O11" s="20">
        <f>SUMIF(Ohj.lask.[Maakunta],Maakunt.[[#This Row],[Maakunta]],Ohj.lask.[Jaettava € 2])</f>
        <v>6283828</v>
      </c>
      <c r="P11" s="21">
        <f>SUMIF(Ohj.lask.[Maakunta],Maakunt.[[#This Row],[Maakunta]],Ohj.lask.[Painotetut pisteet 3])</f>
        <v>3150.6000000000004</v>
      </c>
      <c r="Q11" s="19">
        <f>SUMIF(Ohj.lask.[Maakunta],Maakunt.[[#This Row],[Maakunta]],Ohj.lask.[%-osuus 3])</f>
        <v>1.6632106627925639E-2</v>
      </c>
      <c r="R11" s="20">
        <f>SUMIF(Ohj.lask.[Maakunta],Maakunt.[[#This Row],[Maakunta]],Ohj.lask.[Jaettava € 3])</f>
        <v>2309433</v>
      </c>
      <c r="S11" s="21">
        <f>SUMIF(Ohj.lask.[Maakunta],Maakunt.[[#This Row],[Maakunta]],Ohj.lask.[Painotetut pisteet 4])</f>
        <v>24157.599999999999</v>
      </c>
      <c r="T11" s="19">
        <f>SUMIF(Ohj.lask.[Maakunta],Maakunt.[[#This Row],[Maakunta]],Ohj.lask.[%-osuus 4])</f>
        <v>1.940312125713874E-2</v>
      </c>
      <c r="U11" s="20">
        <f>SUMIF(Ohj.lask.[Maakunta],Maakunt.[[#This Row],[Maakunta]],Ohj.lask.[Jaettava € 4])</f>
        <v>224516</v>
      </c>
      <c r="V11" s="21">
        <f>SUMIF(Ohj.lask.[Maakunta],Maakunt.[[#This Row],[Maakunta]],Ohj.lask.[Painotetut pisteet 5])</f>
        <v>126639.8</v>
      </c>
      <c r="W11" s="19">
        <f>SUMIF(Ohj.lask.[Maakunta],Maakunt.[[#This Row],[Maakunta]],Ohj.lask.[%-osuus 5])</f>
        <v>1.9123827704792144E-2</v>
      </c>
      <c r="X11" s="20">
        <f>SUMIF(Ohj.lask.[Maakunta],Maakunt.[[#This Row],[Maakunta]],Ohj.lask.[Jaettava € 5])</f>
        <v>663854</v>
      </c>
      <c r="Y11" s="22">
        <f>SUMIF(Ohj.lask.[Maakunta],Maakunt.[[#This Row],[Maakunta]],Ohj.lask.[%-osuus 6])</f>
        <v>1.6720795967481671E-2</v>
      </c>
      <c r="Z11" s="20">
        <f>SUMIF(Ohj.lask.[Maakunta],Maakunt.[[#This Row],[Maakunta]],Ohj.lask.[Jaettava € 6])</f>
        <v>29179628</v>
      </c>
      <c r="AA11" s="21">
        <f>SUMIF(Ohj.lask.[Maakunta],Maakunt.[[#This Row],[Maakunta]],Ohj.lask.[Hakemus 1, €])</f>
        <v>0</v>
      </c>
      <c r="AB11" s="20">
        <f>SUMIF(Ohj.lask.[Maakunta],Maakunt.[[#This Row],[Maakunta]],Ohj.lask.[Päätös 1, €])</f>
        <v>0</v>
      </c>
      <c r="AC11" s="21">
        <f>SUMIF(Ohj.lask.[Maakunta],Maakunt.[[#This Row],[Maakunta]],Ohj.lask.[Hakemus 2, €])</f>
        <v>1500000</v>
      </c>
      <c r="AD11" s="20">
        <f>SUMIF(Ohj.lask.[Maakunta],Maakunt.[[#This Row],[Maakunta]],Ohj.lask.[Päätös 2, €])</f>
        <v>0</v>
      </c>
      <c r="AE11" s="21">
        <f>SUMIF(Ohj.lask.[Maakunta],Maakunt.[[#This Row],[Maakunta]],Ohj.lask.[Hakemus 3, €])</f>
        <v>500000</v>
      </c>
      <c r="AF11" s="20">
        <f>SUMIF(Ohj.lask.[Maakunta],Maakunt.[[#This Row],[Maakunta]],Ohj.lask.[Päätös 3, €])</f>
        <v>0</v>
      </c>
      <c r="AG11" s="21">
        <f>SUMIF(Ohj.lask.[Maakunta],Maakunt.[[#This Row],[Maakunta]],Ohj.lask.[Hakemus 4, €])</f>
        <v>0</v>
      </c>
      <c r="AH11" s="20">
        <f>SUMIF(Ohj.lask.[Maakunta],Maakunt.[[#This Row],[Maakunta]],Ohj.lask.[Päätös 4, €])</f>
        <v>0</v>
      </c>
      <c r="AI11" s="21">
        <f>SUMIF(Ohj.lask.[Maakunta],Maakunt.[[#This Row],[Maakunta]],Ohj.lask.[Hakemus 5, €])</f>
        <v>100000</v>
      </c>
      <c r="AJ11" s="26">
        <f>SUMIF(Ohj.lask.[Maakunta],Maakunt.[[#This Row],[Maakunta]],Ohj.lask.[Päätös 5, €])</f>
        <v>0</v>
      </c>
      <c r="AK11" s="20">
        <f>SUMIF(Ohj.lask.[Maakunta],Maakunt.[[#This Row],[Maakunta]],Ohj.lask.[Hakemus 6, €])</f>
        <v>20000</v>
      </c>
      <c r="AL11" s="20">
        <f>SUMIF(Ohj.lask.[Maakunta],Maakunt.[[#This Row],[Maakunta]],Ohj.lask.[Päätös 6, €])</f>
        <v>0</v>
      </c>
      <c r="AM11" s="21">
        <f>Maakunt.[[#This Row],[Hakemus 1, €]]+Maakunt.[[#This Row],[Hakemus 2, €]]+Maakunt.[[#This Row],[Hakemus 3, €]]+Maakunt.[[#This Row],[Hakemus 4, €]]+Maakunt.[[#This Row],[Hakemus 5, €]]+Maakunt.[[#This Row],[Hakemus 6, €]]</f>
        <v>2120000</v>
      </c>
      <c r="AN11" s="20">
        <f>Maakunt.[[#This Row],[Päätös 1, €]]+Maakunt.[[#This Row],[Päätös 2, €]]+Maakunt.[[#This Row],[Päätös 3, €]]+Maakunt.[[#This Row],[Päätös 4, €]]++Maakunt.[[#This Row],[Päätös 5, €]]+Maakunt.[[#This Row],[Päätös 6, €]]</f>
        <v>0</v>
      </c>
      <c r="AO11" s="21">
        <f>SUMIF(Ohj.lask.[Maakunta],Maakunt.[[#This Row],[Maakunta]],Ohj.lask.[Opiskelijavuosiin perustuva (suoriteperusteinen) sekä harkinnanvarainen korotus, €])</f>
        <v>19697997</v>
      </c>
      <c r="AP11" s="21">
        <f>SUMIF(Ohj.lask.[Maakunta],Maakunt.[[#This Row],[Maakunta]],Ohj.lask.[Suoritusrahoitus, €])</f>
        <v>6283828</v>
      </c>
      <c r="AQ11" s="21">
        <f>SUMIF(Ohj.lask.[Maakunta],Maakunt.[[#This Row],[Maakunta]],Ohj.lask.[Työllistymiseen ja jatko-opintoihin siirtymiseen perustuva sekä opiskelija-palautteisiin perustuva, €])</f>
        <v>3197803</v>
      </c>
      <c r="AR11" s="45">
        <f>SUMIF(Ohj.lask.[Maakunta],Maakunt.[[#This Row],[Maakunta]],Ohj.lask.[Perus-, suoritus- ja vaikuttavuusrahoitus yhteensä, €])</f>
        <v>29179628</v>
      </c>
      <c r="AS11" s="22">
        <f>Maakunt.[[#This Row],[Jaettava € 1]]/Maakunt.[[#This Row],[Perus-, suoritus- ja vaikuttavuusrahoitus yhteensä, €]]</f>
        <v>0.67505990823460804</v>
      </c>
      <c r="AT11" s="19">
        <f>Maakunt.[[#This Row],[Opiskelijavuosiin perustuva (suoriteperusteinen) sekä harkinnanvarainen korotus, €]]/Maakunt.[[#This Row],[Perus-, suoritus- ja vaikuttavuusrahoitus yhteensä, €]]</f>
        <v>0.67505990823460804</v>
      </c>
      <c r="AU11" s="54">
        <f>Maakunt.[[#This Row],[Suoritusrahoitus, €]]/Maakunt.[[#This Row],[Perus-, suoritus- ja vaikuttavuusrahoitus yhteensä, €]]</f>
        <v>0.21534983242418307</v>
      </c>
      <c r="AV11" s="19">
        <f>Maakunt.[[#This Row],[Työllistymiseen ja jatko-opintoihin siirtymiseen perustuva sekä opiskelija-palautteisiin perustuva, €]]/Maakunt.[[#This Row],[Perus-, suoritus- ja vaikuttavuusrahoitus yhteensä, €]]</f>
        <v>0.10959025934120888</v>
      </c>
      <c r="AW11" s="19">
        <f>SUMIF(Ohj.lask.[Maakunta],Maakunt.[[#This Row],[Maakunta]],Ohj.lask.[Jaettava € 3])/Maakunt.[[#This Row],[Perus-, suoritus- ja vaikuttavuusrahoitus yhteensä, €]]</f>
        <v>7.9145388693783209E-2</v>
      </c>
      <c r="AX11" s="19">
        <f>SUMIF(Ohj.lask.[Maakunta],Maakunt.[[#This Row],[Maakunta]],Ohj.lask.[Jaettava € 4])/Maakunt.[[#This Row],[Perus-, suoritus- ja vaikuttavuusrahoitus yhteensä, €]]</f>
        <v>7.69427218194831E-3</v>
      </c>
      <c r="AY11" s="46">
        <f>SUMIF(Ohj.lask.[Maakunta],Maakunt.[[#This Row],[Maakunta]],Ohj.lask.[Jaettava € 5])/Maakunt.[[#This Row],[Perus-, suoritus- ja vaikuttavuusrahoitus yhteensä, €]]</f>
        <v>2.2750598465477351E-2</v>
      </c>
      <c r="AZ11" s="21">
        <f>SUMIF(Vertailu[Maakunta],Maakunt.[[#This Row],[Maakunta]],Vertailu[Rahoitus ml. hark. kor. 
2019 ilman alv, €])</f>
        <v>27757770</v>
      </c>
      <c r="BA11" s="21">
        <f>SUMIF(Vertailu[Maakunta],Maakunt.[[#This Row],[Maakunta]],Vertailu[Rahoitus ml. hark. kor. 
2020 ilman alv, €])</f>
        <v>29179628</v>
      </c>
      <c r="BB11" s="21">
        <f>SUMIF(Vertailu[Maakunta],Maakunt.[[#This Row],[Maakunta]],Vertailu[Muutos, € 2])</f>
        <v>1421858</v>
      </c>
      <c r="BC11" s="46">
        <f>IFERROR(Maakunt.[[#This Row],[Muutos, € 2]]/Maakunt.[[#This Row],[Rahoitus ml. hark. kor. 
2019 ilman alv, €]],0)</f>
        <v>5.1223783466755435E-2</v>
      </c>
    </row>
    <row r="12" spans="1:55" x14ac:dyDescent="0.2">
      <c r="A12" s="25" t="s">
        <v>240</v>
      </c>
      <c r="B12" s="25">
        <f>COUNTIF(Ohj.lask.[Maakunta],Maakunt.[[#This Row],[Maakunta]])</f>
        <v>5</v>
      </c>
      <c r="C12" s="25">
        <f>COUNTIFS(Ohj.lask.[Maakunta],Maakunt.[[#This Row],[Maakunta]],Ohj.lask.[Omistajatyyppi],"=yksityinen")</f>
        <v>3</v>
      </c>
      <c r="D12" s="25">
        <f>COUNTIFS(Ohj.lask.[Maakunta],Maakunt.[[#This Row],[Maakunta]],Ohj.lask.[Omistajatyyppi],"=kunta")</f>
        <v>0</v>
      </c>
      <c r="E12" s="25">
        <f>COUNTIFS(Ohj.lask.[Maakunta],Maakunt.[[#This Row],[Maakunta]],Ohj.lask.[Omistajatyyppi],"=kuntayhtymä")</f>
        <v>2</v>
      </c>
      <c r="F12" s="21">
        <f>SUMIF(Ohj.lask.[Maakunta],Maakunt.[[#This Row],[Maakunta]],Ohj.lask.[Järjestämisluvan opisk.vuosien vähimmäismäärä])</f>
        <v>8304</v>
      </c>
      <c r="G12" s="20">
        <f>SUMIF(Ohj.lask.[Maakunta],Maakunt.[[#This Row],[Maakunta]],Ohj.lask.[Suoritepäätöksellä jaettavat opv:t (luvan ylittävä osuus)])</f>
        <v>437</v>
      </c>
      <c r="H12" s="20">
        <f>SUMIF(Ohj.lask.[Maakunta],Maakunt.[[#This Row],[Maakunta]],Ohj.lask.[Tavoitteelliset opiske-lijavuodet])</f>
        <v>8741</v>
      </c>
      <c r="I12" s="84">
        <f>Maakunt.[[#This Row],[Painotetut opiskelija-vuodet]]/Maakunt.[[#This Row],[Tavoitteelliset opiske-lijavuodet]]</f>
        <v>1.0651184075048623</v>
      </c>
      <c r="J12" s="85">
        <f>SUMIF(Ohj.lask.[Maakunta],Maakunt.[[#This Row],[Maakunta]],Ohj.lask.[Painotetut opiskelija-vuodet])</f>
        <v>9310.2000000000007</v>
      </c>
      <c r="K12" s="19">
        <f>SUMIF(Ohj.lask.[Maakunta],Maakunt.[[#This Row],[Maakunta]],Ohj.lask.[%-osuus 1])</f>
        <v>4.6186106664298704E-2</v>
      </c>
      <c r="L12" s="20">
        <f>SUMIF(Ohj.lask.[Maakunta],Maakunt.[[#This Row],[Maakunta]],Ohj.lask.[Jaettava € 1])</f>
        <v>54947357</v>
      </c>
      <c r="M12" s="21">
        <f>SUMIF(Ohj.lask.[Maakunta],Maakunt.[[#This Row],[Maakunta]],Ohj.lask.[Painotetut pisteet 2])</f>
        <v>816397.5</v>
      </c>
      <c r="N12" s="19">
        <f>SUMIF(Ohj.lask.[Maakunta],Maakunt.[[#This Row],[Maakunta]],Ohj.lask.[%-osuus 2])</f>
        <v>5.2171276242666875E-2</v>
      </c>
      <c r="O12" s="20">
        <f>SUMIF(Ohj.lask.[Maakunta],Maakunt.[[#This Row],[Maakunta]],Ohj.lask.[Jaettava € 2])</f>
        <v>19317823</v>
      </c>
      <c r="P12" s="21">
        <f>SUMIF(Ohj.lask.[Maakunta],Maakunt.[[#This Row],[Maakunta]],Ohj.lask.[Painotetut pisteet 3])</f>
        <v>10759.099999999997</v>
      </c>
      <c r="Q12" s="19">
        <f>SUMIF(Ohj.lask.[Maakunta],Maakunt.[[#This Row],[Maakunta]],Ohj.lask.[%-osuus 3])</f>
        <v>5.6797593607730179E-2</v>
      </c>
      <c r="R12" s="20">
        <f>SUMIF(Ohj.lask.[Maakunta],Maakunt.[[#This Row],[Maakunta]],Ohj.lask.[Jaettava € 3])</f>
        <v>7886566</v>
      </c>
      <c r="S12" s="21">
        <f>SUMIF(Ohj.lask.[Maakunta],Maakunt.[[#This Row],[Maakunta]],Ohj.lask.[Painotetut pisteet 4])</f>
        <v>70133.8</v>
      </c>
      <c r="T12" s="19">
        <f>SUMIF(Ohj.lask.[Maakunta],Maakunt.[[#This Row],[Maakunta]],Ohj.lask.[%-osuus 4])</f>
        <v>5.6330704441828534E-2</v>
      </c>
      <c r="U12" s="20">
        <f>SUMIF(Ohj.lask.[Maakunta],Maakunt.[[#This Row],[Maakunta]],Ohj.lask.[Jaettava € 4])</f>
        <v>651810</v>
      </c>
      <c r="V12" s="21">
        <f>SUMIF(Ohj.lask.[Maakunta],Maakunt.[[#This Row],[Maakunta]],Ohj.lask.[Painotetut pisteet 5])</f>
        <v>373070.10000000003</v>
      </c>
      <c r="W12" s="19">
        <f>SUMIF(Ohj.lask.[Maakunta],Maakunt.[[#This Row],[Maakunta]],Ohj.lask.[%-osuus 5])</f>
        <v>5.6337172944126372E-2</v>
      </c>
      <c r="X12" s="20">
        <f>SUMIF(Ohj.lask.[Maakunta],Maakunt.[[#This Row],[Maakunta]],Ohj.lask.[Jaettava € 5])</f>
        <v>1955658</v>
      </c>
      <c r="Y12" s="22">
        <f>SUMIF(Ohj.lask.[Maakunta],Maakunt.[[#This Row],[Maakunta]],Ohj.lask.[%-osuus 6])</f>
        <v>4.856955419918705E-2</v>
      </c>
      <c r="Z12" s="20">
        <f>SUMIF(Ohj.lask.[Maakunta],Maakunt.[[#This Row],[Maakunta]],Ohj.lask.[Jaettava € 6])</f>
        <v>84759214</v>
      </c>
      <c r="AA12" s="21">
        <f>SUMIF(Ohj.lask.[Maakunta],Maakunt.[[#This Row],[Maakunta]],Ohj.lask.[Hakemus 1, €])</f>
        <v>550000</v>
      </c>
      <c r="AB12" s="20">
        <f>SUMIF(Ohj.lask.[Maakunta],Maakunt.[[#This Row],[Maakunta]],Ohj.lask.[Päätös 1, €])</f>
        <v>0</v>
      </c>
      <c r="AC12" s="21">
        <f>SUMIF(Ohj.lask.[Maakunta],Maakunt.[[#This Row],[Maakunta]],Ohj.lask.[Hakemus 2, €])</f>
        <v>20000</v>
      </c>
      <c r="AD12" s="20">
        <f>SUMIF(Ohj.lask.[Maakunta],Maakunt.[[#This Row],[Maakunta]],Ohj.lask.[Päätös 2, €])</f>
        <v>0</v>
      </c>
      <c r="AE12" s="21">
        <f>SUMIF(Ohj.lask.[Maakunta],Maakunt.[[#This Row],[Maakunta]],Ohj.lask.[Hakemus 3, €])</f>
        <v>0</v>
      </c>
      <c r="AF12" s="20">
        <f>SUMIF(Ohj.lask.[Maakunta],Maakunt.[[#This Row],[Maakunta]],Ohj.lask.[Päätös 3, €])</f>
        <v>0</v>
      </c>
      <c r="AG12" s="21">
        <f>SUMIF(Ohj.lask.[Maakunta],Maakunt.[[#This Row],[Maakunta]],Ohj.lask.[Hakemus 4, €])</f>
        <v>0</v>
      </c>
      <c r="AH12" s="20">
        <f>SUMIF(Ohj.lask.[Maakunta],Maakunt.[[#This Row],[Maakunta]],Ohj.lask.[Päätös 4, €])</f>
        <v>0</v>
      </c>
      <c r="AI12" s="21">
        <f>SUMIF(Ohj.lask.[Maakunta],Maakunt.[[#This Row],[Maakunta]],Ohj.lask.[Hakemus 5, €])</f>
        <v>501500</v>
      </c>
      <c r="AJ12" s="26">
        <f>SUMIF(Ohj.lask.[Maakunta],Maakunt.[[#This Row],[Maakunta]],Ohj.lask.[Päätös 5, €])</f>
        <v>230000</v>
      </c>
      <c r="AK12" s="20">
        <f>SUMIF(Ohj.lask.[Maakunta],Maakunt.[[#This Row],[Maakunta]],Ohj.lask.[Hakemus 6, €])</f>
        <v>100000</v>
      </c>
      <c r="AL12" s="20">
        <f>SUMIF(Ohj.lask.[Maakunta],Maakunt.[[#This Row],[Maakunta]],Ohj.lask.[Päätös 6, €])</f>
        <v>35000</v>
      </c>
      <c r="AM12" s="21">
        <f>Maakunt.[[#This Row],[Hakemus 1, €]]+Maakunt.[[#This Row],[Hakemus 2, €]]+Maakunt.[[#This Row],[Hakemus 3, €]]+Maakunt.[[#This Row],[Hakemus 4, €]]+Maakunt.[[#This Row],[Hakemus 5, €]]+Maakunt.[[#This Row],[Hakemus 6, €]]</f>
        <v>1171500</v>
      </c>
      <c r="AN12" s="20">
        <f>Maakunt.[[#This Row],[Päätös 1, €]]+Maakunt.[[#This Row],[Päätös 2, €]]+Maakunt.[[#This Row],[Päätös 3, €]]+Maakunt.[[#This Row],[Päätös 4, €]]++Maakunt.[[#This Row],[Päätös 5, €]]+Maakunt.[[#This Row],[Päätös 6, €]]</f>
        <v>265000</v>
      </c>
      <c r="AO12" s="21">
        <f>SUMIF(Ohj.lask.[Maakunta],Maakunt.[[#This Row],[Maakunta]],Ohj.lask.[Opiskelijavuosiin perustuva (suoriteperusteinen) sekä harkinnanvarainen korotus, €])</f>
        <v>55212357</v>
      </c>
      <c r="AP12" s="21">
        <f>SUMIF(Ohj.lask.[Maakunta],Maakunt.[[#This Row],[Maakunta]],Ohj.lask.[Suoritusrahoitus, €])</f>
        <v>19317823</v>
      </c>
      <c r="AQ12" s="21">
        <f>SUMIF(Ohj.lask.[Maakunta],Maakunt.[[#This Row],[Maakunta]],Ohj.lask.[Työllistymiseen ja jatko-opintoihin siirtymiseen perustuva sekä opiskelija-palautteisiin perustuva, €])</f>
        <v>10494034</v>
      </c>
      <c r="AR12" s="45">
        <f>SUMIF(Ohj.lask.[Maakunta],Maakunt.[[#This Row],[Maakunta]],Ohj.lask.[Perus-, suoritus- ja vaikuttavuusrahoitus yhteensä, €])</f>
        <v>85024214</v>
      </c>
      <c r="AS12" s="22">
        <f>Maakunt.[[#This Row],[Jaettava € 1]]/Maakunt.[[#This Row],[Perus-, suoritus- ja vaikuttavuusrahoitus yhteensä, €]]</f>
        <v>0.64625539496313367</v>
      </c>
      <c r="AT12" s="19">
        <f>Maakunt.[[#This Row],[Opiskelijavuosiin perustuva (suoriteperusteinen) sekä harkinnanvarainen korotus, €]]/Maakunt.[[#This Row],[Perus-, suoritus- ja vaikuttavuusrahoitus yhteensä, €]]</f>
        <v>0.64937215414893457</v>
      </c>
      <c r="AU12" s="54">
        <f>Maakunt.[[#This Row],[Suoritusrahoitus, €]]/Maakunt.[[#This Row],[Perus-, suoritus- ja vaikuttavuusrahoitus yhteensä, €]]</f>
        <v>0.22720378220726628</v>
      </c>
      <c r="AV12" s="19">
        <f>Maakunt.[[#This Row],[Työllistymiseen ja jatko-opintoihin siirtymiseen perustuva sekä opiskelija-palautteisiin perustuva, €]]/Maakunt.[[#This Row],[Perus-, suoritus- ja vaikuttavuusrahoitus yhteensä, €]]</f>
        <v>0.12342406364379917</v>
      </c>
      <c r="AW12" s="19">
        <f>SUMIF(Ohj.lask.[Maakunta],Maakunt.[[#This Row],[Maakunta]],Ohj.lask.[Jaettava € 3])/Maakunt.[[#This Row],[Perus-, suoritus- ja vaikuttavuusrahoitus yhteensä, €]]</f>
        <v>9.2756705754433677E-2</v>
      </c>
      <c r="AX12" s="19">
        <f>SUMIF(Ohj.lask.[Maakunta],Maakunt.[[#This Row],[Maakunta]],Ohj.lask.[Jaettava € 4])/Maakunt.[[#This Row],[Perus-, suoritus- ja vaikuttavuusrahoitus yhteensä, €]]</f>
        <v>7.6661690750825405E-3</v>
      </c>
      <c r="AY12" s="46">
        <f>SUMIF(Ohj.lask.[Maakunta],Maakunt.[[#This Row],[Maakunta]],Ohj.lask.[Jaettava € 5])/Maakunt.[[#This Row],[Perus-, suoritus- ja vaikuttavuusrahoitus yhteensä, €]]</f>
        <v>2.3001188814282952E-2</v>
      </c>
      <c r="AZ12" s="21">
        <f>SUMIF(Vertailu[Maakunta],Maakunt.[[#This Row],[Maakunta]],Vertailu[Rahoitus ml. hark. kor. 
2019 ilman alv, €])</f>
        <v>81448152</v>
      </c>
      <c r="BA12" s="21">
        <f>SUMIF(Vertailu[Maakunta],Maakunt.[[#This Row],[Maakunta]],Vertailu[Rahoitus ml. hark. kor. 
2020 ilman alv, €])</f>
        <v>85024214</v>
      </c>
      <c r="BB12" s="21">
        <f>SUMIF(Vertailu[Maakunta],Maakunt.[[#This Row],[Maakunta]],Vertailu[Muutos, € 2])</f>
        <v>3576062</v>
      </c>
      <c r="BC12" s="46">
        <f>IFERROR(Maakunt.[[#This Row],[Muutos, € 2]]/Maakunt.[[#This Row],[Rahoitus ml. hark. kor. 
2019 ilman alv, €]],0)</f>
        <v>4.3905993103440823E-2</v>
      </c>
    </row>
    <row r="13" spans="1:55" x14ac:dyDescent="0.2">
      <c r="A13" s="25" t="s">
        <v>256</v>
      </c>
      <c r="B13" s="25">
        <f>COUNTIF(Ohj.lask.[Maakunta],Maakunt.[[#This Row],[Maakunta]])</f>
        <v>5</v>
      </c>
      <c r="C13" s="25">
        <f>COUNTIFS(Ohj.lask.[Maakunta],Maakunt.[[#This Row],[Maakunta]],Ohj.lask.[Omistajatyyppi],"=yksityinen")</f>
        <v>3</v>
      </c>
      <c r="D13" s="25">
        <f>COUNTIFS(Ohj.lask.[Maakunta],Maakunt.[[#This Row],[Maakunta]],Ohj.lask.[Omistajatyyppi],"=kunta")</f>
        <v>1</v>
      </c>
      <c r="E13" s="25">
        <f>COUNTIFS(Ohj.lask.[Maakunta],Maakunt.[[#This Row],[Maakunta]],Ohj.lask.[Omistajatyyppi],"=kuntayhtymä")</f>
        <v>1</v>
      </c>
      <c r="F13" s="21">
        <f>SUMIF(Ohj.lask.[Maakunta],Maakunt.[[#This Row],[Maakunta]],Ohj.lask.[Järjestämisluvan opisk.vuosien vähimmäismäärä])</f>
        <v>4849</v>
      </c>
      <c r="G13" s="20">
        <f>SUMIF(Ohj.lask.[Maakunta],Maakunt.[[#This Row],[Maakunta]],Ohj.lask.[Suoritepäätöksellä jaettavat opv:t (luvan ylittävä osuus)])</f>
        <v>667</v>
      </c>
      <c r="H13" s="20">
        <f>SUMIF(Ohj.lask.[Maakunta],Maakunt.[[#This Row],[Maakunta]],Ohj.lask.[Tavoitteelliset opiske-lijavuodet])</f>
        <v>5516</v>
      </c>
      <c r="I13" s="84">
        <f>Maakunt.[[#This Row],[Painotetut opiskelija-vuodet]]/Maakunt.[[#This Row],[Tavoitteelliset opiske-lijavuodet]]</f>
        <v>1.0586838288614937</v>
      </c>
      <c r="J13" s="85">
        <f>SUMIF(Ohj.lask.[Maakunta],Maakunt.[[#This Row],[Maakunta]],Ohj.lask.[Painotetut opiskelija-vuodet])</f>
        <v>5839.7</v>
      </c>
      <c r="K13" s="19">
        <f>SUMIF(Ohj.lask.[Maakunta],Maakunt.[[#This Row],[Maakunta]],Ohj.lask.[%-osuus 1])</f>
        <v>2.8969625473943113E-2</v>
      </c>
      <c r="L13" s="20">
        <f>SUMIF(Ohj.lask.[Maakunta],Maakunt.[[#This Row],[Maakunta]],Ohj.lask.[Jaettava € 1])</f>
        <v>34465004</v>
      </c>
      <c r="M13" s="21">
        <f>SUMIF(Ohj.lask.[Maakunta],Maakunt.[[#This Row],[Maakunta]],Ohj.lask.[Painotetut pisteet 2])</f>
        <v>478359.7</v>
      </c>
      <c r="N13" s="19">
        <f>SUMIF(Ohj.lask.[Maakunta],Maakunt.[[#This Row],[Maakunta]],Ohj.lask.[%-osuus 2])</f>
        <v>3.0569221552073905E-2</v>
      </c>
      <c r="O13" s="20">
        <f>SUMIF(Ohj.lask.[Maakunta],Maakunt.[[#This Row],[Maakunta]],Ohj.lask.[Jaettava € 2])</f>
        <v>11319080</v>
      </c>
      <c r="P13" s="21">
        <f>SUMIF(Ohj.lask.[Maakunta],Maakunt.[[#This Row],[Maakunta]],Ohj.lask.[Painotetut pisteet 3])</f>
        <v>5329.8</v>
      </c>
      <c r="Q13" s="19">
        <f>SUMIF(Ohj.lask.[Maakunta],Maakunt.[[#This Row],[Maakunta]],Ohj.lask.[%-osuus 3])</f>
        <v>2.8136165144898768E-2</v>
      </c>
      <c r="R13" s="20">
        <f>SUMIF(Ohj.lask.[Maakunta],Maakunt.[[#This Row],[Maakunta]],Ohj.lask.[Jaettava € 3])</f>
        <v>3906815</v>
      </c>
      <c r="S13" s="21">
        <f>SUMIF(Ohj.lask.[Maakunta],Maakunt.[[#This Row],[Maakunta]],Ohj.lask.[Painotetut pisteet 4])</f>
        <v>31007.1</v>
      </c>
      <c r="T13" s="19">
        <f>SUMIF(Ohj.lask.[Maakunta],Maakunt.[[#This Row],[Maakunta]],Ohj.lask.[%-osuus 4])</f>
        <v>2.4904565069883873E-2</v>
      </c>
      <c r="U13" s="20">
        <f>SUMIF(Ohj.lask.[Maakunta],Maakunt.[[#This Row],[Maakunta]],Ohj.lask.[Jaettava € 4])</f>
        <v>288175</v>
      </c>
      <c r="V13" s="21">
        <f>SUMIF(Ohj.lask.[Maakunta],Maakunt.[[#This Row],[Maakunta]],Ohj.lask.[Painotetut pisteet 5])</f>
        <v>173702.6</v>
      </c>
      <c r="W13" s="19">
        <f>SUMIF(Ohj.lask.[Maakunta],Maakunt.[[#This Row],[Maakunta]],Ohj.lask.[%-osuus 5])</f>
        <v>2.6230763111394897E-2</v>
      </c>
      <c r="X13" s="20">
        <f>SUMIF(Ohj.lask.[Maakunta],Maakunt.[[#This Row],[Maakunta]],Ohj.lask.[Jaettava € 5])</f>
        <v>910561</v>
      </c>
      <c r="Y13" s="22">
        <f>SUMIF(Ohj.lask.[Maakunta],Maakunt.[[#This Row],[Maakunta]],Ohj.lask.[%-osuus 6])</f>
        <v>2.9161276617186968E-2</v>
      </c>
      <c r="Z13" s="20">
        <f>SUMIF(Ohj.lask.[Maakunta],Maakunt.[[#This Row],[Maakunta]],Ohj.lask.[Jaettava € 6])</f>
        <v>50889635</v>
      </c>
      <c r="AA13" s="21">
        <f>SUMIF(Ohj.lask.[Maakunta],Maakunt.[[#This Row],[Maakunta]],Ohj.lask.[Hakemus 1, €])</f>
        <v>522950</v>
      </c>
      <c r="AB13" s="20">
        <f>SUMIF(Ohj.lask.[Maakunta],Maakunt.[[#This Row],[Maakunta]],Ohj.lask.[Päätös 1, €])</f>
        <v>0</v>
      </c>
      <c r="AC13" s="21">
        <f>SUMIF(Ohj.lask.[Maakunta],Maakunt.[[#This Row],[Maakunta]],Ohj.lask.[Hakemus 2, €])</f>
        <v>300000</v>
      </c>
      <c r="AD13" s="20">
        <f>SUMIF(Ohj.lask.[Maakunta],Maakunt.[[#This Row],[Maakunta]],Ohj.lask.[Päätös 2, €])</f>
        <v>0</v>
      </c>
      <c r="AE13" s="21">
        <f>SUMIF(Ohj.lask.[Maakunta],Maakunt.[[#This Row],[Maakunta]],Ohj.lask.[Hakemus 3, €])</f>
        <v>2800000</v>
      </c>
      <c r="AF13" s="20">
        <f>SUMIF(Ohj.lask.[Maakunta],Maakunt.[[#This Row],[Maakunta]],Ohj.lask.[Päätös 3, €])</f>
        <v>80000</v>
      </c>
      <c r="AG13" s="21">
        <f>SUMIF(Ohj.lask.[Maakunta],Maakunt.[[#This Row],[Maakunta]],Ohj.lask.[Hakemus 4, €])</f>
        <v>0</v>
      </c>
      <c r="AH13" s="20">
        <f>SUMIF(Ohj.lask.[Maakunta],Maakunt.[[#This Row],[Maakunta]],Ohj.lask.[Päätös 4, €])</f>
        <v>60000</v>
      </c>
      <c r="AI13" s="21">
        <f>SUMIF(Ohj.lask.[Maakunta],Maakunt.[[#This Row],[Maakunta]],Ohj.lask.[Hakemus 5, €])</f>
        <v>254000</v>
      </c>
      <c r="AJ13" s="26">
        <f>SUMIF(Ohj.lask.[Maakunta],Maakunt.[[#This Row],[Maakunta]],Ohj.lask.[Päätös 5, €])</f>
        <v>254000</v>
      </c>
      <c r="AK13" s="20">
        <f>SUMIF(Ohj.lask.[Maakunta],Maakunt.[[#This Row],[Maakunta]],Ohj.lask.[Hakemus 6, €])</f>
        <v>20000</v>
      </c>
      <c r="AL13" s="20">
        <f>SUMIF(Ohj.lask.[Maakunta],Maakunt.[[#This Row],[Maakunta]],Ohj.lask.[Päätös 6, €])</f>
        <v>15000</v>
      </c>
      <c r="AM13" s="21">
        <f>Maakunt.[[#This Row],[Hakemus 1, €]]+Maakunt.[[#This Row],[Hakemus 2, €]]+Maakunt.[[#This Row],[Hakemus 3, €]]+Maakunt.[[#This Row],[Hakemus 4, €]]+Maakunt.[[#This Row],[Hakemus 5, €]]+Maakunt.[[#This Row],[Hakemus 6, €]]</f>
        <v>3896950</v>
      </c>
      <c r="AN13" s="20">
        <f>Maakunt.[[#This Row],[Päätös 1, €]]+Maakunt.[[#This Row],[Päätös 2, €]]+Maakunt.[[#This Row],[Päätös 3, €]]+Maakunt.[[#This Row],[Päätös 4, €]]++Maakunt.[[#This Row],[Päätös 5, €]]+Maakunt.[[#This Row],[Päätös 6, €]]</f>
        <v>409000</v>
      </c>
      <c r="AO13" s="21">
        <f>SUMIF(Ohj.lask.[Maakunta],Maakunt.[[#This Row],[Maakunta]],Ohj.lask.[Opiskelijavuosiin perustuva (suoriteperusteinen) sekä harkinnanvarainen korotus, €])</f>
        <v>34874004</v>
      </c>
      <c r="AP13" s="21">
        <f>SUMIF(Ohj.lask.[Maakunta],Maakunt.[[#This Row],[Maakunta]],Ohj.lask.[Suoritusrahoitus, €])</f>
        <v>11319080</v>
      </c>
      <c r="AQ13" s="21">
        <f>SUMIF(Ohj.lask.[Maakunta],Maakunt.[[#This Row],[Maakunta]],Ohj.lask.[Työllistymiseen ja jatko-opintoihin siirtymiseen perustuva sekä opiskelija-palautteisiin perustuva, €])</f>
        <v>5105551</v>
      </c>
      <c r="AR13" s="45">
        <f>SUMIF(Ohj.lask.[Maakunta],Maakunt.[[#This Row],[Maakunta]],Ohj.lask.[Perus-, suoritus- ja vaikuttavuusrahoitus yhteensä, €])</f>
        <v>51298635</v>
      </c>
      <c r="AS13" s="22">
        <f>Maakunt.[[#This Row],[Jaettava € 1]]/Maakunt.[[#This Row],[Perus-, suoritus- ja vaikuttavuusrahoitus yhteensä, €]]</f>
        <v>0.67185031336603795</v>
      </c>
      <c r="AT13" s="19">
        <f>Maakunt.[[#This Row],[Opiskelijavuosiin perustuva (suoriteperusteinen) sekä harkinnanvarainen korotus, €]]/Maakunt.[[#This Row],[Perus-, suoritus- ja vaikuttavuusrahoitus yhteensä, €]]</f>
        <v>0.67982323506268738</v>
      </c>
      <c r="AU13" s="54">
        <f>Maakunt.[[#This Row],[Suoritusrahoitus, €]]/Maakunt.[[#This Row],[Perus-, suoritus- ja vaikuttavuusrahoitus yhteensä, €]]</f>
        <v>0.22065070542325346</v>
      </c>
      <c r="AV13" s="19">
        <f>Maakunt.[[#This Row],[Työllistymiseen ja jatko-opintoihin siirtymiseen perustuva sekä opiskelija-palautteisiin perustuva, €]]/Maakunt.[[#This Row],[Perus-, suoritus- ja vaikuttavuusrahoitus yhteensä, €]]</f>
        <v>9.9526059514059198E-2</v>
      </c>
      <c r="AW13" s="19">
        <f>SUMIF(Ohj.lask.[Maakunta],Maakunt.[[#This Row],[Maakunta]],Ohj.lask.[Jaettava € 3])/Maakunt.[[#This Row],[Perus-, suoritus- ja vaikuttavuusrahoitus yhteensä, €]]</f>
        <v>7.6158264250111143E-2</v>
      </c>
      <c r="AX13" s="19">
        <f>SUMIF(Ohj.lask.[Maakunta],Maakunt.[[#This Row],[Maakunta]],Ohj.lask.[Jaettava € 4])/Maakunt.[[#This Row],[Perus-, suoritus- ja vaikuttavuusrahoitus yhteensä, €]]</f>
        <v>5.6175958678042794E-3</v>
      </c>
      <c r="AY13" s="46">
        <f>SUMIF(Ohj.lask.[Maakunta],Maakunt.[[#This Row],[Maakunta]],Ohj.lask.[Jaettava € 5])/Maakunt.[[#This Row],[Perus-, suoritus- ja vaikuttavuusrahoitus yhteensä, €]]</f>
        <v>1.7750199396143775E-2</v>
      </c>
      <c r="AZ13" s="21">
        <f>SUMIF(Vertailu[Maakunta],Maakunt.[[#This Row],[Maakunta]],Vertailu[Rahoitus ml. hark. kor. 
2019 ilman alv, €])</f>
        <v>50379175</v>
      </c>
      <c r="BA13" s="21">
        <f>SUMIF(Vertailu[Maakunta],Maakunt.[[#This Row],[Maakunta]],Vertailu[Rahoitus ml. hark. kor. 
2020 ilman alv, €])</f>
        <v>51298635</v>
      </c>
      <c r="BB13" s="21">
        <f>SUMIF(Vertailu[Maakunta],Maakunt.[[#This Row],[Maakunta]],Vertailu[Muutos, € 2])</f>
        <v>919460</v>
      </c>
      <c r="BC13" s="46">
        <f>IFERROR(Maakunt.[[#This Row],[Muutos, € 2]]/Maakunt.[[#This Row],[Rahoitus ml. hark. kor. 
2019 ilman alv, €]],0)</f>
        <v>1.8250795095394078E-2</v>
      </c>
    </row>
    <row r="14" spans="1:55" x14ac:dyDescent="0.2">
      <c r="A14" s="25" t="s">
        <v>296</v>
      </c>
      <c r="B14" s="25">
        <f>COUNTIF(Ohj.lask.[Maakunta],Maakunt.[[#This Row],[Maakunta]])</f>
        <v>4</v>
      </c>
      <c r="C14" s="25">
        <f>COUNTIFS(Ohj.lask.[Maakunta],Maakunt.[[#This Row],[Maakunta]],Ohj.lask.[Omistajatyyppi],"=yksityinen")</f>
        <v>2</v>
      </c>
      <c r="D14" s="25">
        <f>COUNTIFS(Ohj.lask.[Maakunta],Maakunt.[[#This Row],[Maakunta]],Ohj.lask.[Omistajatyyppi],"=kunta")</f>
        <v>0</v>
      </c>
      <c r="E14" s="25">
        <f>COUNTIFS(Ohj.lask.[Maakunta],Maakunt.[[#This Row],[Maakunta]],Ohj.lask.[Omistajatyyppi],"=kuntayhtymä")</f>
        <v>2</v>
      </c>
      <c r="F14" s="21">
        <f>SUMIF(Ohj.lask.[Maakunta],Maakunt.[[#This Row],[Maakunta]],Ohj.lask.[Järjestämisluvan opisk.vuosien vähimmäismäärä])</f>
        <v>5687</v>
      </c>
      <c r="G14" s="20">
        <f>SUMIF(Ohj.lask.[Maakunta],Maakunt.[[#This Row],[Maakunta]],Ohj.lask.[Suoritepäätöksellä jaettavat opv:t (luvan ylittävä osuus)])</f>
        <v>525</v>
      </c>
      <c r="H14" s="20">
        <f>SUMIF(Ohj.lask.[Maakunta],Maakunt.[[#This Row],[Maakunta]],Ohj.lask.[Tavoitteelliset opiske-lijavuodet])</f>
        <v>6212</v>
      </c>
      <c r="I14" s="84">
        <f>Maakunt.[[#This Row],[Painotetut opiskelija-vuodet]]/Maakunt.[[#This Row],[Tavoitteelliset opiske-lijavuodet]]</f>
        <v>1.1019478428847393</v>
      </c>
      <c r="J14" s="85">
        <f>SUMIF(Ohj.lask.[Maakunta],Maakunt.[[#This Row],[Maakunta]],Ohj.lask.[Painotetut opiskelija-vuodet])</f>
        <v>6845.3</v>
      </c>
      <c r="K14" s="19">
        <f>SUMIF(Ohj.lask.[Maakunta],Maakunt.[[#This Row],[Maakunta]],Ohj.lask.[%-osuus 1])</f>
        <v>3.3958213137110262E-2</v>
      </c>
      <c r="L14" s="20">
        <f>SUMIF(Ohj.lask.[Maakunta],Maakunt.[[#This Row],[Maakunta]],Ohj.lask.[Jaettava € 1])</f>
        <v>40399899</v>
      </c>
      <c r="M14" s="21">
        <f>SUMIF(Ohj.lask.[Maakunta],Maakunt.[[#This Row],[Maakunta]],Ohj.lask.[Painotetut pisteet 2])</f>
        <v>496790.39999999997</v>
      </c>
      <c r="N14" s="19">
        <f>SUMIF(Ohj.lask.[Maakunta],Maakunt.[[#This Row],[Maakunta]],Ohj.lask.[%-osuus 2])</f>
        <v>3.174702175484978E-2</v>
      </c>
      <c r="O14" s="20">
        <f>SUMIF(Ohj.lask.[Maakunta],Maakunt.[[#This Row],[Maakunta]],Ohj.lask.[Jaettava € 2])</f>
        <v>11755192</v>
      </c>
      <c r="P14" s="21">
        <f>SUMIF(Ohj.lask.[Maakunta],Maakunt.[[#This Row],[Maakunta]],Ohj.lask.[Painotetut pisteet 3])</f>
        <v>6812</v>
      </c>
      <c r="Q14" s="19">
        <f>SUMIF(Ohj.lask.[Maakunta],Maakunt.[[#This Row],[Maakunta]],Ohj.lask.[%-osuus 3])</f>
        <v>3.5960740922182904E-2</v>
      </c>
      <c r="R14" s="20">
        <f>SUMIF(Ohj.lask.[Maakunta],Maakunt.[[#This Row],[Maakunta]],Ohj.lask.[Jaettava € 3])</f>
        <v>4993288</v>
      </c>
      <c r="S14" s="21">
        <f>SUMIF(Ohj.lask.[Maakunta],Maakunt.[[#This Row],[Maakunta]],Ohj.lask.[Painotetut pisteet 4])</f>
        <v>45561.399999999994</v>
      </c>
      <c r="T14" s="19">
        <f>SUMIF(Ohj.lask.[Maakunta],Maakunt.[[#This Row],[Maakunta]],Ohj.lask.[%-osuus 4])</f>
        <v>3.6594420341631656E-2</v>
      </c>
      <c r="U14" s="20">
        <f>SUMIF(Ohj.lask.[Maakunta],Maakunt.[[#This Row],[Maakunta]],Ohj.lask.[Jaettava € 4])</f>
        <v>423439</v>
      </c>
      <c r="V14" s="21">
        <f>SUMIF(Ohj.lask.[Maakunta],Maakunt.[[#This Row],[Maakunta]],Ohj.lask.[Painotetut pisteet 5])</f>
        <v>274519.89999999997</v>
      </c>
      <c r="W14" s="19">
        <f>SUMIF(Ohj.lask.[Maakunta],Maakunt.[[#This Row],[Maakunta]],Ohj.lask.[%-osuus 5])</f>
        <v>4.1455144979199027E-2</v>
      </c>
      <c r="X14" s="20">
        <f>SUMIF(Ohj.lask.[Maakunta],Maakunt.[[#This Row],[Maakunta]],Ohj.lask.[Jaettava € 5])</f>
        <v>1439052</v>
      </c>
      <c r="Y14" s="22">
        <f>SUMIF(Ohj.lask.[Maakunta],Maakunt.[[#This Row],[Maakunta]],Ohj.lask.[%-osuus 6])</f>
        <v>3.3814986165470823E-2</v>
      </c>
      <c r="Z14" s="20">
        <f>SUMIF(Ohj.lask.[Maakunta],Maakunt.[[#This Row],[Maakunta]],Ohj.lask.[Jaettava € 6])</f>
        <v>59010870</v>
      </c>
      <c r="AA14" s="21">
        <f>SUMIF(Ohj.lask.[Maakunta],Maakunt.[[#This Row],[Maakunta]],Ohj.lask.[Hakemus 1, €])</f>
        <v>644970</v>
      </c>
      <c r="AB14" s="20">
        <f>SUMIF(Ohj.lask.[Maakunta],Maakunt.[[#This Row],[Maakunta]],Ohj.lask.[Päätös 1, €])</f>
        <v>0</v>
      </c>
      <c r="AC14" s="21">
        <f>SUMIF(Ohj.lask.[Maakunta],Maakunt.[[#This Row],[Maakunta]],Ohj.lask.[Hakemus 2, €])</f>
        <v>1400000</v>
      </c>
      <c r="AD14" s="20">
        <f>SUMIF(Ohj.lask.[Maakunta],Maakunt.[[#This Row],[Maakunta]],Ohj.lask.[Päätös 2, €])</f>
        <v>0</v>
      </c>
      <c r="AE14" s="21">
        <f>SUMIF(Ohj.lask.[Maakunta],Maakunt.[[#This Row],[Maakunta]],Ohj.lask.[Hakemus 3, €])</f>
        <v>370000</v>
      </c>
      <c r="AF14" s="20">
        <f>SUMIF(Ohj.lask.[Maakunta],Maakunt.[[#This Row],[Maakunta]],Ohj.lask.[Päätös 3, €])</f>
        <v>0</v>
      </c>
      <c r="AG14" s="21">
        <f>SUMIF(Ohj.lask.[Maakunta],Maakunt.[[#This Row],[Maakunta]],Ohj.lask.[Hakemus 4, €])</f>
        <v>675302</v>
      </c>
      <c r="AH14" s="20">
        <f>SUMIF(Ohj.lask.[Maakunta],Maakunt.[[#This Row],[Maakunta]],Ohj.lask.[Päätös 4, €])</f>
        <v>75000</v>
      </c>
      <c r="AI14" s="21">
        <f>SUMIF(Ohj.lask.[Maakunta],Maakunt.[[#This Row],[Maakunta]],Ohj.lask.[Hakemus 5, €])</f>
        <v>254680</v>
      </c>
      <c r="AJ14" s="26">
        <f>SUMIF(Ohj.lask.[Maakunta],Maakunt.[[#This Row],[Maakunta]],Ohj.lask.[Päätös 5, €])</f>
        <v>218000</v>
      </c>
      <c r="AK14" s="20">
        <f>SUMIF(Ohj.lask.[Maakunta],Maakunt.[[#This Row],[Maakunta]],Ohj.lask.[Hakemus 6, €])</f>
        <v>25000</v>
      </c>
      <c r="AL14" s="20">
        <f>SUMIF(Ohj.lask.[Maakunta],Maakunt.[[#This Row],[Maakunta]],Ohj.lask.[Päätös 6, €])</f>
        <v>25000</v>
      </c>
      <c r="AM14" s="21">
        <f>Maakunt.[[#This Row],[Hakemus 1, €]]+Maakunt.[[#This Row],[Hakemus 2, €]]+Maakunt.[[#This Row],[Hakemus 3, €]]+Maakunt.[[#This Row],[Hakemus 4, €]]+Maakunt.[[#This Row],[Hakemus 5, €]]+Maakunt.[[#This Row],[Hakemus 6, €]]</f>
        <v>3369952</v>
      </c>
      <c r="AN14" s="20">
        <f>Maakunt.[[#This Row],[Päätös 1, €]]+Maakunt.[[#This Row],[Päätös 2, €]]+Maakunt.[[#This Row],[Päätös 3, €]]+Maakunt.[[#This Row],[Päätös 4, €]]++Maakunt.[[#This Row],[Päätös 5, €]]+Maakunt.[[#This Row],[Päätös 6, €]]</f>
        <v>318000</v>
      </c>
      <c r="AO14" s="21">
        <f>SUMIF(Ohj.lask.[Maakunta],Maakunt.[[#This Row],[Maakunta]],Ohj.lask.[Opiskelijavuosiin perustuva (suoriteperusteinen) sekä harkinnanvarainen korotus, €])</f>
        <v>40717899</v>
      </c>
      <c r="AP14" s="21">
        <f>SUMIF(Ohj.lask.[Maakunta],Maakunt.[[#This Row],[Maakunta]],Ohj.lask.[Suoritusrahoitus, €])</f>
        <v>11755192</v>
      </c>
      <c r="AQ14" s="21">
        <f>SUMIF(Ohj.lask.[Maakunta],Maakunt.[[#This Row],[Maakunta]],Ohj.lask.[Työllistymiseen ja jatko-opintoihin siirtymiseen perustuva sekä opiskelija-palautteisiin perustuva, €])</f>
        <v>6855779</v>
      </c>
      <c r="AR14" s="45">
        <f>SUMIF(Ohj.lask.[Maakunta],Maakunt.[[#This Row],[Maakunta]],Ohj.lask.[Perus-, suoritus- ja vaikuttavuusrahoitus yhteensä, €])</f>
        <v>59328870</v>
      </c>
      <c r="AS14" s="22">
        <f>Maakunt.[[#This Row],[Jaettava € 1]]/Maakunt.[[#This Row],[Perus-, suoritus- ja vaikuttavuusrahoitus yhteensä, €]]</f>
        <v>0.68094839830928855</v>
      </c>
      <c r="AT14" s="19">
        <f>Maakunt.[[#This Row],[Opiskelijavuosiin perustuva (suoriteperusteinen) sekä harkinnanvarainen korotus, €]]/Maakunt.[[#This Row],[Perus-, suoritus- ja vaikuttavuusrahoitus yhteensä, €]]</f>
        <v>0.6863083520721025</v>
      </c>
      <c r="AU14" s="54">
        <f>Maakunt.[[#This Row],[Suoritusrahoitus, €]]/Maakunt.[[#This Row],[Perus-, suoritus- ja vaikuttavuusrahoitus yhteensä, €]]</f>
        <v>0.19813611821698274</v>
      </c>
      <c r="AV14" s="19">
        <f>Maakunt.[[#This Row],[Työllistymiseen ja jatko-opintoihin siirtymiseen perustuva sekä opiskelija-palautteisiin perustuva, €]]/Maakunt.[[#This Row],[Perus-, suoritus- ja vaikuttavuusrahoitus yhteensä, €]]</f>
        <v>0.11555552971091478</v>
      </c>
      <c r="AW14" s="19">
        <f>SUMIF(Ohj.lask.[Maakunta],Maakunt.[[#This Row],[Maakunta]],Ohj.lask.[Jaettava € 3])/Maakunt.[[#This Row],[Perus-, suoritus- ja vaikuttavuusrahoitus yhteensä, €]]</f>
        <v>8.4162870454131358E-2</v>
      </c>
      <c r="AX14" s="19">
        <f>SUMIF(Ohj.lask.[Maakunta],Maakunt.[[#This Row],[Maakunta]],Ohj.lask.[Jaettava € 4])/Maakunt.[[#This Row],[Perus-, suoritus- ja vaikuttavuusrahoitus yhteensä, €]]</f>
        <v>7.137149249598046E-3</v>
      </c>
      <c r="AY14" s="46">
        <f>SUMIF(Ohj.lask.[Maakunta],Maakunt.[[#This Row],[Maakunta]],Ohj.lask.[Jaettava € 5])/Maakunt.[[#This Row],[Perus-, suoritus- ja vaikuttavuusrahoitus yhteensä, €]]</f>
        <v>2.4255510007185371E-2</v>
      </c>
      <c r="AZ14" s="21">
        <f>SUMIF(Vertailu[Maakunta],Maakunt.[[#This Row],[Maakunta]],Vertailu[Rahoitus ml. hark. kor. 
2019 ilman alv, €])</f>
        <v>59050640</v>
      </c>
      <c r="BA14" s="21">
        <f>SUMIF(Vertailu[Maakunta],Maakunt.[[#This Row],[Maakunta]],Vertailu[Rahoitus ml. hark. kor. 
2020 ilman alv, €])</f>
        <v>59328870</v>
      </c>
      <c r="BB14" s="21">
        <f>SUMIF(Vertailu[Maakunta],Maakunt.[[#This Row],[Maakunta]],Vertailu[Muutos, € 2])</f>
        <v>278230</v>
      </c>
      <c r="BC14" s="46">
        <f>IFERROR(Maakunt.[[#This Row],[Muutos, € 2]]/Maakunt.[[#This Row],[Rahoitus ml. hark. kor. 
2019 ilman alv, €]],0)</f>
        <v>4.7117186198151282E-3</v>
      </c>
    </row>
    <row r="15" spans="1:55" x14ac:dyDescent="0.2">
      <c r="A15" s="25" t="s">
        <v>249</v>
      </c>
      <c r="B15" s="25">
        <f>COUNTIF(Ohj.lask.[Maakunta],Maakunt.[[#This Row],[Maakunta]])</f>
        <v>10</v>
      </c>
      <c r="C15" s="25">
        <f>COUNTIFS(Ohj.lask.[Maakunta],Maakunt.[[#This Row],[Maakunta]],Ohj.lask.[Omistajatyyppi],"=yksityinen")</f>
        <v>7</v>
      </c>
      <c r="D15" s="25">
        <f>COUNTIFS(Ohj.lask.[Maakunta],Maakunt.[[#This Row],[Maakunta]],Ohj.lask.[Omistajatyyppi],"=kunta")</f>
        <v>1</v>
      </c>
      <c r="E15" s="25">
        <f>COUNTIFS(Ohj.lask.[Maakunta],Maakunt.[[#This Row],[Maakunta]],Ohj.lask.[Omistajatyyppi],"=kuntayhtymä")</f>
        <v>2</v>
      </c>
      <c r="F15" s="21">
        <f>SUMIF(Ohj.lask.[Maakunta],Maakunt.[[#This Row],[Maakunta]],Ohj.lask.[Järjestämisluvan opisk.vuosien vähimmäismäärä])</f>
        <v>13971</v>
      </c>
      <c r="G15" s="20">
        <f>SUMIF(Ohj.lask.[Maakunta],Maakunt.[[#This Row],[Maakunta]],Ohj.lask.[Suoritepäätöksellä jaettavat opv:t (luvan ylittävä osuus)])</f>
        <v>2008</v>
      </c>
      <c r="H15" s="20">
        <f>SUMIF(Ohj.lask.[Maakunta],Maakunt.[[#This Row],[Maakunta]],Ohj.lask.[Tavoitteelliset opiske-lijavuodet])</f>
        <v>15979</v>
      </c>
      <c r="I15" s="84">
        <f>Maakunt.[[#This Row],[Painotetut opiskelija-vuodet]]/Maakunt.[[#This Row],[Tavoitteelliset opiske-lijavuodet]]</f>
        <v>1.0625696226297017</v>
      </c>
      <c r="J15" s="85">
        <f>SUMIF(Ohj.lask.[Maakunta],Maakunt.[[#This Row],[Maakunta]],Ohj.lask.[Painotetut opiskelija-vuodet])</f>
        <v>16978.800000000003</v>
      </c>
      <c r="K15" s="19">
        <f>SUMIF(Ohj.lask.[Maakunta],Maakunt.[[#This Row],[Maakunta]],Ohj.lask.[%-osuus 1])</f>
        <v>8.4228552322377054E-2</v>
      </c>
      <c r="L15" s="20">
        <f>SUMIF(Ohj.lask.[Maakunta],Maakunt.[[#This Row],[Maakunta]],Ohj.lask.[Jaettava € 1])</f>
        <v>100206245</v>
      </c>
      <c r="M15" s="21">
        <f>SUMIF(Ohj.lask.[Maakunta],Maakunt.[[#This Row],[Maakunta]],Ohj.lask.[Painotetut pisteet 2])</f>
        <v>1333407.5</v>
      </c>
      <c r="N15" s="19">
        <f>SUMIF(Ohj.lask.[Maakunta],Maakunt.[[#This Row],[Maakunta]],Ohj.lask.[%-osuus 2])</f>
        <v>8.5210416526929386E-2</v>
      </c>
      <c r="O15" s="20">
        <f>SUMIF(Ohj.lask.[Maakunta],Maakunt.[[#This Row],[Maakunta]],Ohj.lask.[Jaettava € 2])</f>
        <v>31551457</v>
      </c>
      <c r="P15" s="21">
        <f>SUMIF(Ohj.lask.[Maakunta],Maakunt.[[#This Row],[Maakunta]],Ohj.lask.[Painotetut pisteet 3])</f>
        <v>17728.000000000004</v>
      </c>
      <c r="Q15" s="19">
        <f>SUMIF(Ohj.lask.[Maakunta],Maakunt.[[#This Row],[Maakunta]],Ohj.lask.[%-osuus 3])</f>
        <v>9.3586614073467189E-2</v>
      </c>
      <c r="R15" s="20">
        <f>SUMIF(Ohj.lask.[Maakunta],Maakunt.[[#This Row],[Maakunta]],Ohj.lask.[Jaettava € 3])</f>
        <v>12994864</v>
      </c>
      <c r="S15" s="21">
        <f>SUMIF(Ohj.lask.[Maakunta],Maakunt.[[#This Row],[Maakunta]],Ohj.lask.[Painotetut pisteet 4])</f>
        <v>113515.39999999998</v>
      </c>
      <c r="T15" s="19">
        <f>SUMIF(Ohj.lask.[Maakunta],Maakunt.[[#This Row],[Maakunta]],Ohj.lask.[%-osuus 4])</f>
        <v>9.1174333160272833E-2</v>
      </c>
      <c r="U15" s="20">
        <f>SUMIF(Ohj.lask.[Maakunta],Maakunt.[[#This Row],[Maakunta]],Ohj.lask.[Jaettava € 4])</f>
        <v>1054993</v>
      </c>
      <c r="V15" s="21">
        <f>SUMIF(Ohj.lask.[Maakunta],Maakunt.[[#This Row],[Maakunta]],Ohj.lask.[Painotetut pisteet 5])</f>
        <v>631637.4</v>
      </c>
      <c r="W15" s="19">
        <f>SUMIF(Ohj.lask.[Maakunta],Maakunt.[[#This Row],[Maakunta]],Ohj.lask.[%-osuus 5])</f>
        <v>9.5383321905932239E-2</v>
      </c>
      <c r="X15" s="20">
        <f>SUMIF(Ohj.lask.[Maakunta],Maakunt.[[#This Row],[Maakunta]],Ohj.lask.[Jaettava € 5])</f>
        <v>3311087</v>
      </c>
      <c r="Y15" s="22">
        <f>SUMIF(Ohj.lask.[Maakunta],Maakunt.[[#This Row],[Maakunta]],Ohj.lask.[%-osuus 6])</f>
        <v>8.5449425699091405E-2</v>
      </c>
      <c r="Z15" s="20">
        <f>SUMIF(Ohj.lask.[Maakunta],Maakunt.[[#This Row],[Maakunta]],Ohj.lask.[Jaettava € 6])</f>
        <v>149118646</v>
      </c>
      <c r="AA15" s="21">
        <f>SUMIF(Ohj.lask.[Maakunta],Maakunt.[[#This Row],[Maakunta]],Ohj.lask.[Hakemus 1, €])</f>
        <v>455929</v>
      </c>
      <c r="AB15" s="20">
        <f>SUMIF(Ohj.lask.[Maakunta],Maakunt.[[#This Row],[Maakunta]],Ohj.lask.[Päätös 1, €])</f>
        <v>0</v>
      </c>
      <c r="AC15" s="21">
        <f>SUMIF(Ohj.lask.[Maakunta],Maakunt.[[#This Row],[Maakunta]],Ohj.lask.[Hakemus 2, €])</f>
        <v>1419832</v>
      </c>
      <c r="AD15" s="20">
        <f>SUMIF(Ohj.lask.[Maakunta],Maakunt.[[#This Row],[Maakunta]],Ohj.lask.[Päätös 2, €])</f>
        <v>0</v>
      </c>
      <c r="AE15" s="21">
        <f>SUMIF(Ohj.lask.[Maakunta],Maakunt.[[#This Row],[Maakunta]],Ohj.lask.[Hakemus 3, €])</f>
        <v>2455000</v>
      </c>
      <c r="AF15" s="20">
        <f>SUMIF(Ohj.lask.[Maakunta],Maakunt.[[#This Row],[Maakunta]],Ohj.lask.[Päätös 3, €])</f>
        <v>0</v>
      </c>
      <c r="AG15" s="21">
        <f>SUMIF(Ohj.lask.[Maakunta],Maakunt.[[#This Row],[Maakunta]],Ohj.lask.[Hakemus 4, €])</f>
        <v>3107254</v>
      </c>
      <c r="AH15" s="20">
        <f>SUMIF(Ohj.lask.[Maakunta],Maakunt.[[#This Row],[Maakunta]],Ohj.lask.[Päätös 4, €])</f>
        <v>330000</v>
      </c>
      <c r="AI15" s="21">
        <f>SUMIF(Ohj.lask.[Maakunta],Maakunt.[[#This Row],[Maakunta]],Ohj.lask.[Hakemus 5, €])</f>
        <v>210000</v>
      </c>
      <c r="AJ15" s="26">
        <f>SUMIF(Ohj.lask.[Maakunta],Maakunt.[[#This Row],[Maakunta]],Ohj.lask.[Päätös 5, €])</f>
        <v>0</v>
      </c>
      <c r="AK15" s="20">
        <f>SUMIF(Ohj.lask.[Maakunta],Maakunt.[[#This Row],[Maakunta]],Ohj.lask.[Hakemus 6, €])</f>
        <v>165000</v>
      </c>
      <c r="AL15" s="20">
        <f>SUMIF(Ohj.lask.[Maakunta],Maakunt.[[#This Row],[Maakunta]],Ohj.lask.[Päätös 6, €])</f>
        <v>80000</v>
      </c>
      <c r="AM15" s="21">
        <f>Maakunt.[[#This Row],[Hakemus 1, €]]+Maakunt.[[#This Row],[Hakemus 2, €]]+Maakunt.[[#This Row],[Hakemus 3, €]]+Maakunt.[[#This Row],[Hakemus 4, €]]+Maakunt.[[#This Row],[Hakemus 5, €]]+Maakunt.[[#This Row],[Hakemus 6, €]]</f>
        <v>7813015</v>
      </c>
      <c r="AN15" s="20">
        <f>Maakunt.[[#This Row],[Päätös 1, €]]+Maakunt.[[#This Row],[Päätös 2, €]]+Maakunt.[[#This Row],[Päätös 3, €]]+Maakunt.[[#This Row],[Päätös 4, €]]++Maakunt.[[#This Row],[Päätös 5, €]]+Maakunt.[[#This Row],[Päätös 6, €]]</f>
        <v>410000</v>
      </c>
      <c r="AO15" s="21">
        <f>SUMIF(Ohj.lask.[Maakunta],Maakunt.[[#This Row],[Maakunta]],Ohj.lask.[Opiskelijavuosiin perustuva (suoriteperusteinen) sekä harkinnanvarainen korotus, €])</f>
        <v>100616245</v>
      </c>
      <c r="AP15" s="21">
        <f>SUMIF(Ohj.lask.[Maakunta],Maakunt.[[#This Row],[Maakunta]],Ohj.lask.[Suoritusrahoitus, €])</f>
        <v>31551457</v>
      </c>
      <c r="AQ15" s="21">
        <f>SUMIF(Ohj.lask.[Maakunta],Maakunt.[[#This Row],[Maakunta]],Ohj.lask.[Työllistymiseen ja jatko-opintoihin siirtymiseen perustuva sekä opiskelija-palautteisiin perustuva, €])</f>
        <v>17360944</v>
      </c>
      <c r="AR15" s="45">
        <f>SUMIF(Ohj.lask.[Maakunta],Maakunt.[[#This Row],[Maakunta]],Ohj.lask.[Perus-, suoritus- ja vaikuttavuusrahoitus yhteensä, €])</f>
        <v>149528646</v>
      </c>
      <c r="AS15" s="22">
        <f>Maakunt.[[#This Row],[Jaettava € 1]]/Maakunt.[[#This Row],[Perus-, suoritus- ja vaikuttavuusrahoitus yhteensä, €]]</f>
        <v>0.67014747796218255</v>
      </c>
      <c r="AT15" s="19">
        <f>Maakunt.[[#This Row],[Opiskelijavuosiin perustuva (suoriteperusteinen) sekä harkinnanvarainen korotus, €]]/Maakunt.[[#This Row],[Perus-, suoritus- ja vaikuttavuusrahoitus yhteensä, €]]</f>
        <v>0.67288942748802794</v>
      </c>
      <c r="AU15" s="54">
        <f>Maakunt.[[#This Row],[Suoritusrahoitus, €]]/Maakunt.[[#This Row],[Perus-, suoritus- ja vaikuttavuusrahoitus yhteensä, €]]</f>
        <v>0.21100610380702572</v>
      </c>
      <c r="AV15" s="19">
        <f>Maakunt.[[#This Row],[Työllistymiseen ja jatko-opintoihin siirtymiseen perustuva sekä opiskelija-palautteisiin perustuva, €]]/Maakunt.[[#This Row],[Perus-, suoritus- ja vaikuttavuusrahoitus yhteensä, €]]</f>
        <v>0.11610446870494634</v>
      </c>
      <c r="AW15" s="19">
        <f>SUMIF(Ohj.lask.[Maakunta],Maakunt.[[#This Row],[Maakunta]],Ohj.lask.[Jaettava € 3])/Maakunt.[[#This Row],[Perus-, suoritus- ja vaikuttavuusrahoitus yhteensä, €]]</f>
        <v>8.6905515081036708E-2</v>
      </c>
      <c r="AX15" s="19">
        <f>SUMIF(Ohj.lask.[Maakunta],Maakunt.[[#This Row],[Maakunta]],Ohj.lask.[Jaettava € 4])/Maakunt.[[#This Row],[Perus-, suoritus- ja vaikuttavuusrahoitus yhteensä, €]]</f>
        <v>7.0554574539516664E-3</v>
      </c>
      <c r="AY15" s="46">
        <f>SUMIF(Ohj.lask.[Maakunta],Maakunt.[[#This Row],[Maakunta]],Ohj.lask.[Jaettava € 5])/Maakunt.[[#This Row],[Perus-, suoritus- ja vaikuttavuusrahoitus yhteensä, €]]</f>
        <v>2.2143496169957963E-2</v>
      </c>
      <c r="AZ15" s="21">
        <f>SUMIF(Vertailu[Maakunta],Maakunt.[[#This Row],[Maakunta]],Vertailu[Rahoitus ml. hark. kor. 
2019 ilman alv, €])</f>
        <v>140998617</v>
      </c>
      <c r="BA15" s="21">
        <f>SUMIF(Vertailu[Maakunta],Maakunt.[[#This Row],[Maakunta]],Vertailu[Rahoitus ml. hark. kor. 
2020 ilman alv, €])</f>
        <v>149528646</v>
      </c>
      <c r="BB15" s="21">
        <f>SUMIF(Vertailu[Maakunta],Maakunt.[[#This Row],[Maakunta]],Vertailu[Muutos, € 2])</f>
        <v>8530029</v>
      </c>
      <c r="BC15" s="46">
        <f>IFERROR(Maakunt.[[#This Row],[Muutos, € 2]]/Maakunt.[[#This Row],[Rahoitus ml. hark. kor. 
2019 ilman alv, €]],0)</f>
        <v>6.0497252962417356E-2</v>
      </c>
    </row>
    <row r="16" spans="1:55" x14ac:dyDescent="0.2">
      <c r="A16" s="25" t="s">
        <v>244</v>
      </c>
      <c r="B16" s="25">
        <f>COUNTIF(Ohj.lask.[Maakunta],Maakunt.[[#This Row],[Maakunta]])</f>
        <v>6</v>
      </c>
      <c r="C16" s="25">
        <f>COUNTIFS(Ohj.lask.[Maakunta],Maakunt.[[#This Row],[Maakunta]],Ohj.lask.[Omistajatyyppi],"=yksityinen")</f>
        <v>2</v>
      </c>
      <c r="D16" s="25">
        <f>COUNTIFS(Ohj.lask.[Maakunta],Maakunt.[[#This Row],[Maakunta]],Ohj.lask.[Omistajatyyppi],"=kunta")</f>
        <v>1</v>
      </c>
      <c r="E16" s="25">
        <f>COUNTIFS(Ohj.lask.[Maakunta],Maakunt.[[#This Row],[Maakunta]],Ohj.lask.[Omistajatyyppi],"=kuntayhtymä")</f>
        <v>3</v>
      </c>
      <c r="F16" s="21">
        <f>SUMIF(Ohj.lask.[Maakunta],Maakunt.[[#This Row],[Maakunta]],Ohj.lask.[Järjestämisluvan opisk.vuosien vähimmäismäärä])</f>
        <v>5051</v>
      </c>
      <c r="G16" s="20">
        <f>SUMIF(Ohj.lask.[Maakunta],Maakunt.[[#This Row],[Maakunta]],Ohj.lask.[Suoritepäätöksellä jaettavat opv:t (luvan ylittävä osuus)])</f>
        <v>338</v>
      </c>
      <c r="H16" s="20">
        <f>SUMIF(Ohj.lask.[Maakunta],Maakunt.[[#This Row],[Maakunta]],Ohj.lask.[Tavoitteelliset opiske-lijavuodet])</f>
        <v>5389</v>
      </c>
      <c r="I16" s="84">
        <f>Maakunt.[[#This Row],[Painotetut opiskelija-vuodet]]/Maakunt.[[#This Row],[Tavoitteelliset opiske-lijavuodet]]</f>
        <v>1.1384858044164039</v>
      </c>
      <c r="J16" s="85">
        <f>SUMIF(Ohj.lask.[Maakunta],Maakunt.[[#This Row],[Maakunta]],Ohj.lask.[Painotetut opiskelija-vuodet])</f>
        <v>6135.3</v>
      </c>
      <c r="K16" s="19">
        <f>SUMIF(Ohj.lask.[Maakunta],Maakunt.[[#This Row],[Maakunta]],Ohj.lask.[%-osuus 1])</f>
        <v>3.0436040065462813E-2</v>
      </c>
      <c r="L16" s="20">
        <f>SUMIF(Ohj.lask.[Maakunta],Maakunt.[[#This Row],[Maakunta]],Ohj.lask.[Jaettava € 1])</f>
        <v>36209591</v>
      </c>
      <c r="M16" s="21">
        <f>SUMIF(Ohj.lask.[Maakunta],Maakunt.[[#This Row],[Maakunta]],Ohj.lask.[Painotetut pisteet 2])</f>
        <v>460911.9</v>
      </c>
      <c r="N16" s="19">
        <f>SUMIF(Ohj.lask.[Maakunta],Maakunt.[[#This Row],[Maakunta]],Ohj.lask.[%-osuus 2])</f>
        <v>2.9454232844211864E-2</v>
      </c>
      <c r="O16" s="20">
        <f>SUMIF(Ohj.lask.[Maakunta],Maakunt.[[#This Row],[Maakunta]],Ohj.lask.[Jaettava € 2])</f>
        <v>10906225</v>
      </c>
      <c r="P16" s="21">
        <f>SUMIF(Ohj.lask.[Maakunta],Maakunt.[[#This Row],[Maakunta]],Ohj.lask.[Painotetut pisteet 3])</f>
        <v>6393</v>
      </c>
      <c r="Q16" s="19">
        <f>SUMIF(Ohj.lask.[Maakunta],Maakunt.[[#This Row],[Maakunta]],Ohj.lask.[%-osuus 3])</f>
        <v>3.3748828055712748E-2</v>
      </c>
      <c r="R16" s="20">
        <f>SUMIF(Ohj.lask.[Maakunta],Maakunt.[[#This Row],[Maakunta]],Ohj.lask.[Jaettava € 3])</f>
        <v>4686155</v>
      </c>
      <c r="S16" s="21">
        <f>SUMIF(Ohj.lask.[Maakunta],Maakunt.[[#This Row],[Maakunta]],Ohj.lask.[Painotetut pisteet 4])</f>
        <v>28448.399999999998</v>
      </c>
      <c r="T16" s="19">
        <f>SUMIF(Ohj.lask.[Maakunta],Maakunt.[[#This Row],[Maakunta]],Ohj.lask.[%-osuus 4])</f>
        <v>2.2849445092707296E-2</v>
      </c>
      <c r="U16" s="20">
        <f>SUMIF(Ohj.lask.[Maakunta],Maakunt.[[#This Row],[Maakunta]],Ohj.lask.[Jaettava € 4])</f>
        <v>264394</v>
      </c>
      <c r="V16" s="21">
        <f>SUMIF(Ohj.lask.[Maakunta],Maakunt.[[#This Row],[Maakunta]],Ohj.lask.[Painotetut pisteet 5])</f>
        <v>195652.9</v>
      </c>
      <c r="W16" s="19">
        <f>SUMIF(Ohj.lask.[Maakunta],Maakunt.[[#This Row],[Maakunta]],Ohj.lask.[%-osuus 5])</f>
        <v>2.9545469509134777E-2</v>
      </c>
      <c r="X16" s="20">
        <f>SUMIF(Ohj.lask.[Maakunta],Maakunt.[[#This Row],[Maakunta]],Ohj.lask.[Jaettava € 5])</f>
        <v>1025625</v>
      </c>
      <c r="Y16" s="22">
        <f>SUMIF(Ohj.lask.[Maakunta],Maakunt.[[#This Row],[Maakunta]],Ohj.lask.[%-osuus 6])</f>
        <v>3.0423291629954198E-2</v>
      </c>
      <c r="Z16" s="20">
        <f>SUMIF(Ohj.lask.[Maakunta],Maakunt.[[#This Row],[Maakunta]],Ohj.lask.[Jaettava € 6])</f>
        <v>53091990</v>
      </c>
      <c r="AA16" s="21">
        <f>SUMIF(Ohj.lask.[Maakunta],Maakunt.[[#This Row],[Maakunta]],Ohj.lask.[Hakemus 1, €])</f>
        <v>265840</v>
      </c>
      <c r="AB16" s="20">
        <f>SUMIF(Ohj.lask.[Maakunta],Maakunt.[[#This Row],[Maakunta]],Ohj.lask.[Päätös 1, €])</f>
        <v>0</v>
      </c>
      <c r="AC16" s="21">
        <f>SUMIF(Ohj.lask.[Maakunta],Maakunt.[[#This Row],[Maakunta]],Ohj.lask.[Hakemus 2, €])</f>
        <v>150000</v>
      </c>
      <c r="AD16" s="20">
        <f>SUMIF(Ohj.lask.[Maakunta],Maakunt.[[#This Row],[Maakunta]],Ohj.lask.[Päätös 2, €])</f>
        <v>0</v>
      </c>
      <c r="AE16" s="21">
        <f>SUMIF(Ohj.lask.[Maakunta],Maakunt.[[#This Row],[Maakunta]],Ohj.lask.[Hakemus 3, €])</f>
        <v>657520</v>
      </c>
      <c r="AF16" s="20">
        <f>SUMIF(Ohj.lask.[Maakunta],Maakunt.[[#This Row],[Maakunta]],Ohj.lask.[Päätös 3, €])</f>
        <v>50000</v>
      </c>
      <c r="AG16" s="21">
        <f>SUMIF(Ohj.lask.[Maakunta],Maakunt.[[#This Row],[Maakunta]],Ohj.lask.[Hakemus 4, €])</f>
        <v>120000</v>
      </c>
      <c r="AH16" s="20">
        <f>SUMIF(Ohj.lask.[Maakunta],Maakunt.[[#This Row],[Maakunta]],Ohj.lask.[Päätös 4, €])</f>
        <v>0</v>
      </c>
      <c r="AI16" s="21">
        <f>SUMIF(Ohj.lask.[Maakunta],Maakunt.[[#This Row],[Maakunta]],Ohj.lask.[Hakemus 5, €])</f>
        <v>220000</v>
      </c>
      <c r="AJ16" s="26">
        <f>SUMIF(Ohj.lask.[Maakunta],Maakunt.[[#This Row],[Maakunta]],Ohj.lask.[Päätös 5, €])</f>
        <v>80000</v>
      </c>
      <c r="AK16" s="20">
        <f>SUMIF(Ohj.lask.[Maakunta],Maakunt.[[#This Row],[Maakunta]],Ohj.lask.[Hakemus 6, €])</f>
        <v>80000</v>
      </c>
      <c r="AL16" s="20">
        <f>SUMIF(Ohj.lask.[Maakunta],Maakunt.[[#This Row],[Maakunta]],Ohj.lask.[Päätös 6, €])</f>
        <v>0</v>
      </c>
      <c r="AM16" s="21">
        <f>Maakunt.[[#This Row],[Hakemus 1, €]]+Maakunt.[[#This Row],[Hakemus 2, €]]+Maakunt.[[#This Row],[Hakemus 3, €]]+Maakunt.[[#This Row],[Hakemus 4, €]]+Maakunt.[[#This Row],[Hakemus 5, €]]+Maakunt.[[#This Row],[Hakemus 6, €]]</f>
        <v>1493360</v>
      </c>
      <c r="AN16" s="20">
        <f>Maakunt.[[#This Row],[Päätös 1, €]]+Maakunt.[[#This Row],[Päätös 2, €]]+Maakunt.[[#This Row],[Päätös 3, €]]+Maakunt.[[#This Row],[Päätös 4, €]]++Maakunt.[[#This Row],[Päätös 5, €]]+Maakunt.[[#This Row],[Päätös 6, €]]</f>
        <v>130000</v>
      </c>
      <c r="AO16" s="21">
        <f>SUMIF(Ohj.lask.[Maakunta],Maakunt.[[#This Row],[Maakunta]],Ohj.lask.[Opiskelijavuosiin perustuva (suoriteperusteinen) sekä harkinnanvarainen korotus, €])</f>
        <v>36339591</v>
      </c>
      <c r="AP16" s="21">
        <f>SUMIF(Ohj.lask.[Maakunta],Maakunt.[[#This Row],[Maakunta]],Ohj.lask.[Suoritusrahoitus, €])</f>
        <v>10906225</v>
      </c>
      <c r="AQ16" s="21">
        <f>SUMIF(Ohj.lask.[Maakunta],Maakunt.[[#This Row],[Maakunta]],Ohj.lask.[Työllistymiseen ja jatko-opintoihin siirtymiseen perustuva sekä opiskelija-palautteisiin perustuva, €])</f>
        <v>5976174</v>
      </c>
      <c r="AR16" s="45">
        <f>SUMIF(Ohj.lask.[Maakunta],Maakunt.[[#This Row],[Maakunta]],Ohj.lask.[Perus-, suoritus- ja vaikuttavuusrahoitus yhteensä, €])</f>
        <v>53221990</v>
      </c>
      <c r="AS16" s="22">
        <f>Maakunt.[[#This Row],[Jaettava € 1]]/Maakunt.[[#This Row],[Perus-, suoritus- ja vaikuttavuusrahoitus yhteensä, €]]</f>
        <v>0.68035018983694517</v>
      </c>
      <c r="AT16" s="19">
        <f>Maakunt.[[#This Row],[Opiskelijavuosiin perustuva (suoriteperusteinen) sekä harkinnanvarainen korotus, €]]/Maakunt.[[#This Row],[Perus-, suoritus- ja vaikuttavuusrahoitus yhteensä, €]]</f>
        <v>0.68279278922114717</v>
      </c>
      <c r="AU16" s="54">
        <f>Maakunt.[[#This Row],[Suoritusrahoitus, €]]/Maakunt.[[#This Row],[Perus-, suoritus- ja vaikuttavuusrahoitus yhteensä, €]]</f>
        <v>0.20491952668436486</v>
      </c>
      <c r="AV16" s="19">
        <f>Maakunt.[[#This Row],[Työllistymiseen ja jatko-opintoihin siirtymiseen perustuva sekä opiskelija-palautteisiin perustuva, €]]/Maakunt.[[#This Row],[Perus-, suoritus- ja vaikuttavuusrahoitus yhteensä, €]]</f>
        <v>0.11228768409448801</v>
      </c>
      <c r="AW16" s="19">
        <f>SUMIF(Ohj.lask.[Maakunta],Maakunt.[[#This Row],[Maakunta]],Ohj.lask.[Jaettava € 3])/Maakunt.[[#This Row],[Perus-, suoritus- ja vaikuttavuusrahoitus yhteensä, €]]</f>
        <v>8.8049225517497567E-2</v>
      </c>
      <c r="AX16" s="19">
        <f>SUMIF(Ohj.lask.[Maakunta],Maakunt.[[#This Row],[Maakunta]],Ohj.lask.[Jaettava € 4])/Maakunt.[[#This Row],[Perus-, suoritus- ja vaikuttavuusrahoitus yhteensä, €]]</f>
        <v>4.9677586275898361E-3</v>
      </c>
      <c r="AY16" s="46">
        <f>SUMIF(Ohj.lask.[Maakunta],Maakunt.[[#This Row],[Maakunta]],Ohj.lask.[Jaettava € 5])/Maakunt.[[#This Row],[Perus-, suoritus- ja vaikuttavuusrahoitus yhteensä, €]]</f>
        <v>1.9270699949400616E-2</v>
      </c>
      <c r="AZ16" s="21">
        <f>SUMIF(Vertailu[Maakunta],Maakunt.[[#This Row],[Maakunta]],Vertailu[Rahoitus ml. hark. kor. 
2019 ilman alv, €])</f>
        <v>52819912</v>
      </c>
      <c r="BA16" s="21">
        <f>SUMIF(Vertailu[Maakunta],Maakunt.[[#This Row],[Maakunta]],Vertailu[Rahoitus ml. hark. kor. 
2020 ilman alv, €])</f>
        <v>53221990</v>
      </c>
      <c r="BB16" s="21">
        <f>SUMIF(Vertailu[Maakunta],Maakunt.[[#This Row],[Maakunta]],Vertailu[Muutos, € 2])</f>
        <v>402078</v>
      </c>
      <c r="BC16" s="46">
        <f>IFERROR(Maakunt.[[#This Row],[Muutos, € 2]]/Maakunt.[[#This Row],[Rahoitus ml. hark. kor. 
2019 ilman alv, €]],0)</f>
        <v>7.6122428980949456E-3</v>
      </c>
    </row>
    <row r="17" spans="1:55" x14ac:dyDescent="0.2">
      <c r="A17" s="25" t="s">
        <v>317</v>
      </c>
      <c r="B17" s="25">
        <f>COUNTIF(Ohj.lask.[Maakunta],Maakunt.[[#This Row],[Maakunta]])</f>
        <v>4</v>
      </c>
      <c r="C17" s="25">
        <f>COUNTIFS(Ohj.lask.[Maakunta],Maakunt.[[#This Row],[Maakunta]],Ohj.lask.[Omistajatyyppi],"=yksityinen")</f>
        <v>2</v>
      </c>
      <c r="D17" s="25">
        <f>COUNTIFS(Ohj.lask.[Maakunta],Maakunt.[[#This Row],[Maakunta]],Ohj.lask.[Omistajatyyppi],"=kunta")</f>
        <v>1</v>
      </c>
      <c r="E17" s="25">
        <f>COUNTIFS(Ohj.lask.[Maakunta],Maakunt.[[#This Row],[Maakunta]],Ohj.lask.[Omistajatyyppi],"=kuntayhtymä")</f>
        <v>1</v>
      </c>
      <c r="F17" s="21">
        <f>SUMIF(Ohj.lask.[Maakunta],Maakunt.[[#This Row],[Maakunta]],Ohj.lask.[Järjestämisluvan opisk.vuosien vähimmäismäärä])</f>
        <v>4967</v>
      </c>
      <c r="G17" s="20">
        <f>SUMIF(Ohj.lask.[Maakunta],Maakunt.[[#This Row],[Maakunta]],Ohj.lask.[Suoritepäätöksellä jaettavat opv:t (luvan ylittävä osuus)])</f>
        <v>375</v>
      </c>
      <c r="H17" s="20">
        <f>SUMIF(Ohj.lask.[Maakunta],Maakunt.[[#This Row],[Maakunta]],Ohj.lask.[Tavoitteelliset opiske-lijavuodet])</f>
        <v>5342</v>
      </c>
      <c r="I17" s="84">
        <f>Maakunt.[[#This Row],[Painotetut opiskelija-vuodet]]/Maakunt.[[#This Row],[Tavoitteelliset opiske-lijavuodet]]</f>
        <v>1.1237738674653688</v>
      </c>
      <c r="J17" s="85">
        <f>SUMIF(Ohj.lask.[Maakunta],Maakunt.[[#This Row],[Maakunta]],Ohj.lask.[Painotetut opiskelija-vuodet])</f>
        <v>6003.2</v>
      </c>
      <c r="K17" s="19">
        <f>SUMIF(Ohj.lask.[Maakunta],Maakunt.[[#This Row],[Maakunta]],Ohj.lask.[%-osuus 1])</f>
        <v>2.9780717441850658E-2</v>
      </c>
      <c r="L17" s="20">
        <f>SUMIF(Ohj.lask.[Maakunta],Maakunt.[[#This Row],[Maakunta]],Ohj.lask.[Jaettava € 1])</f>
        <v>35429955</v>
      </c>
      <c r="M17" s="21">
        <f>SUMIF(Ohj.lask.[Maakunta],Maakunt.[[#This Row],[Maakunta]],Ohj.lask.[Painotetut pisteet 2])</f>
        <v>494431.2</v>
      </c>
      <c r="N17" s="19">
        <f>SUMIF(Ohj.lask.[Maakunta],Maakunt.[[#This Row],[Maakunta]],Ohj.lask.[%-osuus 2])</f>
        <v>3.1596258830034731E-2</v>
      </c>
      <c r="O17" s="20">
        <f>SUMIF(Ohj.lask.[Maakunta],Maakunt.[[#This Row],[Maakunta]],Ohj.lask.[Jaettava € 2])</f>
        <v>11699367</v>
      </c>
      <c r="P17" s="21">
        <f>SUMIF(Ohj.lask.[Maakunta],Maakunt.[[#This Row],[Maakunta]],Ohj.lask.[Painotetut pisteet 3])</f>
        <v>5969.5</v>
      </c>
      <c r="Q17" s="19">
        <f>SUMIF(Ohj.lask.[Maakunta],Maakunt.[[#This Row],[Maakunta]],Ohj.lask.[%-osuus 3])</f>
        <v>3.1513159561798419E-2</v>
      </c>
      <c r="R17" s="20">
        <f>SUMIF(Ohj.lask.[Maakunta],Maakunt.[[#This Row],[Maakunta]],Ohj.lask.[Jaettava € 3])</f>
        <v>4375723</v>
      </c>
      <c r="S17" s="21">
        <f>SUMIF(Ohj.lask.[Maakunta],Maakunt.[[#This Row],[Maakunta]],Ohj.lask.[Painotetut pisteet 4])</f>
        <v>39798.6</v>
      </c>
      <c r="T17" s="19">
        <f>SUMIF(Ohj.lask.[Maakunta],Maakunt.[[#This Row],[Maakunta]],Ohj.lask.[%-osuus 4])</f>
        <v>3.1965802135326432E-2</v>
      </c>
      <c r="U17" s="20">
        <f>SUMIF(Ohj.lask.[Maakunta],Maakunt.[[#This Row],[Maakunta]],Ohj.lask.[Jaettava € 4])</f>
        <v>369882</v>
      </c>
      <c r="V17" s="21">
        <f>SUMIF(Ohj.lask.[Maakunta],Maakunt.[[#This Row],[Maakunta]],Ohj.lask.[Painotetut pisteet 5])</f>
        <v>214266.2</v>
      </c>
      <c r="W17" s="19">
        <f>SUMIF(Ohj.lask.[Maakunta],Maakunt.[[#This Row],[Maakunta]],Ohj.lask.[%-osuus 5])</f>
        <v>3.2356256814686492E-2</v>
      </c>
      <c r="X17" s="20">
        <f>SUMIF(Ohj.lask.[Maakunta],Maakunt.[[#This Row],[Maakunta]],Ohj.lask.[Jaettava € 5])</f>
        <v>1123197</v>
      </c>
      <c r="Y17" s="22">
        <f>SUMIF(Ohj.lask.[Maakunta],Maakunt.[[#This Row],[Maakunta]],Ohj.lask.[%-osuus 6])</f>
        <v>3.0369503616128814E-2</v>
      </c>
      <c r="Z17" s="20">
        <f>SUMIF(Ohj.lask.[Maakunta],Maakunt.[[#This Row],[Maakunta]],Ohj.lask.[Jaettava € 6])</f>
        <v>52998124</v>
      </c>
      <c r="AA17" s="21">
        <f>SUMIF(Ohj.lask.[Maakunta],Maakunt.[[#This Row],[Maakunta]],Ohj.lask.[Hakemus 1, €])</f>
        <v>300000</v>
      </c>
      <c r="AB17" s="20">
        <f>SUMIF(Ohj.lask.[Maakunta],Maakunt.[[#This Row],[Maakunta]],Ohj.lask.[Päätös 1, €])</f>
        <v>0</v>
      </c>
      <c r="AC17" s="21">
        <f>SUMIF(Ohj.lask.[Maakunta],Maakunt.[[#This Row],[Maakunta]],Ohj.lask.[Hakemus 2, €])</f>
        <v>2350000</v>
      </c>
      <c r="AD17" s="20">
        <f>SUMIF(Ohj.lask.[Maakunta],Maakunt.[[#This Row],[Maakunta]],Ohj.lask.[Päätös 2, €])</f>
        <v>0</v>
      </c>
      <c r="AE17" s="21">
        <f>SUMIF(Ohj.lask.[Maakunta],Maakunt.[[#This Row],[Maakunta]],Ohj.lask.[Hakemus 3, €])</f>
        <v>0</v>
      </c>
      <c r="AF17" s="20">
        <f>SUMIF(Ohj.lask.[Maakunta],Maakunt.[[#This Row],[Maakunta]],Ohj.lask.[Päätös 3, €])</f>
        <v>0</v>
      </c>
      <c r="AG17" s="21">
        <f>SUMIF(Ohj.lask.[Maakunta],Maakunt.[[#This Row],[Maakunta]],Ohj.lask.[Hakemus 4, €])</f>
        <v>0</v>
      </c>
      <c r="AH17" s="20">
        <f>SUMIF(Ohj.lask.[Maakunta],Maakunt.[[#This Row],[Maakunta]],Ohj.lask.[Päätös 4, €])</f>
        <v>0</v>
      </c>
      <c r="AI17" s="21">
        <f>SUMIF(Ohj.lask.[Maakunta],Maakunt.[[#This Row],[Maakunta]],Ohj.lask.[Hakemus 5, €])</f>
        <v>215000</v>
      </c>
      <c r="AJ17" s="26">
        <f>SUMIF(Ohj.lask.[Maakunta],Maakunt.[[#This Row],[Maakunta]],Ohj.lask.[Päätös 5, €])</f>
        <v>10000</v>
      </c>
      <c r="AK17" s="20">
        <f>SUMIF(Ohj.lask.[Maakunta],Maakunt.[[#This Row],[Maakunta]],Ohj.lask.[Hakemus 6, €])</f>
        <v>0</v>
      </c>
      <c r="AL17" s="20">
        <f>SUMIF(Ohj.lask.[Maakunta],Maakunt.[[#This Row],[Maakunta]],Ohj.lask.[Päätös 6, €])</f>
        <v>0</v>
      </c>
      <c r="AM17" s="21">
        <f>Maakunt.[[#This Row],[Hakemus 1, €]]+Maakunt.[[#This Row],[Hakemus 2, €]]+Maakunt.[[#This Row],[Hakemus 3, €]]+Maakunt.[[#This Row],[Hakemus 4, €]]+Maakunt.[[#This Row],[Hakemus 5, €]]+Maakunt.[[#This Row],[Hakemus 6, €]]</f>
        <v>2865000</v>
      </c>
      <c r="AN17" s="20">
        <f>Maakunt.[[#This Row],[Päätös 1, €]]+Maakunt.[[#This Row],[Päätös 2, €]]+Maakunt.[[#This Row],[Päätös 3, €]]+Maakunt.[[#This Row],[Päätös 4, €]]++Maakunt.[[#This Row],[Päätös 5, €]]+Maakunt.[[#This Row],[Päätös 6, €]]</f>
        <v>10000</v>
      </c>
      <c r="AO17" s="21">
        <f>SUMIF(Ohj.lask.[Maakunta],Maakunt.[[#This Row],[Maakunta]],Ohj.lask.[Opiskelijavuosiin perustuva (suoriteperusteinen) sekä harkinnanvarainen korotus, €])</f>
        <v>35439955</v>
      </c>
      <c r="AP17" s="21">
        <f>SUMIF(Ohj.lask.[Maakunta],Maakunt.[[#This Row],[Maakunta]],Ohj.lask.[Suoritusrahoitus, €])</f>
        <v>11699367</v>
      </c>
      <c r="AQ17" s="21">
        <f>SUMIF(Ohj.lask.[Maakunta],Maakunt.[[#This Row],[Maakunta]],Ohj.lask.[Työllistymiseen ja jatko-opintoihin siirtymiseen perustuva sekä opiskelija-palautteisiin perustuva, €])</f>
        <v>5868802</v>
      </c>
      <c r="AR17" s="45">
        <f>SUMIF(Ohj.lask.[Maakunta],Maakunt.[[#This Row],[Maakunta]],Ohj.lask.[Perus-, suoritus- ja vaikuttavuusrahoitus yhteensä, €])</f>
        <v>53008124</v>
      </c>
      <c r="AS17" s="22">
        <f>Maakunt.[[#This Row],[Jaettava € 1]]/Maakunt.[[#This Row],[Perus-, suoritus- ja vaikuttavuusrahoitus yhteensä, €]]</f>
        <v>0.66838726456344688</v>
      </c>
      <c r="AT17" s="19">
        <f>Maakunt.[[#This Row],[Opiskelijavuosiin perustuva (suoriteperusteinen) sekä harkinnanvarainen korotus, €]]/Maakunt.[[#This Row],[Perus-, suoritus- ja vaikuttavuusrahoitus yhteensä, €]]</f>
        <v>0.6685759148918381</v>
      </c>
      <c r="AU17" s="54">
        <f>Maakunt.[[#This Row],[Suoritusrahoitus, €]]/Maakunt.[[#This Row],[Perus-, suoritus- ja vaikuttavuusrahoitus yhteensä, €]]</f>
        <v>0.22070894265188484</v>
      </c>
      <c r="AV17" s="19">
        <f>Maakunt.[[#This Row],[Työllistymiseen ja jatko-opintoihin siirtymiseen perustuva sekä opiskelija-palautteisiin perustuva, €]]/Maakunt.[[#This Row],[Perus-, suoritus- ja vaikuttavuusrahoitus yhteensä, €]]</f>
        <v>0.11071514245627707</v>
      </c>
      <c r="AW17" s="19">
        <f>SUMIF(Ohj.lask.[Maakunta],Maakunt.[[#This Row],[Maakunta]],Ohj.lask.[Jaettava € 3])/Maakunt.[[#This Row],[Perus-, suoritus- ja vaikuttavuusrahoitus yhteensä, €]]</f>
        <v>8.254815808988071E-2</v>
      </c>
      <c r="AX17" s="19">
        <f>SUMIF(Ohj.lask.[Maakunta],Maakunt.[[#This Row],[Maakunta]],Ohj.lask.[Jaettava € 4])/Maakunt.[[#This Row],[Perus-, suoritus- ja vaikuttavuusrahoitus yhteensä, €]]</f>
        <v>6.977836076598372E-3</v>
      </c>
      <c r="AY17" s="46">
        <f>SUMIF(Ohj.lask.[Maakunta],Maakunt.[[#This Row],[Maakunta]],Ohj.lask.[Jaettava € 5])/Maakunt.[[#This Row],[Perus-, suoritus- ja vaikuttavuusrahoitus yhteensä, €]]</f>
        <v>2.1189148289797993E-2</v>
      </c>
      <c r="AZ17" s="21">
        <f>SUMIF(Vertailu[Maakunta],Maakunt.[[#This Row],[Maakunta]],Vertailu[Rahoitus ml. hark. kor. 
2019 ilman alv, €])</f>
        <v>50833419</v>
      </c>
      <c r="BA17" s="21">
        <f>SUMIF(Vertailu[Maakunta],Maakunt.[[#This Row],[Maakunta]],Vertailu[Rahoitus ml. hark. kor. 
2020 ilman alv, €])</f>
        <v>53008124</v>
      </c>
      <c r="BB17" s="21">
        <f>SUMIF(Vertailu[Maakunta],Maakunt.[[#This Row],[Maakunta]],Vertailu[Muutos, € 2])</f>
        <v>2174705</v>
      </c>
      <c r="BC17" s="46">
        <f>IFERROR(Maakunt.[[#This Row],[Muutos, € 2]]/Maakunt.[[#This Row],[Rahoitus ml. hark. kor. 
2019 ilman alv, €]],0)</f>
        <v>4.2781009870691562E-2</v>
      </c>
    </row>
    <row r="18" spans="1:55" x14ac:dyDescent="0.2">
      <c r="A18" s="25" t="s">
        <v>246</v>
      </c>
      <c r="B18" s="25">
        <f>COUNTIF(Ohj.lask.[Maakunta],Maakunt.[[#This Row],[Maakunta]])</f>
        <v>11</v>
      </c>
      <c r="C18" s="25">
        <f>COUNTIFS(Ohj.lask.[Maakunta],Maakunt.[[#This Row],[Maakunta]],Ohj.lask.[Omistajatyyppi],"=yksityinen")</f>
        <v>7</v>
      </c>
      <c r="D18" s="25">
        <f>COUNTIFS(Ohj.lask.[Maakunta],Maakunt.[[#This Row],[Maakunta]],Ohj.lask.[Omistajatyyppi],"=kunta")</f>
        <v>1</v>
      </c>
      <c r="E18" s="25">
        <f>COUNTIFS(Ohj.lask.[Maakunta],Maakunt.[[#This Row],[Maakunta]],Ohj.lask.[Omistajatyyppi],"=kuntayhtymä")</f>
        <v>3</v>
      </c>
      <c r="F18" s="21">
        <f>SUMIF(Ohj.lask.[Maakunta],Maakunt.[[#This Row],[Maakunta]],Ohj.lask.[Järjestämisluvan opisk.vuosien vähimmäismäärä])</f>
        <v>11617</v>
      </c>
      <c r="G18" s="20">
        <f>SUMIF(Ohj.lask.[Maakunta],Maakunt.[[#This Row],[Maakunta]],Ohj.lask.[Suoritepäätöksellä jaettavat opv:t (luvan ylittävä osuus)])</f>
        <v>457</v>
      </c>
      <c r="H18" s="20">
        <f>SUMIF(Ohj.lask.[Maakunta],Maakunt.[[#This Row],[Maakunta]],Ohj.lask.[Tavoitteelliset opiske-lijavuodet])</f>
        <v>12074</v>
      </c>
      <c r="I18" s="84">
        <f>Maakunt.[[#This Row],[Painotetut opiskelija-vuodet]]/Maakunt.[[#This Row],[Tavoitteelliset opiske-lijavuodet]]</f>
        <v>1.0917011760808348</v>
      </c>
      <c r="J18" s="85">
        <f>SUMIF(Ohj.lask.[Maakunta],Maakunt.[[#This Row],[Maakunta]],Ohj.lask.[Painotetut opiskelija-vuodet])</f>
        <v>13181.2</v>
      </c>
      <c r="K18" s="19">
        <f>SUMIF(Ohj.lask.[Maakunta],Maakunt.[[#This Row],[Maakunta]],Ohj.lask.[%-osuus 1])</f>
        <v>6.5389391115492065E-2</v>
      </c>
      <c r="L18" s="20">
        <f>SUMIF(Ohj.lask.[Maakunta],Maakunt.[[#This Row],[Maakunta]],Ohj.lask.[Jaettava € 1])</f>
        <v>77793398</v>
      </c>
      <c r="M18" s="21">
        <f>SUMIF(Ohj.lask.[Maakunta],Maakunt.[[#This Row],[Maakunta]],Ohj.lask.[Painotetut pisteet 2])</f>
        <v>1034393.3999999998</v>
      </c>
      <c r="N18" s="19">
        <f>SUMIF(Ohj.lask.[Maakunta],Maakunt.[[#This Row],[Maakunta]],Ohj.lask.[%-osuus 2])</f>
        <v>6.610214241835799E-2</v>
      </c>
      <c r="O18" s="20">
        <f>SUMIF(Ohj.lask.[Maakunta],Maakunt.[[#This Row],[Maakunta]],Ohj.lask.[Jaettava € 2])</f>
        <v>24476103</v>
      </c>
      <c r="P18" s="21">
        <f>SUMIF(Ohj.lask.[Maakunta],Maakunt.[[#This Row],[Maakunta]],Ohj.lask.[Painotetut pisteet 3])</f>
        <v>13957.399999999998</v>
      </c>
      <c r="Q18" s="19">
        <f>SUMIF(Ohj.lask.[Maakunta],Maakunt.[[#This Row],[Maakunta]],Ohj.lask.[%-osuus 3])</f>
        <v>7.3681509886564245E-2</v>
      </c>
      <c r="R18" s="20">
        <f>SUMIF(Ohj.lask.[Maakunta],Maakunt.[[#This Row],[Maakunta]],Ohj.lask.[Jaettava € 3])</f>
        <v>10230965</v>
      </c>
      <c r="S18" s="21">
        <f>SUMIF(Ohj.lask.[Maakunta],Maakunt.[[#This Row],[Maakunta]],Ohj.lask.[Painotetut pisteet 4])</f>
        <v>111718.99999999999</v>
      </c>
      <c r="T18" s="19">
        <f>SUMIF(Ohj.lask.[Maakunta],Maakunt.[[#This Row],[Maakunta]],Ohj.lask.[%-osuus 4])</f>
        <v>8.9731484242072182E-2</v>
      </c>
      <c r="U18" s="20">
        <f>SUMIF(Ohj.lask.[Maakunta],Maakunt.[[#This Row],[Maakunta]],Ohj.lask.[Jaettava € 4])</f>
        <v>1038296</v>
      </c>
      <c r="V18" s="21">
        <f>SUMIF(Ohj.lask.[Maakunta],Maakunt.[[#This Row],[Maakunta]],Ohj.lask.[Painotetut pisteet 5])</f>
        <v>556539.5</v>
      </c>
      <c r="W18" s="19">
        <f>SUMIF(Ohj.lask.[Maakunta],Maakunt.[[#This Row],[Maakunta]],Ohj.lask.[%-osuus 5])</f>
        <v>8.4042816783595417E-2</v>
      </c>
      <c r="X18" s="20">
        <f>SUMIF(Ohj.lask.[Maakunta],Maakunt.[[#This Row],[Maakunta]],Ohj.lask.[Jaettava € 5])</f>
        <v>2917417</v>
      </c>
      <c r="Y18" s="22">
        <f>SUMIF(Ohj.lask.[Maakunta],Maakunt.[[#This Row],[Maakunta]],Ohj.lask.[%-osuus 6])</f>
        <v>6.6732859247264006E-2</v>
      </c>
      <c r="Z18" s="20">
        <f>SUMIF(Ohj.lask.[Maakunta],Maakunt.[[#This Row],[Maakunta]],Ohj.lask.[Jaettava € 6])</f>
        <v>116456179</v>
      </c>
      <c r="AA18" s="21">
        <f>SUMIF(Ohj.lask.[Maakunta],Maakunt.[[#This Row],[Maakunta]],Ohj.lask.[Hakemus 1, €])</f>
        <v>1200000</v>
      </c>
      <c r="AB18" s="20">
        <f>SUMIF(Ohj.lask.[Maakunta],Maakunt.[[#This Row],[Maakunta]],Ohj.lask.[Päätös 1, €])</f>
        <v>0</v>
      </c>
      <c r="AC18" s="21">
        <f>SUMIF(Ohj.lask.[Maakunta],Maakunt.[[#This Row],[Maakunta]],Ohj.lask.[Hakemus 2, €])</f>
        <v>98442</v>
      </c>
      <c r="AD18" s="20">
        <f>SUMIF(Ohj.lask.[Maakunta],Maakunt.[[#This Row],[Maakunta]],Ohj.lask.[Päätös 2, €])</f>
        <v>0</v>
      </c>
      <c r="AE18" s="21">
        <f>SUMIF(Ohj.lask.[Maakunta],Maakunt.[[#This Row],[Maakunta]],Ohj.lask.[Hakemus 3, €])</f>
        <v>2000000</v>
      </c>
      <c r="AF18" s="20">
        <f>SUMIF(Ohj.lask.[Maakunta],Maakunt.[[#This Row],[Maakunta]],Ohj.lask.[Päätös 3, €])</f>
        <v>0</v>
      </c>
      <c r="AG18" s="21">
        <f>SUMIF(Ohj.lask.[Maakunta],Maakunt.[[#This Row],[Maakunta]],Ohj.lask.[Hakemus 4, €])</f>
        <v>0</v>
      </c>
      <c r="AH18" s="20">
        <f>SUMIF(Ohj.lask.[Maakunta],Maakunt.[[#This Row],[Maakunta]],Ohj.lask.[Päätös 4, €])</f>
        <v>0</v>
      </c>
      <c r="AI18" s="21">
        <f>SUMIF(Ohj.lask.[Maakunta],Maakunt.[[#This Row],[Maakunta]],Ohj.lask.[Hakemus 5, €])</f>
        <v>557000</v>
      </c>
      <c r="AJ18" s="26">
        <f>SUMIF(Ohj.lask.[Maakunta],Maakunt.[[#This Row],[Maakunta]],Ohj.lask.[Päätös 5, €])</f>
        <v>0</v>
      </c>
      <c r="AK18" s="20">
        <f>SUMIF(Ohj.lask.[Maakunta],Maakunt.[[#This Row],[Maakunta]],Ohj.lask.[Hakemus 6, €])</f>
        <v>70000</v>
      </c>
      <c r="AL18" s="20">
        <f>SUMIF(Ohj.lask.[Maakunta],Maakunt.[[#This Row],[Maakunta]],Ohj.lask.[Päätös 6, €])</f>
        <v>40000</v>
      </c>
      <c r="AM18" s="21">
        <f>Maakunt.[[#This Row],[Hakemus 1, €]]+Maakunt.[[#This Row],[Hakemus 2, €]]+Maakunt.[[#This Row],[Hakemus 3, €]]+Maakunt.[[#This Row],[Hakemus 4, €]]+Maakunt.[[#This Row],[Hakemus 5, €]]+Maakunt.[[#This Row],[Hakemus 6, €]]</f>
        <v>3925442</v>
      </c>
      <c r="AN18" s="20">
        <f>Maakunt.[[#This Row],[Päätös 1, €]]+Maakunt.[[#This Row],[Päätös 2, €]]+Maakunt.[[#This Row],[Päätös 3, €]]+Maakunt.[[#This Row],[Päätös 4, €]]++Maakunt.[[#This Row],[Päätös 5, €]]+Maakunt.[[#This Row],[Päätös 6, €]]</f>
        <v>40000</v>
      </c>
      <c r="AO18" s="21">
        <f>SUMIF(Ohj.lask.[Maakunta],Maakunt.[[#This Row],[Maakunta]],Ohj.lask.[Opiskelijavuosiin perustuva (suoriteperusteinen) sekä harkinnanvarainen korotus, €])</f>
        <v>77833398</v>
      </c>
      <c r="AP18" s="21">
        <f>SUMIF(Ohj.lask.[Maakunta],Maakunt.[[#This Row],[Maakunta]],Ohj.lask.[Suoritusrahoitus, €])</f>
        <v>24476103</v>
      </c>
      <c r="AQ18" s="21">
        <f>SUMIF(Ohj.lask.[Maakunta],Maakunt.[[#This Row],[Maakunta]],Ohj.lask.[Työllistymiseen ja jatko-opintoihin siirtymiseen perustuva sekä opiskelija-palautteisiin perustuva, €])</f>
        <v>14186678</v>
      </c>
      <c r="AR18" s="45">
        <f>SUMIF(Ohj.lask.[Maakunta],Maakunt.[[#This Row],[Maakunta]],Ohj.lask.[Perus-, suoritus- ja vaikuttavuusrahoitus yhteensä, €])</f>
        <v>116496179</v>
      </c>
      <c r="AS18" s="22">
        <f>Maakunt.[[#This Row],[Jaettava € 1]]/Maakunt.[[#This Row],[Perus-, suoritus- ja vaikuttavuusrahoitus yhteensä, €]]</f>
        <v>0.66777639118962007</v>
      </c>
      <c r="AT18" s="19">
        <f>Maakunt.[[#This Row],[Opiskelijavuosiin perustuva (suoriteperusteinen) sekä harkinnanvarainen korotus, €]]/Maakunt.[[#This Row],[Perus-, suoritus- ja vaikuttavuusrahoitus yhteensä, €]]</f>
        <v>0.66811975009068747</v>
      </c>
      <c r="AU18" s="54">
        <f>Maakunt.[[#This Row],[Suoritusrahoitus, €]]/Maakunt.[[#This Row],[Perus-, suoritus- ja vaikuttavuusrahoitus yhteensä, €]]</f>
        <v>0.21010219571235894</v>
      </c>
      <c r="AV18" s="19">
        <f>Maakunt.[[#This Row],[Työllistymiseen ja jatko-opintoihin siirtymiseen perustuva sekä opiskelija-palautteisiin perustuva, €]]/Maakunt.[[#This Row],[Perus-, suoritus- ja vaikuttavuusrahoitus yhteensä, €]]</f>
        <v>0.12177805419695353</v>
      </c>
      <c r="AW18" s="19">
        <f>SUMIF(Ohj.lask.[Maakunta],Maakunt.[[#This Row],[Maakunta]],Ohj.lask.[Jaettava € 3])/Maakunt.[[#This Row],[Perus-, suoritus- ja vaikuttavuusrahoitus yhteensä, €]]</f>
        <v>8.7822322481495296E-2</v>
      </c>
      <c r="AX18" s="19">
        <f>SUMIF(Ohj.lask.[Maakunta],Maakunt.[[#This Row],[Maakunta]],Ohj.lask.[Jaettava € 4])/Maakunt.[[#This Row],[Perus-, suoritus- ja vaikuttavuusrahoitus yhteensä, €]]</f>
        <v>8.9127043385689077E-3</v>
      </c>
      <c r="AY18" s="46">
        <f>SUMIF(Ohj.lask.[Maakunta],Maakunt.[[#This Row],[Maakunta]],Ohj.lask.[Jaettava € 5])/Maakunt.[[#This Row],[Perus-, suoritus- ja vaikuttavuusrahoitus yhteensä, €]]</f>
        <v>2.5043027376889331E-2</v>
      </c>
      <c r="AZ18" s="21">
        <f>SUMIF(Vertailu[Maakunta],Maakunt.[[#This Row],[Maakunta]],Vertailu[Rahoitus ml. hark. kor. 
2019 ilman alv, €])</f>
        <v>116739015</v>
      </c>
      <c r="BA18" s="21">
        <f>SUMIF(Vertailu[Maakunta],Maakunt.[[#This Row],[Maakunta]],Vertailu[Rahoitus ml. hark. kor. 
2020 ilman alv, €])</f>
        <v>116496179</v>
      </c>
      <c r="BB18" s="21">
        <f>SUMIF(Vertailu[Maakunta],Maakunt.[[#This Row],[Maakunta]],Vertailu[Muutos, € 2])</f>
        <v>-242836</v>
      </c>
      <c r="BC18" s="46">
        <f>IFERROR(Maakunt.[[#This Row],[Muutos, € 2]]/Maakunt.[[#This Row],[Rahoitus ml. hark. kor. 
2019 ilman alv, €]],0)</f>
        <v>-2.0801614610162678E-3</v>
      </c>
    </row>
    <row r="19" spans="1:55" x14ac:dyDescent="0.2">
      <c r="A19" s="25" t="s">
        <v>242</v>
      </c>
      <c r="B19" s="25">
        <f>COUNTIF(Ohj.lask.[Maakunta],Maakunt.[[#This Row],[Maakunta]])</f>
        <v>8</v>
      </c>
      <c r="C19" s="25">
        <f>COUNTIFS(Ohj.lask.[Maakunta],Maakunt.[[#This Row],[Maakunta]],Ohj.lask.[Omistajatyyppi],"=yksityinen")</f>
        <v>6</v>
      </c>
      <c r="D19" s="25">
        <f>COUNTIFS(Ohj.lask.[Maakunta],Maakunt.[[#This Row],[Maakunta]],Ohj.lask.[Omistajatyyppi],"=kunta")</f>
        <v>0</v>
      </c>
      <c r="E19" s="25">
        <f>COUNTIFS(Ohj.lask.[Maakunta],Maakunt.[[#This Row],[Maakunta]],Ohj.lask.[Omistajatyyppi],"=kuntayhtymä")</f>
        <v>2</v>
      </c>
      <c r="F19" s="21">
        <f>SUMIF(Ohj.lask.[Maakunta],Maakunt.[[#This Row],[Maakunta]],Ohj.lask.[Järjestämisluvan opisk.vuosien vähimmäismäärä])</f>
        <v>7528</v>
      </c>
      <c r="G19" s="20">
        <f>SUMIF(Ohj.lask.[Maakunta],Maakunt.[[#This Row],[Maakunta]],Ohj.lask.[Suoritepäätöksellä jaettavat opv:t (luvan ylittävä osuus)])</f>
        <v>414</v>
      </c>
      <c r="H19" s="20">
        <f>SUMIF(Ohj.lask.[Maakunta],Maakunt.[[#This Row],[Maakunta]],Ohj.lask.[Tavoitteelliset opiske-lijavuodet])</f>
        <v>7942</v>
      </c>
      <c r="I19" s="84">
        <f>Maakunt.[[#This Row],[Painotetut opiskelija-vuodet]]/Maakunt.[[#This Row],[Tavoitteelliset opiske-lijavuodet]]</f>
        <v>1.0914253336691011</v>
      </c>
      <c r="J19" s="85">
        <f>SUMIF(Ohj.lask.[Maakunta],Maakunt.[[#This Row],[Maakunta]],Ohj.lask.[Painotetut opiskelija-vuodet])</f>
        <v>8668.1</v>
      </c>
      <c r="K19" s="19">
        <f>SUMIF(Ohj.lask.[Maakunta],Maakunt.[[#This Row],[Maakunta]],Ohj.lask.[%-osuus 1])</f>
        <v>4.3000772397672193E-2</v>
      </c>
      <c r="L19" s="20">
        <f>SUMIF(Ohj.lask.[Maakunta],Maakunt.[[#This Row],[Maakunta]],Ohj.lask.[Jaettava € 1])</f>
        <v>51157783</v>
      </c>
      <c r="M19" s="21">
        <f>SUMIF(Ohj.lask.[Maakunta],Maakunt.[[#This Row],[Maakunta]],Ohj.lask.[Painotetut pisteet 2])</f>
        <v>743603.39999999991</v>
      </c>
      <c r="N19" s="19">
        <f>SUMIF(Ohj.lask.[Maakunta],Maakunt.[[#This Row],[Maakunta]],Ohj.lask.[%-osuus 2])</f>
        <v>4.7519423315708728E-2</v>
      </c>
      <c r="O19" s="20">
        <f>SUMIF(Ohj.lask.[Maakunta],Maakunt.[[#This Row],[Maakunta]],Ohj.lask.[Jaettava € 2])</f>
        <v>17595348</v>
      </c>
      <c r="P19" s="21">
        <f>SUMIF(Ohj.lask.[Maakunta],Maakunt.[[#This Row],[Maakunta]],Ohj.lask.[Painotetut pisteet 3])</f>
        <v>8794.4</v>
      </c>
      <c r="Q19" s="19">
        <f>SUMIF(Ohj.lask.[Maakunta],Maakunt.[[#This Row],[Maakunta]],Ohj.lask.[%-osuus 3])</f>
        <v>4.6425886665596786E-2</v>
      </c>
      <c r="R19" s="20">
        <f>SUMIF(Ohj.lask.[Maakunta],Maakunt.[[#This Row],[Maakunta]],Ohj.lask.[Jaettava € 3])</f>
        <v>6446414</v>
      </c>
      <c r="S19" s="21">
        <f>SUMIF(Ohj.lask.[Maakunta],Maakunt.[[#This Row],[Maakunta]],Ohj.lask.[Painotetut pisteet 4])</f>
        <v>64335.200000000004</v>
      </c>
      <c r="T19" s="19">
        <f>SUMIF(Ohj.lask.[Maakunta],Maakunt.[[#This Row],[Maakunta]],Ohj.lask.[%-osuus 4])</f>
        <v>5.1673332065365452E-2</v>
      </c>
      <c r="U19" s="20">
        <f>SUMIF(Ohj.lask.[Maakunta],Maakunt.[[#This Row],[Maakunta]],Ohj.lask.[Jaettava € 4])</f>
        <v>597920</v>
      </c>
      <c r="V19" s="21">
        <f>SUMIF(Ohj.lask.[Maakunta],Maakunt.[[#This Row],[Maakunta]],Ohj.lask.[Painotetut pisteet 5])</f>
        <v>341786.6</v>
      </c>
      <c r="W19" s="19">
        <f>SUMIF(Ohj.lask.[Maakunta],Maakunt.[[#This Row],[Maakunta]],Ohj.lask.[%-osuus 5])</f>
        <v>5.1613063588277233E-2</v>
      </c>
      <c r="X19" s="20">
        <f>SUMIF(Ohj.lask.[Maakunta],Maakunt.[[#This Row],[Maakunta]],Ohj.lask.[Jaettava € 5])</f>
        <v>1791668</v>
      </c>
      <c r="Y19" s="22">
        <f>SUMIF(Ohj.lask.[Maakunta],Maakunt.[[#This Row],[Maakunta]],Ohj.lask.[%-osuus 6])</f>
        <v>4.4460884223294396E-2</v>
      </c>
      <c r="Z19" s="20">
        <f>SUMIF(Ohj.lask.[Maakunta],Maakunt.[[#This Row],[Maakunta]],Ohj.lask.[Jaettava € 6])</f>
        <v>77589133</v>
      </c>
      <c r="AA19" s="21">
        <f>SUMIF(Ohj.lask.[Maakunta],Maakunt.[[#This Row],[Maakunta]],Ohj.lask.[Hakemus 1, €])</f>
        <v>130112</v>
      </c>
      <c r="AB19" s="20">
        <f>SUMIF(Ohj.lask.[Maakunta],Maakunt.[[#This Row],[Maakunta]],Ohj.lask.[Päätös 1, €])</f>
        <v>0</v>
      </c>
      <c r="AC19" s="21">
        <f>SUMIF(Ohj.lask.[Maakunta],Maakunt.[[#This Row],[Maakunta]],Ohj.lask.[Hakemus 2, €])</f>
        <v>150000</v>
      </c>
      <c r="AD19" s="20">
        <f>SUMIF(Ohj.lask.[Maakunta],Maakunt.[[#This Row],[Maakunta]],Ohj.lask.[Päätös 2, €])</f>
        <v>0</v>
      </c>
      <c r="AE19" s="21">
        <f>SUMIF(Ohj.lask.[Maakunta],Maakunt.[[#This Row],[Maakunta]],Ohj.lask.[Hakemus 3, €])</f>
        <v>641603</v>
      </c>
      <c r="AF19" s="20">
        <f>SUMIF(Ohj.lask.[Maakunta],Maakunt.[[#This Row],[Maakunta]],Ohj.lask.[Päätös 3, €])</f>
        <v>0</v>
      </c>
      <c r="AG19" s="21">
        <f>SUMIF(Ohj.lask.[Maakunta],Maakunt.[[#This Row],[Maakunta]],Ohj.lask.[Hakemus 4, €])</f>
        <v>0</v>
      </c>
      <c r="AH19" s="20">
        <f>SUMIF(Ohj.lask.[Maakunta],Maakunt.[[#This Row],[Maakunta]],Ohj.lask.[Päätös 4, €])</f>
        <v>75000</v>
      </c>
      <c r="AI19" s="21">
        <f>SUMIF(Ohj.lask.[Maakunta],Maakunt.[[#This Row],[Maakunta]],Ohj.lask.[Hakemus 5, €])</f>
        <v>261734</v>
      </c>
      <c r="AJ19" s="26">
        <f>SUMIF(Ohj.lask.[Maakunta],Maakunt.[[#This Row],[Maakunta]],Ohj.lask.[Päätös 5, €])</f>
        <v>140000</v>
      </c>
      <c r="AK19" s="20">
        <f>SUMIF(Ohj.lask.[Maakunta],Maakunt.[[#This Row],[Maakunta]],Ohj.lask.[Hakemus 6, €])</f>
        <v>110000</v>
      </c>
      <c r="AL19" s="20">
        <f>SUMIF(Ohj.lask.[Maakunta],Maakunt.[[#This Row],[Maakunta]],Ohj.lask.[Päätös 6, €])</f>
        <v>50000</v>
      </c>
      <c r="AM19" s="21">
        <f>Maakunt.[[#This Row],[Hakemus 1, €]]+Maakunt.[[#This Row],[Hakemus 2, €]]+Maakunt.[[#This Row],[Hakemus 3, €]]+Maakunt.[[#This Row],[Hakemus 4, €]]+Maakunt.[[#This Row],[Hakemus 5, €]]+Maakunt.[[#This Row],[Hakemus 6, €]]</f>
        <v>1293449</v>
      </c>
      <c r="AN19" s="20">
        <f>Maakunt.[[#This Row],[Päätös 1, €]]+Maakunt.[[#This Row],[Päätös 2, €]]+Maakunt.[[#This Row],[Päätös 3, €]]+Maakunt.[[#This Row],[Päätös 4, €]]++Maakunt.[[#This Row],[Päätös 5, €]]+Maakunt.[[#This Row],[Päätös 6, €]]</f>
        <v>265000</v>
      </c>
      <c r="AO19" s="21">
        <f>SUMIF(Ohj.lask.[Maakunta],Maakunt.[[#This Row],[Maakunta]],Ohj.lask.[Opiskelijavuosiin perustuva (suoriteperusteinen) sekä harkinnanvarainen korotus, €])</f>
        <v>51422783</v>
      </c>
      <c r="AP19" s="21">
        <f>SUMIF(Ohj.lask.[Maakunta],Maakunt.[[#This Row],[Maakunta]],Ohj.lask.[Suoritusrahoitus, €])</f>
        <v>17595348</v>
      </c>
      <c r="AQ19" s="21">
        <f>SUMIF(Ohj.lask.[Maakunta],Maakunt.[[#This Row],[Maakunta]],Ohj.lask.[Työllistymiseen ja jatko-opintoihin siirtymiseen perustuva sekä opiskelija-palautteisiin perustuva, €])</f>
        <v>8836002</v>
      </c>
      <c r="AR19" s="45">
        <f>SUMIF(Ohj.lask.[Maakunta],Maakunt.[[#This Row],[Maakunta]],Ohj.lask.[Perus-, suoritus- ja vaikuttavuusrahoitus yhteensä, €])</f>
        <v>77854133</v>
      </c>
      <c r="AS19" s="22">
        <f>Maakunt.[[#This Row],[Jaettava € 1]]/Maakunt.[[#This Row],[Perus-, suoritus- ja vaikuttavuusrahoitus yhteensä, €]]</f>
        <v>0.65709784476053446</v>
      </c>
      <c r="AT19" s="19">
        <f>Maakunt.[[#This Row],[Opiskelijavuosiin perustuva (suoriteperusteinen) sekä harkinnanvarainen korotus, €]]/Maakunt.[[#This Row],[Perus-, suoritus- ja vaikuttavuusrahoitus yhteensä, €]]</f>
        <v>0.66050164607189188</v>
      </c>
      <c r="AU19" s="54">
        <f>Maakunt.[[#This Row],[Suoritusrahoitus, €]]/Maakunt.[[#This Row],[Perus-, suoritus- ja vaikuttavuusrahoitus yhteensä, €]]</f>
        <v>0.22600403243845771</v>
      </c>
      <c r="AV19" s="19">
        <f>Maakunt.[[#This Row],[Työllistymiseen ja jatko-opintoihin siirtymiseen perustuva sekä opiskelija-palautteisiin perustuva, €]]/Maakunt.[[#This Row],[Perus-, suoritus- ja vaikuttavuusrahoitus yhteensä, €]]</f>
        <v>0.1134943214896504</v>
      </c>
      <c r="AW19" s="19">
        <f>SUMIF(Ohj.lask.[Maakunta],Maakunt.[[#This Row],[Maakunta]],Ohj.lask.[Jaettava € 3])/Maakunt.[[#This Row],[Perus-, suoritus- ja vaikuttavuusrahoitus yhteensä, €]]</f>
        <v>8.2801178968880174E-2</v>
      </c>
      <c r="AX19" s="19">
        <f>SUMIF(Ohj.lask.[Maakunta],Maakunt.[[#This Row],[Maakunta]],Ohj.lask.[Jaettava € 4])/Maakunt.[[#This Row],[Perus-, suoritus- ja vaikuttavuusrahoitus yhteensä, €]]</f>
        <v>7.6800033210825168E-3</v>
      </c>
      <c r="AY19" s="46">
        <f>SUMIF(Ohj.lask.[Maakunta],Maakunt.[[#This Row],[Maakunta]],Ohj.lask.[Jaettava € 5])/Maakunt.[[#This Row],[Perus-, suoritus- ja vaikuttavuusrahoitus yhteensä, €]]</f>
        <v>2.3013139199687702E-2</v>
      </c>
      <c r="AZ19" s="21">
        <f>SUMIF(Vertailu[Maakunta],Maakunt.[[#This Row],[Maakunta]],Vertailu[Rahoitus ml. hark. kor. 
2019 ilman alv, €])</f>
        <v>76523915</v>
      </c>
      <c r="BA19" s="21">
        <f>SUMIF(Vertailu[Maakunta],Maakunt.[[#This Row],[Maakunta]],Vertailu[Rahoitus ml. hark. kor. 
2020 ilman alv, €])</f>
        <v>77854133</v>
      </c>
      <c r="BB19" s="21">
        <f>SUMIF(Vertailu[Maakunta],Maakunt.[[#This Row],[Maakunta]],Vertailu[Muutos, € 2])</f>
        <v>1330218</v>
      </c>
      <c r="BC19" s="46">
        <f>IFERROR(Maakunt.[[#This Row],[Muutos, € 2]]/Maakunt.[[#This Row],[Rahoitus ml. hark. kor. 
2019 ilman alv, €]],0)</f>
        <v>1.7383036401104151E-2</v>
      </c>
    </row>
    <row r="20" spans="1:55" x14ac:dyDescent="0.2">
      <c r="A20" s="25" t="s">
        <v>252</v>
      </c>
      <c r="B20" s="25">
        <f>COUNTIF(Ohj.lask.[Maakunta],Maakunt.[[#This Row],[Maakunta]])</f>
        <v>5</v>
      </c>
      <c r="C20" s="25">
        <f>COUNTIFS(Ohj.lask.[Maakunta],Maakunt.[[#This Row],[Maakunta]],Ohj.lask.[Omistajatyyppi],"=yksityinen")</f>
        <v>4</v>
      </c>
      <c r="D20" s="25">
        <f>COUNTIFS(Ohj.lask.[Maakunta],Maakunt.[[#This Row],[Maakunta]],Ohj.lask.[Omistajatyyppi],"=kunta")</f>
        <v>0</v>
      </c>
      <c r="E20" s="25">
        <f>COUNTIFS(Ohj.lask.[Maakunta],Maakunt.[[#This Row],[Maakunta]],Ohj.lask.[Omistajatyyppi],"=kuntayhtymä")</f>
        <v>1</v>
      </c>
      <c r="F20" s="21">
        <f>SUMIF(Ohj.lask.[Maakunta],Maakunt.[[#This Row],[Maakunta]],Ohj.lask.[Järjestämisluvan opisk.vuosien vähimmäismäärä])</f>
        <v>5913</v>
      </c>
      <c r="G20" s="20">
        <f>SUMIF(Ohj.lask.[Maakunta],Maakunt.[[#This Row],[Maakunta]],Ohj.lask.[Suoritepäätöksellä jaettavat opv:t (luvan ylittävä osuus)])</f>
        <v>674</v>
      </c>
      <c r="H20" s="20">
        <f>SUMIF(Ohj.lask.[Maakunta],Maakunt.[[#This Row],[Maakunta]],Ohj.lask.[Tavoitteelliset opiske-lijavuodet])</f>
        <v>6587</v>
      </c>
      <c r="I20" s="84">
        <f>Maakunt.[[#This Row],[Painotetut opiskelija-vuodet]]/Maakunt.[[#This Row],[Tavoitteelliset opiske-lijavuodet]]</f>
        <v>1.0515864581751937</v>
      </c>
      <c r="J20" s="85">
        <f>SUMIF(Ohj.lask.[Maakunta],Maakunt.[[#This Row],[Maakunta]],Ohj.lask.[Painotetut opiskelija-vuodet])</f>
        <v>6926.8000000000011</v>
      </c>
      <c r="K20" s="19">
        <f>SUMIF(Ohj.lask.[Maakunta],Maakunt.[[#This Row],[Maakunta]],Ohj.lask.[%-osuus 1])</f>
        <v>3.4362518919278238E-2</v>
      </c>
      <c r="L20" s="20">
        <f>SUMIF(Ohj.lask.[Maakunta],Maakunt.[[#This Row],[Maakunta]],Ohj.lask.[Jaettava € 1])</f>
        <v>40880899</v>
      </c>
      <c r="M20" s="21">
        <f>SUMIF(Ohj.lask.[Maakunta],Maakunt.[[#This Row],[Maakunta]],Ohj.lask.[Painotetut pisteet 2])</f>
        <v>617089.70000000007</v>
      </c>
      <c r="N20" s="19">
        <f>SUMIF(Ohj.lask.[Maakunta],Maakunt.[[#This Row],[Maakunta]],Ohj.lask.[%-osuus 2])</f>
        <v>3.9434659225688999E-2</v>
      </c>
      <c r="O20" s="20">
        <f>SUMIF(Ohj.lask.[Maakunta],Maakunt.[[#This Row],[Maakunta]],Ohj.lask.[Jaettava € 2])</f>
        <v>14601748</v>
      </c>
      <c r="P20" s="21">
        <f>SUMIF(Ohj.lask.[Maakunta],Maakunt.[[#This Row],[Maakunta]],Ohj.lask.[Painotetut pisteet 3])</f>
        <v>6704.3</v>
      </c>
      <c r="Q20" s="19">
        <f>SUMIF(Ohj.lask.[Maakunta],Maakunt.[[#This Row],[Maakunta]],Ohj.lask.[%-osuus 3])</f>
        <v>3.5392189572018617E-2</v>
      </c>
      <c r="R20" s="20">
        <f>SUMIF(Ohj.lask.[Maakunta],Maakunt.[[#This Row],[Maakunta]],Ohj.lask.[Jaettava € 3])</f>
        <v>4914343</v>
      </c>
      <c r="S20" s="21">
        <f>SUMIF(Ohj.lask.[Maakunta],Maakunt.[[#This Row],[Maakunta]],Ohj.lask.[Painotetut pisteet 4])</f>
        <v>23610.800000000003</v>
      </c>
      <c r="T20" s="19">
        <f>SUMIF(Ohj.lask.[Maakunta],Maakunt.[[#This Row],[Maakunta]],Ohj.lask.[%-osuus 4])</f>
        <v>1.8963937451487372E-2</v>
      </c>
      <c r="U20" s="20">
        <f>SUMIF(Ohj.lask.[Maakunta],Maakunt.[[#This Row],[Maakunta]],Ohj.lask.[Jaettava € 4])</f>
        <v>219434</v>
      </c>
      <c r="V20" s="21">
        <f>SUMIF(Ohj.lask.[Maakunta],Maakunt.[[#This Row],[Maakunta]],Ohj.lask.[Painotetut pisteet 5])</f>
        <v>63347.700000000004</v>
      </c>
      <c r="W20" s="19">
        <f>SUMIF(Ohj.lask.[Maakunta],Maakunt.[[#This Row],[Maakunta]],Ohj.lask.[%-osuus 5])</f>
        <v>9.5661119197508297E-3</v>
      </c>
      <c r="X20" s="20">
        <f>SUMIF(Ohj.lask.[Maakunta],Maakunt.[[#This Row],[Maakunta]],Ohj.lask.[Jaettava € 5])</f>
        <v>332074</v>
      </c>
      <c r="Y20" s="22">
        <f>SUMIF(Ohj.lask.[Maakunta],Maakunt.[[#This Row],[Maakunta]],Ohj.lask.[%-osuus 6])</f>
        <v>3.4925304722269408E-2</v>
      </c>
      <c r="Z20" s="20">
        <f>SUMIF(Ohj.lask.[Maakunta],Maakunt.[[#This Row],[Maakunta]],Ohj.lask.[Jaettava € 6])</f>
        <v>60948498</v>
      </c>
      <c r="AA20" s="21">
        <f>SUMIF(Ohj.lask.[Maakunta],Maakunt.[[#This Row],[Maakunta]],Ohj.lask.[Hakemus 1, €])</f>
        <v>985000</v>
      </c>
      <c r="AB20" s="20">
        <f>SUMIF(Ohj.lask.[Maakunta],Maakunt.[[#This Row],[Maakunta]],Ohj.lask.[Päätös 1, €])</f>
        <v>0</v>
      </c>
      <c r="AC20" s="21">
        <f>SUMIF(Ohj.lask.[Maakunta],Maakunt.[[#This Row],[Maakunta]],Ohj.lask.[Hakemus 2, €])</f>
        <v>0</v>
      </c>
      <c r="AD20" s="20">
        <f>SUMIF(Ohj.lask.[Maakunta],Maakunt.[[#This Row],[Maakunta]],Ohj.lask.[Päätös 2, €])</f>
        <v>0</v>
      </c>
      <c r="AE20" s="21">
        <f>SUMIF(Ohj.lask.[Maakunta],Maakunt.[[#This Row],[Maakunta]],Ohj.lask.[Hakemus 3, €])</f>
        <v>0</v>
      </c>
      <c r="AF20" s="20">
        <f>SUMIF(Ohj.lask.[Maakunta],Maakunt.[[#This Row],[Maakunta]],Ohj.lask.[Päätös 3, €])</f>
        <v>0</v>
      </c>
      <c r="AG20" s="21">
        <f>SUMIF(Ohj.lask.[Maakunta],Maakunt.[[#This Row],[Maakunta]],Ohj.lask.[Hakemus 4, €])</f>
        <v>0</v>
      </c>
      <c r="AH20" s="20">
        <f>SUMIF(Ohj.lask.[Maakunta],Maakunt.[[#This Row],[Maakunta]],Ohj.lask.[Päätös 4, €])</f>
        <v>0</v>
      </c>
      <c r="AI20" s="21">
        <f>SUMIF(Ohj.lask.[Maakunta],Maakunt.[[#This Row],[Maakunta]],Ohj.lask.[Hakemus 5, €])</f>
        <v>120000</v>
      </c>
      <c r="AJ20" s="26">
        <f>SUMIF(Ohj.lask.[Maakunta],Maakunt.[[#This Row],[Maakunta]],Ohj.lask.[Päätös 5, €])</f>
        <v>0</v>
      </c>
      <c r="AK20" s="20">
        <f>SUMIF(Ohj.lask.[Maakunta],Maakunt.[[#This Row],[Maakunta]],Ohj.lask.[Hakemus 6, €])</f>
        <v>130000</v>
      </c>
      <c r="AL20" s="20">
        <f>SUMIF(Ohj.lask.[Maakunta],Maakunt.[[#This Row],[Maakunta]],Ohj.lask.[Päätös 6, €])</f>
        <v>25000</v>
      </c>
      <c r="AM20" s="21">
        <f>Maakunt.[[#This Row],[Hakemus 1, €]]+Maakunt.[[#This Row],[Hakemus 2, €]]+Maakunt.[[#This Row],[Hakemus 3, €]]+Maakunt.[[#This Row],[Hakemus 4, €]]+Maakunt.[[#This Row],[Hakemus 5, €]]+Maakunt.[[#This Row],[Hakemus 6, €]]</f>
        <v>1235000</v>
      </c>
      <c r="AN20" s="20">
        <f>Maakunt.[[#This Row],[Päätös 1, €]]+Maakunt.[[#This Row],[Päätös 2, €]]+Maakunt.[[#This Row],[Päätös 3, €]]+Maakunt.[[#This Row],[Päätös 4, €]]++Maakunt.[[#This Row],[Päätös 5, €]]+Maakunt.[[#This Row],[Päätös 6, €]]</f>
        <v>25000</v>
      </c>
      <c r="AO20" s="21">
        <f>SUMIF(Ohj.lask.[Maakunta],Maakunt.[[#This Row],[Maakunta]],Ohj.lask.[Opiskelijavuosiin perustuva (suoriteperusteinen) sekä harkinnanvarainen korotus, €])</f>
        <v>40905899</v>
      </c>
      <c r="AP20" s="21">
        <f>SUMIF(Ohj.lask.[Maakunta],Maakunt.[[#This Row],[Maakunta]],Ohj.lask.[Suoritusrahoitus, €])</f>
        <v>14601748</v>
      </c>
      <c r="AQ20" s="21">
        <f>SUMIF(Ohj.lask.[Maakunta],Maakunt.[[#This Row],[Maakunta]],Ohj.lask.[Työllistymiseen ja jatko-opintoihin siirtymiseen perustuva sekä opiskelija-palautteisiin perustuva, €])</f>
        <v>5465851</v>
      </c>
      <c r="AR20" s="45">
        <f>SUMIF(Ohj.lask.[Maakunta],Maakunt.[[#This Row],[Maakunta]],Ohj.lask.[Perus-, suoritus- ja vaikuttavuusrahoitus yhteensä, €])</f>
        <v>60973498</v>
      </c>
      <c r="AS20" s="22">
        <f>Maakunt.[[#This Row],[Jaettava € 1]]/Maakunt.[[#This Row],[Perus-, suoritus- ja vaikuttavuusrahoitus yhteensä, €]]</f>
        <v>0.67046996385216406</v>
      </c>
      <c r="AT20" s="19">
        <f>Maakunt.[[#This Row],[Opiskelijavuosiin perustuva (suoriteperusteinen) sekä harkinnanvarainen korotus, €]]/Maakunt.[[#This Row],[Perus-, suoritus- ja vaikuttavuusrahoitus yhteensä, €]]</f>
        <v>0.67087997805210386</v>
      </c>
      <c r="AU20" s="54">
        <f>Maakunt.[[#This Row],[Suoritusrahoitus, €]]/Maakunt.[[#This Row],[Perus-, suoritus- ja vaikuttavuusrahoitus yhteensä, €]]</f>
        <v>0.23947696095769347</v>
      </c>
      <c r="AV20" s="19">
        <f>Maakunt.[[#This Row],[Työllistymiseen ja jatko-opintoihin siirtymiseen perustuva sekä opiskelija-palautteisiin perustuva, €]]/Maakunt.[[#This Row],[Perus-, suoritus- ja vaikuttavuusrahoitus yhteensä, €]]</f>
        <v>8.9643060990202666E-2</v>
      </c>
      <c r="AW20" s="19">
        <f>SUMIF(Ohj.lask.[Maakunta],Maakunt.[[#This Row],[Maakunta]],Ohj.lask.[Jaettava € 3])/Maakunt.[[#This Row],[Perus-, suoritus- ja vaikuttavuusrahoitus yhteensä, €]]</f>
        <v>8.0598016534987049E-2</v>
      </c>
      <c r="AX20" s="19">
        <f>SUMIF(Ohj.lask.[Maakunta],Maakunt.[[#This Row],[Maakunta]],Ohj.lask.[Jaettava € 4])/Maakunt.[[#This Row],[Perus-, suoritus- ja vaikuttavuusrahoitus yhteensä, €]]</f>
        <v>3.5988422379834594E-3</v>
      </c>
      <c r="AY20" s="46">
        <f>SUMIF(Ohj.lask.[Maakunta],Maakunt.[[#This Row],[Maakunta]],Ohj.lask.[Jaettava € 5])/Maakunt.[[#This Row],[Perus-, suoritus- ja vaikuttavuusrahoitus yhteensä, €]]</f>
        <v>5.4462022172321487E-3</v>
      </c>
      <c r="AZ20" s="21">
        <f>SUMIF(Vertailu[Maakunta],Maakunt.[[#This Row],[Maakunta]],Vertailu[Rahoitus ml. hark. kor. 
2019 ilman alv, €])</f>
        <v>59422544</v>
      </c>
      <c r="BA20" s="21">
        <f>SUMIF(Vertailu[Maakunta],Maakunt.[[#This Row],[Maakunta]],Vertailu[Rahoitus ml. hark. kor. 
2020 ilman alv, €])</f>
        <v>60973498</v>
      </c>
      <c r="BB20" s="21">
        <f>SUMIF(Vertailu[Maakunta],Maakunt.[[#This Row],[Maakunta]],Vertailu[Muutos, € 2])</f>
        <v>1550954</v>
      </c>
      <c r="BC20" s="46">
        <f>IFERROR(Maakunt.[[#This Row],[Muutos, € 2]]/Maakunt.[[#This Row],[Rahoitus ml. hark. kor. 
2019 ilman alv, €]],0)</f>
        <v>2.610043083985095E-2</v>
      </c>
    </row>
    <row r="21" spans="1:55" x14ac:dyDescent="0.2">
      <c r="A21" s="25" t="s">
        <v>287</v>
      </c>
      <c r="B21" s="25">
        <f>COUNTIF(Ohj.lask.[Maakunta],Maakunt.[[#This Row],[Maakunta]])</f>
        <v>5</v>
      </c>
      <c r="C21" s="25">
        <f>COUNTIFS(Ohj.lask.[Maakunta],Maakunt.[[#This Row],[Maakunta]],Ohj.lask.[Omistajatyyppi],"=yksityinen")</f>
        <v>4</v>
      </c>
      <c r="D21" s="25">
        <f>COUNTIFS(Ohj.lask.[Maakunta],Maakunt.[[#This Row],[Maakunta]],Ohj.lask.[Omistajatyyppi],"=kunta")</f>
        <v>0</v>
      </c>
      <c r="E21" s="25">
        <f>COUNTIFS(Ohj.lask.[Maakunta],Maakunt.[[#This Row],[Maakunta]],Ohj.lask.[Omistajatyyppi],"=kuntayhtymä")</f>
        <v>1</v>
      </c>
      <c r="F21" s="21">
        <f>SUMIF(Ohj.lask.[Maakunta],Maakunt.[[#This Row],[Maakunta]],Ohj.lask.[Järjestämisluvan opisk.vuosien vähimmäismäärä])</f>
        <v>6329</v>
      </c>
      <c r="G21" s="20">
        <f>SUMIF(Ohj.lask.[Maakunta],Maakunt.[[#This Row],[Maakunta]],Ohj.lask.[Suoritepäätöksellä jaettavat opv:t (luvan ylittävä osuus)])</f>
        <v>768</v>
      </c>
      <c r="H21" s="20">
        <f>SUMIF(Ohj.lask.[Maakunta],Maakunt.[[#This Row],[Maakunta]],Ohj.lask.[Tavoitteelliset opiske-lijavuodet])</f>
        <v>7097</v>
      </c>
      <c r="I21" s="84">
        <f>Maakunt.[[#This Row],[Painotetut opiskelija-vuodet]]/Maakunt.[[#This Row],[Tavoitteelliset opiske-lijavuodet]]</f>
        <v>1.0466676060307172</v>
      </c>
      <c r="J21" s="85">
        <f>SUMIF(Ohj.lask.[Maakunta],Maakunt.[[#This Row],[Maakunta]],Ohj.lask.[Painotetut opiskelija-vuodet])</f>
        <v>7428.2</v>
      </c>
      <c r="K21" s="19">
        <f>SUMIF(Ohj.lask.[Maakunta],Maakunt.[[#This Row],[Maakunta]],Ohj.lask.[%-osuus 1])</f>
        <v>3.6849867620861392E-2</v>
      </c>
      <c r="L21" s="20">
        <f>SUMIF(Ohj.lask.[Maakunta],Maakunt.[[#This Row],[Maakunta]],Ohj.lask.[Jaettava € 1])</f>
        <v>43840085</v>
      </c>
      <c r="M21" s="21">
        <f>SUMIF(Ohj.lask.[Maakunta],Maakunt.[[#This Row],[Maakunta]],Ohj.lask.[Painotetut pisteet 2])</f>
        <v>545236.89999999991</v>
      </c>
      <c r="N21" s="19">
        <f>SUMIF(Ohj.lask.[Maakunta],Maakunt.[[#This Row],[Maakunta]],Ohj.lask.[%-osuus 2])</f>
        <v>3.4842959376523486E-2</v>
      </c>
      <c r="O21" s="20">
        <f>SUMIF(Ohj.lask.[Maakunta],Maakunt.[[#This Row],[Maakunta]],Ohj.lask.[Jaettava € 2])</f>
        <v>12901546</v>
      </c>
      <c r="P21" s="21">
        <f>SUMIF(Ohj.lask.[Maakunta],Maakunt.[[#This Row],[Maakunta]],Ohj.lask.[Painotetut pisteet 3])</f>
        <v>8038.7000000000007</v>
      </c>
      <c r="Q21" s="19">
        <f>SUMIF(Ohj.lask.[Maakunta],Maakunt.[[#This Row],[Maakunta]],Ohj.lask.[%-osuus 3])</f>
        <v>4.2436524963469127E-2</v>
      </c>
      <c r="R21" s="20">
        <f>SUMIF(Ohj.lask.[Maakunta],Maakunt.[[#This Row],[Maakunta]],Ohj.lask.[Jaettava € 3])</f>
        <v>5892475</v>
      </c>
      <c r="S21" s="21">
        <f>SUMIF(Ohj.lask.[Maakunta],Maakunt.[[#This Row],[Maakunta]],Ohj.lask.[Painotetut pisteet 4])</f>
        <v>58338.1</v>
      </c>
      <c r="T21" s="19">
        <f>SUMIF(Ohj.lask.[Maakunta],Maakunt.[[#This Row],[Maakunta]],Ohj.lask.[%-osuus 4])</f>
        <v>4.6856526650457225E-2</v>
      </c>
      <c r="U21" s="20">
        <f>SUMIF(Ohj.lask.[Maakunta],Maakunt.[[#This Row],[Maakunta]],Ohj.lask.[Jaettava € 4])</f>
        <v>542184</v>
      </c>
      <c r="V21" s="21">
        <f>SUMIF(Ohj.lask.[Maakunta],Maakunt.[[#This Row],[Maakunta]],Ohj.lask.[Painotetut pisteet 5])</f>
        <v>321529.40000000002</v>
      </c>
      <c r="W21" s="19">
        <f>SUMIF(Ohj.lask.[Maakunta],Maakunt.[[#This Row],[Maakunta]],Ohj.lask.[%-osuus 5])</f>
        <v>4.8554031573211545E-2</v>
      </c>
      <c r="X21" s="20">
        <f>SUMIF(Ohj.lask.[Maakunta],Maakunt.[[#This Row],[Maakunta]],Ohj.lask.[Jaettava € 5])</f>
        <v>1685478</v>
      </c>
      <c r="Y21" s="22">
        <f>SUMIF(Ohj.lask.[Maakunta],Maakunt.[[#This Row],[Maakunta]],Ohj.lask.[%-osuus 6])</f>
        <v>3.7167724990124329E-2</v>
      </c>
      <c r="Z21" s="20">
        <f>SUMIF(Ohj.lask.[Maakunta],Maakunt.[[#This Row],[Maakunta]],Ohj.lask.[Jaettava € 6])</f>
        <v>64861768</v>
      </c>
      <c r="AA21" s="21">
        <f>SUMIF(Ohj.lask.[Maakunta],Maakunt.[[#This Row],[Maakunta]],Ohj.lask.[Hakemus 1, €])</f>
        <v>6550000</v>
      </c>
      <c r="AB21" s="20">
        <f>SUMIF(Ohj.lask.[Maakunta],Maakunt.[[#This Row],[Maakunta]],Ohj.lask.[Päätös 1, €])</f>
        <v>6000000</v>
      </c>
      <c r="AC21" s="21">
        <f>SUMIF(Ohj.lask.[Maakunta],Maakunt.[[#This Row],[Maakunta]],Ohj.lask.[Hakemus 2, €])</f>
        <v>0</v>
      </c>
      <c r="AD21" s="20">
        <f>SUMIF(Ohj.lask.[Maakunta],Maakunt.[[#This Row],[Maakunta]],Ohj.lask.[Päätös 2, €])</f>
        <v>0</v>
      </c>
      <c r="AE21" s="21">
        <f>SUMIF(Ohj.lask.[Maakunta],Maakunt.[[#This Row],[Maakunta]],Ohj.lask.[Hakemus 3, €])</f>
        <v>2000000</v>
      </c>
      <c r="AF21" s="20">
        <f>SUMIF(Ohj.lask.[Maakunta],Maakunt.[[#This Row],[Maakunta]],Ohj.lask.[Päätös 3, €])</f>
        <v>0</v>
      </c>
      <c r="AG21" s="21">
        <f>SUMIF(Ohj.lask.[Maakunta],Maakunt.[[#This Row],[Maakunta]],Ohj.lask.[Hakemus 4, €])</f>
        <v>0</v>
      </c>
      <c r="AH21" s="20">
        <f>SUMIF(Ohj.lask.[Maakunta],Maakunt.[[#This Row],[Maakunta]],Ohj.lask.[Päätös 4, €])</f>
        <v>45000</v>
      </c>
      <c r="AI21" s="21">
        <f>SUMIF(Ohj.lask.[Maakunta],Maakunt.[[#This Row],[Maakunta]],Ohj.lask.[Hakemus 5, €])</f>
        <v>167500</v>
      </c>
      <c r="AJ21" s="26">
        <f>SUMIF(Ohj.lask.[Maakunta],Maakunt.[[#This Row],[Maakunta]],Ohj.lask.[Päätös 5, €])</f>
        <v>0</v>
      </c>
      <c r="AK21" s="20">
        <f>SUMIF(Ohj.lask.[Maakunta],Maakunt.[[#This Row],[Maakunta]],Ohj.lask.[Hakemus 6, €])</f>
        <v>0</v>
      </c>
      <c r="AL21" s="20">
        <f>SUMIF(Ohj.lask.[Maakunta],Maakunt.[[#This Row],[Maakunta]],Ohj.lask.[Päätös 6, €])</f>
        <v>0</v>
      </c>
      <c r="AM21" s="21">
        <f>Maakunt.[[#This Row],[Hakemus 1, €]]+Maakunt.[[#This Row],[Hakemus 2, €]]+Maakunt.[[#This Row],[Hakemus 3, €]]+Maakunt.[[#This Row],[Hakemus 4, €]]+Maakunt.[[#This Row],[Hakemus 5, €]]+Maakunt.[[#This Row],[Hakemus 6, €]]</f>
        <v>8717500</v>
      </c>
      <c r="AN21" s="20">
        <f>Maakunt.[[#This Row],[Päätös 1, €]]+Maakunt.[[#This Row],[Päätös 2, €]]+Maakunt.[[#This Row],[Päätös 3, €]]+Maakunt.[[#This Row],[Päätös 4, €]]++Maakunt.[[#This Row],[Päätös 5, €]]+Maakunt.[[#This Row],[Päätös 6, €]]</f>
        <v>6045000</v>
      </c>
      <c r="AO21" s="21">
        <f>SUMIF(Ohj.lask.[Maakunta],Maakunt.[[#This Row],[Maakunta]],Ohj.lask.[Opiskelijavuosiin perustuva (suoriteperusteinen) sekä harkinnanvarainen korotus, €])</f>
        <v>49885085</v>
      </c>
      <c r="AP21" s="21">
        <f>SUMIF(Ohj.lask.[Maakunta],Maakunt.[[#This Row],[Maakunta]],Ohj.lask.[Suoritusrahoitus, €])</f>
        <v>12901546</v>
      </c>
      <c r="AQ21" s="21">
        <f>SUMIF(Ohj.lask.[Maakunta],Maakunt.[[#This Row],[Maakunta]],Ohj.lask.[Työllistymiseen ja jatko-opintoihin siirtymiseen perustuva sekä opiskelija-palautteisiin perustuva, €])</f>
        <v>8120137</v>
      </c>
      <c r="AR21" s="45">
        <f>SUMIF(Ohj.lask.[Maakunta],Maakunt.[[#This Row],[Maakunta]],Ohj.lask.[Perus-, suoritus- ja vaikuttavuusrahoitus yhteensä, €])</f>
        <v>70906768</v>
      </c>
      <c r="AS21" s="22">
        <f>Maakunt.[[#This Row],[Jaettava € 1]]/Maakunt.[[#This Row],[Perus-, suoritus- ja vaikuttavuusrahoitus yhteensä, €]]</f>
        <v>0.6182778631230238</v>
      </c>
      <c r="AT21" s="19">
        <f>Maakunt.[[#This Row],[Opiskelijavuosiin perustuva (suoriteperusteinen) sekä harkinnanvarainen korotus, €]]/Maakunt.[[#This Row],[Perus-, suoritus- ja vaikuttavuusrahoitus yhteensä, €]]</f>
        <v>0.70353065591707686</v>
      </c>
      <c r="AU21" s="54">
        <f>Maakunt.[[#This Row],[Suoritusrahoitus, €]]/Maakunt.[[#This Row],[Perus-, suoritus- ja vaikuttavuusrahoitus yhteensä, €]]</f>
        <v>0.18195084001008197</v>
      </c>
      <c r="AV21" s="19">
        <f>Maakunt.[[#This Row],[Työllistymiseen ja jatko-opintoihin siirtymiseen perustuva sekä opiskelija-palautteisiin perustuva, €]]/Maakunt.[[#This Row],[Perus-, suoritus- ja vaikuttavuusrahoitus yhteensä, €]]</f>
        <v>0.11451850407284112</v>
      </c>
      <c r="AW21" s="19">
        <f>SUMIF(Ohj.lask.[Maakunta],Maakunt.[[#This Row],[Maakunta]],Ohj.lask.[Jaettava € 3])/Maakunt.[[#This Row],[Perus-, suoritus- ja vaikuttavuusrahoitus yhteensä, €]]</f>
        <v>8.310172873765731E-2</v>
      </c>
      <c r="AX21" s="19">
        <f>SUMIF(Ohj.lask.[Maakunta],Maakunt.[[#This Row],[Maakunta]],Ohj.lask.[Jaettava € 4])/Maakunt.[[#This Row],[Perus-, suoritus- ja vaikuttavuusrahoitus yhteensä, €]]</f>
        <v>7.64643510475615E-3</v>
      </c>
      <c r="AY21" s="46">
        <f>SUMIF(Ohj.lask.[Maakunta],Maakunt.[[#This Row],[Maakunta]],Ohj.lask.[Jaettava € 5])/Maakunt.[[#This Row],[Perus-, suoritus- ja vaikuttavuusrahoitus yhteensä, €]]</f>
        <v>2.377034023042765E-2</v>
      </c>
      <c r="AZ21" s="21">
        <f>SUMIF(Vertailu[Maakunta],Maakunt.[[#This Row],[Maakunta]],Vertailu[Rahoitus ml. hark. kor. 
2019 ilman alv, €])</f>
        <v>71959776</v>
      </c>
      <c r="BA21" s="21">
        <f>SUMIF(Vertailu[Maakunta],Maakunt.[[#This Row],[Maakunta]],Vertailu[Rahoitus ml. hark. kor. 
2020 ilman alv, €])</f>
        <v>70906768</v>
      </c>
      <c r="BB21" s="21">
        <f>SUMIF(Vertailu[Maakunta],Maakunt.[[#This Row],[Maakunta]],Vertailu[Muutos, € 2])</f>
        <v>-1053008</v>
      </c>
      <c r="BC21" s="46">
        <f>IFERROR(Maakunt.[[#This Row],[Muutos, € 2]]/Maakunt.[[#This Row],[Rahoitus ml. hark. kor. 
2019 ilman alv, €]],0)</f>
        <v>-1.4633286240357391E-2</v>
      </c>
    </row>
    <row r="22" spans="1:55" x14ac:dyDescent="0.2">
      <c r="A22" s="25" t="s">
        <v>238</v>
      </c>
      <c r="B22" s="25">
        <f>COUNTIF(Ohj.lask.[Maakunta],Maakunt.[[#This Row],[Maakunta]])</f>
        <v>53</v>
      </c>
      <c r="C22" s="25">
        <f>COUNTIFS(Ohj.lask.[Maakunta],Maakunt.[[#This Row],[Maakunta]],Ohj.lask.[Omistajatyyppi],"=yksityinen")</f>
        <v>48</v>
      </c>
      <c r="D22" s="25">
        <f>COUNTIFS(Ohj.lask.[Maakunta],Maakunt.[[#This Row],[Maakunta]],Ohj.lask.[Omistajatyyppi],"=kunta")</f>
        <v>2</v>
      </c>
      <c r="E22" s="25">
        <f>COUNTIFS(Ohj.lask.[Maakunta],Maakunt.[[#This Row],[Maakunta]],Ohj.lask.[Omistajatyyppi],"=kuntayhtymä")</f>
        <v>3</v>
      </c>
      <c r="F22" s="21">
        <f>SUMIF(Ohj.lask.[Maakunta],Maakunt.[[#This Row],[Maakunta]],Ohj.lask.[Järjestämisluvan opisk.vuosien vähimmäismäärä])</f>
        <v>50455</v>
      </c>
      <c r="G22" s="20">
        <f>SUMIF(Ohj.lask.[Maakunta],Maakunt.[[#This Row],[Maakunta]],Ohj.lask.[Suoritepäätöksellä jaettavat opv:t (luvan ylittävä osuus)])</f>
        <v>7757</v>
      </c>
      <c r="H22" s="20">
        <f>SUMIF(Ohj.lask.[Maakunta],Maakunt.[[#This Row],[Maakunta]],Ohj.lask.[Tavoitteelliset opiske-lijavuodet])</f>
        <v>58212</v>
      </c>
      <c r="I22" s="84">
        <f>Maakunt.[[#This Row],[Painotetut opiskelija-vuodet]]/Maakunt.[[#This Row],[Tavoitteelliset opiske-lijavuodet]]</f>
        <v>1.2208719851576999</v>
      </c>
      <c r="J22" s="85">
        <f>SUMIF(Ohj.lask.[Maakunta],Maakunt.[[#This Row],[Maakunta]],Ohj.lask.[Painotetut opiskelija-vuodet])</f>
        <v>71069.400000000023</v>
      </c>
      <c r="K22" s="19">
        <f>SUMIF(Ohj.lask.[Maakunta],Maakunt.[[#This Row],[Maakunta]],Ohj.lask.[%-osuus 1])</f>
        <v>0.3525615871804807</v>
      </c>
      <c r="L22" s="20">
        <f>SUMIF(Ohj.lask.[Maakunta],Maakunt.[[#This Row],[Maakunta]],Ohj.lask.[Jaettava € 1])</f>
        <v>419440578</v>
      </c>
      <c r="M22" s="21">
        <f>SUMIF(Ohj.lask.[Maakunta],Maakunt.[[#This Row],[Maakunta]],Ohj.lask.[Painotetut pisteet 2])</f>
        <v>5121483.1000000006</v>
      </c>
      <c r="N22" s="19">
        <f>SUMIF(Ohj.lask.[Maakunta],Maakunt.[[#This Row],[Maakunta]],Ohj.lask.[%-osuus 2])</f>
        <v>0.3272845759354357</v>
      </c>
      <c r="O22" s="20">
        <f>SUMIF(Ohj.lask.[Maakunta],Maakunt.[[#This Row],[Maakunta]],Ohj.lask.[Jaettava € 2])</f>
        <v>121185950</v>
      </c>
      <c r="P22" s="21">
        <f>SUMIF(Ohj.lask.[Maakunta],Maakunt.[[#This Row],[Maakunta]],Ohj.lask.[Painotetut pisteet 3])</f>
        <v>55591.900000000016</v>
      </c>
      <c r="Q22" s="19">
        <f>SUMIF(Ohj.lask.[Maakunta],Maakunt.[[#This Row],[Maakunta]],Ohj.lask.[%-osuus 3])</f>
        <v>0.2934712145143718</v>
      </c>
      <c r="R22" s="20">
        <f>SUMIF(Ohj.lask.[Maakunta],Maakunt.[[#This Row],[Maakunta]],Ohj.lask.[Jaettava € 3])</f>
        <v>40749617</v>
      </c>
      <c r="S22" s="21">
        <f>SUMIF(Ohj.lask.[Maakunta],Maakunt.[[#This Row],[Maakunta]],Ohj.lask.[Painotetut pisteet 4])</f>
        <v>364489.80000000005</v>
      </c>
      <c r="T22" s="19">
        <f>SUMIF(Ohj.lask.[Maakunta],Maakunt.[[#This Row],[Maakunta]],Ohj.lask.[%-osuus 4])</f>
        <v>0.29275423826829844</v>
      </c>
      <c r="U22" s="20">
        <f>SUMIF(Ohj.lask.[Maakunta],Maakunt.[[#This Row],[Maakunta]],Ohj.lask.[Jaettava € 4])</f>
        <v>3387503</v>
      </c>
      <c r="V22" s="21">
        <f>SUMIF(Ohj.lask.[Maakunta],Maakunt.[[#This Row],[Maakunta]],Ohj.lask.[Painotetut pisteet 5])</f>
        <v>1850694.7</v>
      </c>
      <c r="W22" s="19">
        <f>SUMIF(Ohj.lask.[Maakunta],Maakunt.[[#This Row],[Maakunta]],Ohj.lask.[%-osuus 5])</f>
        <v>0.27947269797466495</v>
      </c>
      <c r="X22" s="20">
        <f>SUMIF(Ohj.lask.[Maakunta],Maakunt.[[#This Row],[Maakunta]],Ohj.lask.[Jaettava € 5])</f>
        <v>9701467</v>
      </c>
      <c r="Y22" s="22">
        <f>SUMIF(Ohj.lask.[Maakunta],Maakunt.[[#This Row],[Maakunta]],Ohj.lask.[%-osuus 6])</f>
        <v>0.34064621720676247</v>
      </c>
      <c r="Z22" s="20">
        <f>SUMIF(Ohj.lask.[Maakunta],Maakunt.[[#This Row],[Maakunta]],Ohj.lask.[Jaettava € 6])</f>
        <v>594465115</v>
      </c>
      <c r="AA22" s="21">
        <f>SUMIF(Ohj.lask.[Maakunta],Maakunt.[[#This Row],[Maakunta]],Ohj.lask.[Hakemus 1, €])</f>
        <v>7036380</v>
      </c>
      <c r="AB22" s="20">
        <f>SUMIF(Ohj.lask.[Maakunta],Maakunt.[[#This Row],[Maakunta]],Ohj.lask.[Päätös 1, €])</f>
        <v>2150000</v>
      </c>
      <c r="AC22" s="21">
        <f>SUMIF(Ohj.lask.[Maakunta],Maakunt.[[#This Row],[Maakunta]],Ohj.lask.[Hakemus 2, €])</f>
        <v>2925000</v>
      </c>
      <c r="AD22" s="20">
        <f>SUMIF(Ohj.lask.[Maakunta],Maakunt.[[#This Row],[Maakunta]],Ohj.lask.[Päätös 2, €])</f>
        <v>0</v>
      </c>
      <c r="AE22" s="21">
        <f>SUMIF(Ohj.lask.[Maakunta],Maakunt.[[#This Row],[Maakunta]],Ohj.lask.[Hakemus 3, €])</f>
        <v>2712925</v>
      </c>
      <c r="AF22" s="20">
        <f>SUMIF(Ohj.lask.[Maakunta],Maakunt.[[#This Row],[Maakunta]],Ohj.lask.[Päätös 3, €])</f>
        <v>410000</v>
      </c>
      <c r="AG22" s="21">
        <f>SUMIF(Ohj.lask.[Maakunta],Maakunt.[[#This Row],[Maakunta]],Ohj.lask.[Hakemus 4, €])</f>
        <v>1768533</v>
      </c>
      <c r="AH22" s="20">
        <f>SUMIF(Ohj.lask.[Maakunta],Maakunt.[[#This Row],[Maakunta]],Ohj.lask.[Päätös 4, €])</f>
        <v>540000</v>
      </c>
      <c r="AI22" s="21">
        <f>SUMIF(Ohj.lask.[Maakunta],Maakunt.[[#This Row],[Maakunta]],Ohj.lask.[Hakemus 5, €])</f>
        <v>2754840</v>
      </c>
      <c r="AJ22" s="26">
        <f>SUMIF(Ohj.lask.[Maakunta],Maakunt.[[#This Row],[Maakunta]],Ohj.lask.[Päätös 5, €])</f>
        <v>853000</v>
      </c>
      <c r="AK22" s="20">
        <f>SUMIF(Ohj.lask.[Maakunta],Maakunt.[[#This Row],[Maakunta]],Ohj.lask.[Hakemus 6, €])</f>
        <v>360000</v>
      </c>
      <c r="AL22" s="20">
        <f>SUMIF(Ohj.lask.[Maakunta],Maakunt.[[#This Row],[Maakunta]],Ohj.lask.[Päätös 6, €])</f>
        <v>175000</v>
      </c>
      <c r="AM22" s="21">
        <f>Maakunt.[[#This Row],[Hakemus 1, €]]+Maakunt.[[#This Row],[Hakemus 2, €]]+Maakunt.[[#This Row],[Hakemus 3, €]]+Maakunt.[[#This Row],[Hakemus 4, €]]+Maakunt.[[#This Row],[Hakemus 5, €]]+Maakunt.[[#This Row],[Hakemus 6, €]]</f>
        <v>17557678</v>
      </c>
      <c r="AN22" s="20">
        <f>Maakunt.[[#This Row],[Päätös 1, €]]+Maakunt.[[#This Row],[Päätös 2, €]]+Maakunt.[[#This Row],[Päätös 3, €]]+Maakunt.[[#This Row],[Päätös 4, €]]++Maakunt.[[#This Row],[Päätös 5, €]]+Maakunt.[[#This Row],[Päätös 6, €]]</f>
        <v>4128000</v>
      </c>
      <c r="AO22" s="21">
        <f>SUMIF(Ohj.lask.[Maakunta],Maakunt.[[#This Row],[Maakunta]],Ohj.lask.[Opiskelijavuosiin perustuva (suoriteperusteinen) sekä harkinnanvarainen korotus, €])</f>
        <v>423568578</v>
      </c>
      <c r="AP22" s="21">
        <f>SUMIF(Ohj.lask.[Maakunta],Maakunt.[[#This Row],[Maakunta]],Ohj.lask.[Suoritusrahoitus, €])</f>
        <v>121185950</v>
      </c>
      <c r="AQ22" s="21">
        <f>SUMIF(Ohj.lask.[Maakunta],Maakunt.[[#This Row],[Maakunta]],Ohj.lask.[Työllistymiseen ja jatko-opintoihin siirtymiseen perustuva sekä opiskelija-palautteisiin perustuva, €])</f>
        <v>53838587</v>
      </c>
      <c r="AR22" s="45">
        <f>SUMIF(Ohj.lask.[Maakunta],Maakunt.[[#This Row],[Maakunta]],Ohj.lask.[Perus-, suoritus- ja vaikuttavuusrahoitus yhteensä, €])</f>
        <v>598593115</v>
      </c>
      <c r="AS22" s="22">
        <f>Maakunt.[[#This Row],[Jaettava € 1]]/Maakunt.[[#This Row],[Perus-, suoritus- ja vaikuttavuusrahoitus yhteensä, €]]</f>
        <v>0.70071066219998202</v>
      </c>
      <c r="AT22" s="19">
        <f>Maakunt.[[#This Row],[Opiskelijavuosiin perustuva (suoriteperusteinen) sekä harkinnanvarainen korotus, €]]/Maakunt.[[#This Row],[Perus-, suoritus- ja vaikuttavuusrahoitus yhteensä, €]]</f>
        <v>0.70760683239732891</v>
      </c>
      <c r="AU22" s="54">
        <f>Maakunt.[[#This Row],[Suoritusrahoitus, €]]/Maakunt.[[#This Row],[Perus-, suoritus- ja vaikuttavuusrahoitus yhteensä, €]]</f>
        <v>0.20245129281181257</v>
      </c>
      <c r="AV22" s="19">
        <f>Maakunt.[[#This Row],[Työllistymiseen ja jatko-opintoihin siirtymiseen perustuva sekä opiskelija-palautteisiin perustuva, €]]/Maakunt.[[#This Row],[Perus-, suoritus- ja vaikuttavuusrahoitus yhteensä, €]]</f>
        <v>8.9941874790858564E-2</v>
      </c>
      <c r="AW22" s="19">
        <f>SUMIF(Ohj.lask.[Maakunta],Maakunt.[[#This Row],[Maakunta]],Ohj.lask.[Jaettava € 3])/Maakunt.[[#This Row],[Perus-, suoritus- ja vaikuttavuusrahoitus yhteensä, €]]</f>
        <v>6.8075652691060431E-2</v>
      </c>
      <c r="AX22" s="19">
        <f>SUMIF(Ohj.lask.[Maakunta],Maakunt.[[#This Row],[Maakunta]],Ohj.lask.[Jaettava € 4])/Maakunt.[[#This Row],[Perus-, suoritus- ja vaikuttavuusrahoitus yhteensä, €]]</f>
        <v>5.6591078565947084E-3</v>
      </c>
      <c r="AY22" s="46">
        <f>SUMIF(Ohj.lask.[Maakunta],Maakunt.[[#This Row],[Maakunta]],Ohj.lask.[Jaettava € 5])/Maakunt.[[#This Row],[Perus-, suoritus- ja vaikuttavuusrahoitus yhteensä, €]]</f>
        <v>1.6207114243203414E-2</v>
      </c>
      <c r="AZ22" s="21">
        <f>SUMIF(Vertailu[Maakunta],Maakunt.[[#This Row],[Maakunta]],Vertailu[Rahoitus ml. hark. kor. 
2019 ilman alv, €])</f>
        <v>565172628</v>
      </c>
      <c r="BA22" s="21">
        <f>SUMIF(Vertailu[Maakunta],Maakunt.[[#This Row],[Maakunta]],Vertailu[Rahoitus ml. hark. kor. 
2020 ilman alv, €])</f>
        <v>598593115</v>
      </c>
      <c r="BB22" s="21">
        <f>SUMIF(Vertailu[Maakunta],Maakunt.[[#This Row],[Maakunta]],Vertailu[Muutos, € 2])</f>
        <v>33420487</v>
      </c>
      <c r="BC22" s="46">
        <f>IFERROR(Maakunt.[[#This Row],[Muutos, € 2]]/Maakunt.[[#This Row],[Rahoitus ml. hark. kor. 
2019 ilman alv, €]],0)</f>
        <v>5.913323707531002E-2</v>
      </c>
    </row>
    <row r="23" spans="1:55" x14ac:dyDescent="0.2">
      <c r="A23" s="25" t="s">
        <v>254</v>
      </c>
      <c r="B23" s="25">
        <f>COUNTIF(Ohj.lask.[Maakunta],Maakunt.[[#This Row],[Maakunta]])</f>
        <v>12</v>
      </c>
      <c r="C23" s="25">
        <f>COUNTIFS(Ohj.lask.[Maakunta],Maakunt.[[#This Row],[Maakunta]],Ohj.lask.[Omistajatyyppi],"=yksityinen")</f>
        <v>7</v>
      </c>
      <c r="D23" s="25">
        <f>COUNTIFS(Ohj.lask.[Maakunta],Maakunt.[[#This Row],[Maakunta]],Ohj.lask.[Omistajatyyppi],"=kunta")</f>
        <v>1</v>
      </c>
      <c r="E23" s="25">
        <f>COUNTIFS(Ohj.lask.[Maakunta],Maakunt.[[#This Row],[Maakunta]],Ohj.lask.[Omistajatyyppi],"=kuntayhtymä")</f>
        <v>4</v>
      </c>
      <c r="F23" s="21">
        <f>SUMIF(Ohj.lask.[Maakunta],Maakunt.[[#This Row],[Maakunta]],Ohj.lask.[Järjestämisluvan opisk.vuosien vähimmäismäärä])</f>
        <v>11771</v>
      </c>
      <c r="G23" s="20">
        <f>SUMIF(Ohj.lask.[Maakunta],Maakunt.[[#This Row],[Maakunta]],Ohj.lask.[Suoritepäätöksellä jaettavat opv:t (luvan ylittävä osuus)])</f>
        <v>1759</v>
      </c>
      <c r="H23" s="20">
        <f>SUMIF(Ohj.lask.[Maakunta],Maakunt.[[#This Row],[Maakunta]],Ohj.lask.[Tavoitteelliset opiske-lijavuodet])</f>
        <v>13530</v>
      </c>
      <c r="I23" s="84">
        <f>Maakunt.[[#This Row],[Painotetut opiskelija-vuodet]]/Maakunt.[[#This Row],[Tavoitteelliset opiske-lijavuodet]]</f>
        <v>1.0173466371027347</v>
      </c>
      <c r="J23" s="85">
        <f>SUMIF(Ohj.lask.[Maakunta],Maakunt.[[#This Row],[Maakunta]],Ohj.lask.[Painotetut opiskelija-vuodet])</f>
        <v>13764.7</v>
      </c>
      <c r="K23" s="19">
        <f>SUMIF(Ohj.lask.[Maakunta],Maakunt.[[#This Row],[Maakunta]],Ohj.lask.[%-osuus 1])</f>
        <v>6.8284022083529086E-2</v>
      </c>
      <c r="L23" s="20">
        <f>SUMIF(Ohj.lask.[Maakunta],Maakunt.[[#This Row],[Maakunta]],Ohj.lask.[Jaettava € 1])</f>
        <v>81237125</v>
      </c>
      <c r="M23" s="21">
        <f>SUMIF(Ohj.lask.[Maakunta],Maakunt.[[#This Row],[Maakunta]],Ohj.lask.[Painotetut pisteet 2])</f>
        <v>1170043.3</v>
      </c>
      <c r="N23" s="19">
        <f>SUMIF(Ohj.lask.[Maakunta],Maakunt.[[#This Row],[Maakunta]],Ohj.lask.[%-osuus 2])</f>
        <v>7.4770748587767069E-2</v>
      </c>
      <c r="O23" s="20">
        <f>SUMIF(Ohj.lask.[Maakunta],Maakunt.[[#This Row],[Maakunta]],Ohj.lask.[Jaettava € 2])</f>
        <v>27685888</v>
      </c>
      <c r="P23" s="21">
        <f>SUMIF(Ohj.lask.[Maakunta],Maakunt.[[#This Row],[Maakunta]],Ohj.lask.[Painotetut pisteet 3])</f>
        <v>14240.199999999999</v>
      </c>
      <c r="Q23" s="19">
        <f>SUMIF(Ohj.lask.[Maakunta],Maakunt.[[#This Row],[Maakunta]],Ohj.lask.[%-osuus 3])</f>
        <v>7.5174419095723574E-2</v>
      </c>
      <c r="R23" s="20">
        <f>SUMIF(Ohj.lask.[Maakunta],Maakunt.[[#This Row],[Maakunta]],Ohj.lask.[Jaettava € 3])</f>
        <v>10438260</v>
      </c>
      <c r="S23" s="21">
        <f>SUMIF(Ohj.lask.[Maakunta],Maakunt.[[#This Row],[Maakunta]],Ohj.lask.[Painotetut pisteet 4])</f>
        <v>100161.1</v>
      </c>
      <c r="T23" s="19">
        <f>SUMIF(Ohj.lask.[Maakunta],Maakunt.[[#This Row],[Maakunta]],Ohj.lask.[%-osuus 4])</f>
        <v>8.0448304821190822E-2</v>
      </c>
      <c r="U23" s="20">
        <f>SUMIF(Ohj.lask.[Maakunta],Maakunt.[[#This Row],[Maakunta]],Ohj.lask.[Jaettava € 4])</f>
        <v>930881</v>
      </c>
      <c r="V23" s="21">
        <f>SUMIF(Ohj.lask.[Maakunta],Maakunt.[[#This Row],[Maakunta]],Ohj.lask.[Painotetut pisteet 5])</f>
        <v>485372.99999999994</v>
      </c>
      <c r="W23" s="19">
        <f>SUMIF(Ohj.lask.[Maakunta],Maakunt.[[#This Row],[Maakunta]],Ohj.lask.[%-osuus 5])</f>
        <v>7.3295990869837735E-2</v>
      </c>
      <c r="X23" s="20">
        <f>SUMIF(Ohj.lask.[Maakunta],Maakunt.[[#This Row],[Maakunta]],Ohj.lask.[Jaettava € 5])</f>
        <v>2544357</v>
      </c>
      <c r="Y23" s="22">
        <f>SUMIF(Ohj.lask.[Maakunta],Maakunt.[[#This Row],[Maakunta]],Ohj.lask.[%-osuus 6])</f>
        <v>7.0388979523259107E-2</v>
      </c>
      <c r="Z23" s="20">
        <f>SUMIF(Ohj.lask.[Maakunta],Maakunt.[[#This Row],[Maakunta]],Ohj.lask.[Jaettava € 6])</f>
        <v>122836511</v>
      </c>
      <c r="AA23" s="21">
        <f>SUMIF(Ohj.lask.[Maakunta],Maakunt.[[#This Row],[Maakunta]],Ohj.lask.[Hakemus 1, €])</f>
        <v>616000</v>
      </c>
      <c r="AB23" s="20">
        <f>SUMIF(Ohj.lask.[Maakunta],Maakunt.[[#This Row],[Maakunta]],Ohj.lask.[Päätös 1, €])</f>
        <v>0</v>
      </c>
      <c r="AC23" s="21">
        <f>SUMIF(Ohj.lask.[Maakunta],Maakunt.[[#This Row],[Maakunta]],Ohj.lask.[Hakemus 2, €])</f>
        <v>0</v>
      </c>
      <c r="AD23" s="20">
        <f>SUMIF(Ohj.lask.[Maakunta],Maakunt.[[#This Row],[Maakunta]],Ohj.lask.[Päätös 2, €])</f>
        <v>0</v>
      </c>
      <c r="AE23" s="21">
        <f>SUMIF(Ohj.lask.[Maakunta],Maakunt.[[#This Row],[Maakunta]],Ohj.lask.[Hakemus 3, €])</f>
        <v>25000</v>
      </c>
      <c r="AF23" s="20">
        <f>SUMIF(Ohj.lask.[Maakunta],Maakunt.[[#This Row],[Maakunta]],Ohj.lask.[Päätös 3, €])</f>
        <v>0</v>
      </c>
      <c r="AG23" s="21">
        <f>SUMIF(Ohj.lask.[Maakunta],Maakunt.[[#This Row],[Maakunta]],Ohj.lask.[Hakemus 4, €])</f>
        <v>0</v>
      </c>
      <c r="AH23" s="20">
        <f>SUMIF(Ohj.lask.[Maakunta],Maakunt.[[#This Row],[Maakunta]],Ohj.lask.[Päätös 4, €])</f>
        <v>170000</v>
      </c>
      <c r="AI23" s="21">
        <f>SUMIF(Ohj.lask.[Maakunta],Maakunt.[[#This Row],[Maakunta]],Ohj.lask.[Hakemus 5, €])</f>
        <v>476800</v>
      </c>
      <c r="AJ23" s="26">
        <f>SUMIF(Ohj.lask.[Maakunta],Maakunt.[[#This Row],[Maakunta]],Ohj.lask.[Päätös 5, €])</f>
        <v>425000</v>
      </c>
      <c r="AK23" s="20">
        <f>SUMIF(Ohj.lask.[Maakunta],Maakunt.[[#This Row],[Maakunta]],Ohj.lask.[Hakemus 6, €])</f>
        <v>70000</v>
      </c>
      <c r="AL23" s="20">
        <f>SUMIF(Ohj.lask.[Maakunta],Maakunt.[[#This Row],[Maakunta]],Ohj.lask.[Päätös 6, €])</f>
        <v>40000</v>
      </c>
      <c r="AM23" s="21">
        <f>Maakunt.[[#This Row],[Hakemus 1, €]]+Maakunt.[[#This Row],[Hakemus 2, €]]+Maakunt.[[#This Row],[Hakemus 3, €]]+Maakunt.[[#This Row],[Hakemus 4, €]]+Maakunt.[[#This Row],[Hakemus 5, €]]+Maakunt.[[#This Row],[Hakemus 6, €]]</f>
        <v>1187800</v>
      </c>
      <c r="AN23" s="20">
        <f>Maakunt.[[#This Row],[Päätös 1, €]]+Maakunt.[[#This Row],[Päätös 2, €]]+Maakunt.[[#This Row],[Päätös 3, €]]+Maakunt.[[#This Row],[Päätös 4, €]]++Maakunt.[[#This Row],[Päätös 5, €]]+Maakunt.[[#This Row],[Päätös 6, €]]</f>
        <v>635000</v>
      </c>
      <c r="AO23" s="21">
        <f>SUMIF(Ohj.lask.[Maakunta],Maakunt.[[#This Row],[Maakunta]],Ohj.lask.[Opiskelijavuosiin perustuva (suoriteperusteinen) sekä harkinnanvarainen korotus, €])</f>
        <v>81872125</v>
      </c>
      <c r="AP23" s="21">
        <f>SUMIF(Ohj.lask.[Maakunta],Maakunt.[[#This Row],[Maakunta]],Ohj.lask.[Suoritusrahoitus, €])</f>
        <v>27685888</v>
      </c>
      <c r="AQ23" s="21">
        <f>SUMIF(Ohj.lask.[Maakunta],Maakunt.[[#This Row],[Maakunta]],Ohj.lask.[Työllistymiseen ja jatko-opintoihin siirtymiseen perustuva sekä opiskelija-palautteisiin perustuva, €])</f>
        <v>13913498</v>
      </c>
      <c r="AR23" s="45">
        <f>SUMIF(Ohj.lask.[Maakunta],Maakunt.[[#This Row],[Maakunta]],Ohj.lask.[Perus-, suoritus- ja vaikuttavuusrahoitus yhteensä, €])</f>
        <v>123471511</v>
      </c>
      <c r="AS23" s="22">
        <f>Maakunt.[[#This Row],[Jaettava € 1]]/Maakunt.[[#This Row],[Perus-, suoritus- ja vaikuttavuusrahoitus yhteensä, €]]</f>
        <v>0.6579422600570588</v>
      </c>
      <c r="AT23" s="300">
        <f>Maakunt.[[#This Row],[Opiskelijavuosiin perustuva (suoriteperusteinen) sekä harkinnanvarainen korotus, €]]/Maakunt.[[#This Row],[Perus-, suoritus- ja vaikuttavuusrahoitus yhteensä, €]]</f>
        <v>0.66308514682386932</v>
      </c>
      <c r="AU23" s="54">
        <f>Maakunt.[[#This Row],[Suoritusrahoitus, €]]/Maakunt.[[#This Row],[Perus-, suoritus- ja vaikuttavuusrahoitus yhteensä, €]]</f>
        <v>0.22422895594109965</v>
      </c>
      <c r="AV23" s="19">
        <f>Maakunt.[[#This Row],[Työllistymiseen ja jatko-opintoihin siirtymiseen perustuva sekä opiskelija-palautteisiin perustuva, €]]/Maakunt.[[#This Row],[Perus-, suoritus- ja vaikuttavuusrahoitus yhteensä, €]]</f>
        <v>0.112685897235031</v>
      </c>
      <c r="AW23" s="19">
        <f>SUMIF(Ohj.lask.[Maakunta],Maakunt.[[#This Row],[Maakunta]],Ohj.lask.[Jaettava € 3])/Maakunt.[[#This Row],[Perus-, suoritus- ja vaikuttavuusrahoitus yhteensä, €]]</f>
        <v>8.4539825547287589E-2</v>
      </c>
      <c r="AX23" s="19">
        <f>SUMIF(Ohj.lask.[Maakunta],Maakunt.[[#This Row],[Maakunta]],Ohj.lask.[Jaettava € 4])/Maakunt.[[#This Row],[Perus-, suoritus- ja vaikuttavuusrahoitus yhteensä, €]]</f>
        <v>7.5392371281501527E-3</v>
      </c>
      <c r="AY23" s="46">
        <f>SUMIF(Ohj.lask.[Maakunta],Maakunt.[[#This Row],[Maakunta]],Ohj.lask.[Jaettava € 5])/Maakunt.[[#This Row],[Perus-, suoritus- ja vaikuttavuusrahoitus yhteensä, €]]</f>
        <v>2.0606834559593265E-2</v>
      </c>
      <c r="AZ23" s="21">
        <f>SUMIF(Vertailu[Maakunta],Maakunt.[[#This Row],[Maakunta]],Vertailu[Rahoitus ml. hark. kor. 
2019 ilman alv, €])</f>
        <v>117359288</v>
      </c>
      <c r="BA23" s="21">
        <f>SUMIF(Vertailu[Maakunta],Maakunt.[[#This Row],[Maakunta]],Vertailu[Rahoitus ml. hark. kor. 
2020 ilman alv, €])</f>
        <v>123471511</v>
      </c>
      <c r="BB23" s="21">
        <f>SUMIF(Vertailu[Maakunta],Maakunt.[[#This Row],[Maakunta]],Vertailu[Muutos, € 2])</f>
        <v>6112223</v>
      </c>
      <c r="BC23" s="46">
        <f>IFERROR(Maakunt.[[#This Row],[Muutos, € 2]]/Maakunt.[[#This Row],[Rahoitus ml. hark. kor. 
2019 ilman alv, €]],0)</f>
        <v>5.2081289041221862E-2</v>
      </c>
    </row>
    <row r="24" spans="1:55" s="137" customFormat="1" x14ac:dyDescent="0.2">
      <c r="A24" s="344" t="s">
        <v>446</v>
      </c>
      <c r="B24" s="344">
        <f>SUBTOTAL(109,Maakunt.[Järjestäjien kokonais-määrä])</f>
        <v>150</v>
      </c>
      <c r="C24" s="344">
        <f>SUBTOTAL(109,Maakunt.[Yksityinen])</f>
        <v>108</v>
      </c>
      <c r="D24" s="344">
        <f>SUBTOTAL(109,Maakunt.[Kunta])</f>
        <v>9</v>
      </c>
      <c r="E24" s="344">
        <f>SUBTOTAL(109,Maakunt.[Kunta-yhtymä])</f>
        <v>33</v>
      </c>
      <c r="F24" s="346">
        <f>SUBTOTAL(109,Maakunt.[Järjestämisluvan opisk.vuosien vähimmäismäärä])</f>
        <v>159291</v>
      </c>
      <c r="G24" s="115">
        <f>SUBTOTAL(109,Maakunt.[Suoritepäätöksellä jaettavat opv:t (luvan ylittävä osuus)])</f>
        <v>18101</v>
      </c>
      <c r="H24" s="115">
        <f>SUBTOTAL(109,Maakunt.[Tavoitteelliset opiske-lijavuodet])</f>
        <v>177392</v>
      </c>
      <c r="I24" s="343">
        <f>Maakunt.[[#Totals],[Painotetut opiskelija-vuodet]]/Maakunt.[[#Totals],[Tavoitteelliset opiske-lijavuodet]]</f>
        <v>1.1363539505727431</v>
      </c>
      <c r="J24" s="115">
        <f>SUBTOTAL(109,Maakunt.[Painotetut opiskelija-vuodet])</f>
        <v>201580.10000000003</v>
      </c>
      <c r="K24" s="345">
        <f>SUBTOTAL(109,Maakunt.[%-osuus 1])</f>
        <v>1</v>
      </c>
      <c r="L24" s="116">
        <f>SUBTOTAL(109,Maakunt.[Jaettava € 1])</f>
        <v>1189694495</v>
      </c>
      <c r="M24" s="115">
        <f>SUBTOTAL(109,Maakunt.[Painotetut pisteet 2])</f>
        <v>15648409.600000001</v>
      </c>
      <c r="N24" s="345">
        <f>SUBTOTAL(109,Maakunt.[%-osuus 2])</f>
        <v>1.0000000000000004</v>
      </c>
      <c r="O24" s="115">
        <f>SUBTOTAL(109,Maakunt.[Jaettava € 2])</f>
        <v>370276995</v>
      </c>
      <c r="P24" s="346">
        <f>SUBTOTAL(109,Maakunt.[Painotetut pisteet 3])</f>
        <v>189428.80000000002</v>
      </c>
      <c r="Q24" s="345">
        <f>SUBTOTAL(109,Maakunt.[%-osuus 3])</f>
        <v>1.0000000000000002</v>
      </c>
      <c r="R24" s="116">
        <f>SUBTOTAL(109,Maakunt.[Jaettava € 3])</f>
        <v>138853877</v>
      </c>
      <c r="S24" s="115">
        <f>SUBTOTAL(109,Maakunt.[Painotetut pisteet 4])</f>
        <v>1245036.8</v>
      </c>
      <c r="T24" s="345">
        <f>SUBTOTAL(109,Maakunt.[%-osuus 4])</f>
        <v>0.99999999999999978</v>
      </c>
      <c r="U24" s="115">
        <f>SUBTOTAL(109,Maakunt.[Jaettava € 4])</f>
        <v>11571153</v>
      </c>
      <c r="V24" s="346">
        <f>SUBTOTAL(109,Maakunt.[Painotetut pisteet 5])</f>
        <v>6622094.8000000007</v>
      </c>
      <c r="W24" s="345">
        <f>SUBTOTAL(109,Maakunt.[%-osuus 5])</f>
        <v>0.99999999999999989</v>
      </c>
      <c r="X24" s="116">
        <f>SUBTOTAL(109,Maakunt.[Jaettava € 5])</f>
        <v>34713465</v>
      </c>
      <c r="Y24" s="345">
        <f>SUBTOTAL(109,Maakunt.[%-osuus 6])</f>
        <v>1</v>
      </c>
      <c r="Z24" s="115">
        <f>SUBTOTAL(109,Maakunt.[Jaettava € 6])</f>
        <v>1745109985</v>
      </c>
      <c r="AA24" s="346">
        <f>SUBTOTAL(109,Maakunt.[Hakemus 1, €])</f>
        <v>20657181</v>
      </c>
      <c r="AB24" s="116">
        <f>SUBTOTAL(109,Maakunt.[Päätös 1, €])</f>
        <v>8150000</v>
      </c>
      <c r="AC24" s="115">
        <f>SUBTOTAL(109,Maakunt.[Hakemus 2, €])</f>
        <v>11313274</v>
      </c>
      <c r="AD24" s="115">
        <f>SUBTOTAL(109,Maakunt.[Päätös 2, €])</f>
        <v>0</v>
      </c>
      <c r="AE24" s="346">
        <f>SUBTOTAL(109,Maakunt.[Hakemus 3, €])</f>
        <v>14667048</v>
      </c>
      <c r="AF24" s="116">
        <f>SUBTOTAL(109,Maakunt.[Päätös 3, €])</f>
        <v>660000</v>
      </c>
      <c r="AG24" s="115">
        <f>SUBTOTAL(109,Maakunt.[Hakemus 4, €])</f>
        <v>7071089</v>
      </c>
      <c r="AH24" s="115">
        <f>SUBTOTAL(109,Maakunt.[Päätös 4, €])</f>
        <v>1465000</v>
      </c>
      <c r="AI24" s="346">
        <f>SUBTOTAL(109,Maakunt.[Hakemus 5, €])</f>
        <v>6985054</v>
      </c>
      <c r="AJ24" s="116">
        <f>SUBTOTAL(109,Maakunt.[Päätös 5, €])</f>
        <v>2500000</v>
      </c>
      <c r="AK24" s="115">
        <f>SUBTOTAL(109,Maakunt.[Hakemus 6, €])</f>
        <v>1185000</v>
      </c>
      <c r="AL24" s="115">
        <f>SUBTOTAL(109,Maakunt.[Päätös 6, €])</f>
        <v>500000</v>
      </c>
      <c r="AM24" s="346">
        <f>SUBTOTAL(109,Maakunt.[Hakemus 7, €])</f>
        <v>61878646</v>
      </c>
      <c r="AN24" s="116">
        <f>SUBTOTAL(109,Maakunt.[Päätös 7, €])</f>
        <v>13275000</v>
      </c>
      <c r="AO24" s="115">
        <f>SUBTOTAL(109,Maakunt.[Opiskelijavuosiin perustuva (suoriteperusteinen) sekä harkinnanvarainen korotus, €])</f>
        <v>1202969495</v>
      </c>
      <c r="AP24" s="348">
        <f>SUBTOTAL(109,Maakunt.[Suoritusrahoitus, €])</f>
        <v>370276995</v>
      </c>
      <c r="AQ24" s="115">
        <f>SUBTOTAL(109,Maakunt.[Työllistymiseen ja jatko-opintoihin siirtymiseen perustuva sekä opiskelija-palautteisiin perustuva, €])</f>
        <v>185138495</v>
      </c>
      <c r="AR24" s="348">
        <f>SUBTOTAL(109,Maakunt.[Perus-, suoritus- ja vaikuttavuusrahoitus yhteensä, €])</f>
        <v>1758384985</v>
      </c>
      <c r="AS24" s="347">
        <f>Maakunt.[[#Totals],[Jaettava € 1]]/Maakunt.[[#Totals],[Perus-, suoritus- ja vaikuttavuusrahoitus yhteensä, €]]</f>
        <v>0.67658362938079797</v>
      </c>
      <c r="AT24" s="371">
        <f>Maakunt.[[#Totals],[Opiskelijavuosiin perustuva (suoriteperusteinen) sekä harkinnanvarainen korotus, €]]/Maakunt.[[#Totals],[Perus-, suoritus- ja vaikuttavuusrahoitus yhteensä, €]]</f>
        <v>0.6841331706435152</v>
      </c>
      <c r="AU24" s="345">
        <f>Maakunt.[[#Totals],[Suoritusrahoitus, €]]/Maakunt.[[#Totals],[Perus-, suoritus- ja vaikuttavuusrahoitus yhteensä, €]]</f>
        <v>0.21057788718549594</v>
      </c>
      <c r="AV24" s="347">
        <f>Maakunt.[[#Totals],[Työllistymiseen ja jatko-opintoihin siirtymiseen perustuva sekä opiskelija-palautteisiin perustuva, €]]/Maakunt.[[#Totals],[Perus-, suoritus- ja vaikuttavuusrahoitus yhteensä, €]]</f>
        <v>0.10528894217098879</v>
      </c>
      <c r="AW24" s="345">
        <f>Ohj.lask.[[#Totals],[Jaettava € 3]]/Ohj.lask.[[#Totals],[Perus-, suoritus- ja vaikuttavuusrahoitus yhteensä, €]]</f>
        <v>7.8966709898287718E-2</v>
      </c>
      <c r="AX24" s="345">
        <f>Ohj.lask.[[#Totals],[Jaettava € 4]]/Ohj.lask.[[#Totals],[Perus-, suoritus- ja vaikuttavuusrahoitus yhteensä, €]]</f>
        <v>6.5805572151197596E-3</v>
      </c>
      <c r="AY24" s="371">
        <f>Ohj.lask.[[#Totals],[Jaettava € 5]]/Ohj.lask.[[#Totals],[Perus-, suoritus- ja vaikuttavuusrahoitus yhteensä, €]]</f>
        <v>1.9741675057581318E-2</v>
      </c>
      <c r="AZ24" s="346">
        <f>SUBTOTAL(109,Maakunt.[Rahoitus ml. hark. kor. 
2019 ilman alv, €])</f>
        <v>1686626762</v>
      </c>
      <c r="BA24" s="348">
        <f>SUBTOTAL(109,Maakunt.[Rahoitus ml. hark. kor. 
2020 ilman alv, €])</f>
        <v>1758384985</v>
      </c>
      <c r="BB24" s="346">
        <f>SUBTOTAL(109,Maakunt.[Muutos, € 2])</f>
        <v>71758223</v>
      </c>
      <c r="BC24" s="371">
        <f>IFERROR(Maakunt.[[#Totals],[Muutos, € 2]]/Maakunt.[[#Totals],[Rahoitus ml. hark. kor. 
2019 ilman alv, €]],0)</f>
        <v>4.2545407565399464E-2</v>
      </c>
    </row>
    <row r="25" spans="1:55" x14ac:dyDescent="0.2">
      <c r="A25" s="101" t="s">
        <v>456</v>
      </c>
    </row>
    <row r="26" spans="1:55" x14ac:dyDescent="0.2">
      <c r="B26" s="102"/>
      <c r="C26" s="102"/>
      <c r="D26" s="102"/>
    </row>
    <row r="27" spans="1:55" x14ac:dyDescent="0.2">
      <c r="A27" s="102"/>
      <c r="B27" s="102"/>
      <c r="C27" s="102"/>
      <c r="D27" s="102"/>
      <c r="F27" s="12"/>
      <c r="G27" s="13"/>
      <c r="H27" s="13"/>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O27" s="14"/>
      <c r="AP27" s="14"/>
      <c r="AQ27" s="14"/>
      <c r="AR27" s="12"/>
      <c r="AS27" s="12"/>
      <c r="AT27" s="12"/>
      <c r="AU27" s="12"/>
      <c r="AV27" s="12"/>
    </row>
    <row r="28" spans="1:55" ht="15" x14ac:dyDescent="0.25">
      <c r="A28" s="12"/>
      <c r="B28" s="12"/>
      <c r="C28" s="12"/>
      <c r="D28" s="12"/>
      <c r="E28" s="12"/>
      <c r="F28" s="12"/>
      <c r="G28" s="13"/>
      <c r="H28" s="13"/>
      <c r="I28" s="12"/>
      <c r="J28" s="12"/>
      <c r="K28" s="12"/>
      <c r="L28" s="12"/>
      <c r="M28" s="12"/>
      <c r="N28"/>
      <c r="O28"/>
      <c r="P28"/>
      <c r="Q28"/>
      <c r="R28"/>
      <c r="S28" s="12"/>
      <c r="T28" s="12"/>
      <c r="U28" s="12"/>
      <c r="V28" s="12"/>
      <c r="W28" s="12"/>
      <c r="X28" s="12"/>
      <c r="Y28" s="12"/>
      <c r="Z28" s="12"/>
      <c r="AA28" s="12"/>
      <c r="AB28" s="12"/>
      <c r="AC28" s="12"/>
      <c r="AD28" s="12"/>
      <c r="AE28" s="12"/>
      <c r="AF28" s="12"/>
      <c r="AG28"/>
      <c r="AH28"/>
      <c r="AI28"/>
      <c r="AJ28"/>
      <c r="AK28"/>
      <c r="AL28"/>
      <c r="AM28" s="12"/>
      <c r="AN28" s="44"/>
      <c r="AO28" s="12"/>
      <c r="AP28" s="44"/>
      <c r="AQ28" s="20"/>
      <c r="AR28" s="20"/>
    </row>
  </sheetData>
  <mergeCells count="30">
    <mergeCell ref="AR3:AR4"/>
    <mergeCell ref="AP3:AP4"/>
    <mergeCell ref="AQ3:AQ4"/>
    <mergeCell ref="AO3:AO4"/>
    <mergeCell ref="A2:B4"/>
    <mergeCell ref="F2:J2"/>
    <mergeCell ref="F3:L3"/>
    <mergeCell ref="F4:L4"/>
    <mergeCell ref="M4:O4"/>
    <mergeCell ref="M3:O3"/>
    <mergeCell ref="Y3:Z3"/>
    <mergeCell ref="P4:R4"/>
    <mergeCell ref="S4:U4"/>
    <mergeCell ref="V4:X4"/>
    <mergeCell ref="AZ2:BC2"/>
    <mergeCell ref="AZ3:BC4"/>
    <mergeCell ref="P3:X3"/>
    <mergeCell ref="AA3:AB4"/>
    <mergeCell ref="AC3:AD4"/>
    <mergeCell ref="AE3:AF4"/>
    <mergeCell ref="AG3:AH4"/>
    <mergeCell ref="AO2:AR2"/>
    <mergeCell ref="AA2:AN2"/>
    <mergeCell ref="AS4:AT4"/>
    <mergeCell ref="AS2:AY2"/>
    <mergeCell ref="Y4:Z4"/>
    <mergeCell ref="AI3:AJ4"/>
    <mergeCell ref="AK3:AL4"/>
    <mergeCell ref="AM3:AN4"/>
    <mergeCell ref="AV4:AY4"/>
  </mergeCells>
  <pageMargins left="0.7" right="0.7" top="0.75" bottom="0.75" header="0.3" footer="0.3"/>
  <pageSetup paperSize="9"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DX176"/>
  <sheetViews>
    <sheetView zoomScale="80" zoomScaleNormal="80" workbookViewId="0">
      <pane xSplit="2" ySplit="4" topLeftCell="C5" activePane="bottomRight" state="frozen"/>
      <selection pane="topRight" activeCell="C1" sqref="C1"/>
      <selection pane="bottomLeft" activeCell="A5" sqref="A5"/>
      <selection pane="bottomRight" activeCell="CM4" sqref="CM4"/>
    </sheetView>
  </sheetViews>
  <sheetFormatPr defaultRowHeight="15" x14ac:dyDescent="0.25"/>
  <cols>
    <col min="1" max="1" width="12.7109375" style="4" bestFit="1" customWidth="1"/>
    <col min="2" max="2" width="41.5703125" style="4" customWidth="1"/>
    <col min="3" max="128" width="16.7109375" style="4" customWidth="1"/>
  </cols>
  <sheetData>
    <row r="1" spans="1:128" s="123" customFormat="1" ht="15.75" x14ac:dyDescent="0.25">
      <c r="A1" s="457"/>
      <c r="B1" s="458"/>
      <c r="C1" s="148"/>
      <c r="D1" s="149"/>
      <c r="E1" s="149"/>
      <c r="F1" s="149"/>
      <c r="G1" s="149"/>
      <c r="H1" s="149"/>
      <c r="I1" s="149"/>
      <c r="J1" s="149"/>
      <c r="K1" s="149"/>
      <c r="L1" s="149"/>
      <c r="M1" s="149"/>
      <c r="N1" s="149"/>
      <c r="O1" s="149"/>
      <c r="P1" s="149"/>
      <c r="Q1" s="149"/>
      <c r="R1" s="150"/>
      <c r="S1" s="151"/>
      <c r="T1" s="151"/>
      <c r="U1" s="151"/>
      <c r="V1" s="151"/>
      <c r="W1" s="149"/>
      <c r="X1" s="149"/>
      <c r="Y1" s="149"/>
      <c r="Z1" s="149"/>
      <c r="AA1" s="149"/>
      <c r="AB1" s="152"/>
      <c r="AC1" s="153"/>
      <c r="AD1" s="153"/>
      <c r="AE1" s="153"/>
      <c r="AF1" s="153"/>
      <c r="AG1" s="153"/>
      <c r="AH1" s="153"/>
      <c r="AI1" s="151"/>
      <c r="AJ1" s="149"/>
      <c r="AK1" s="149"/>
      <c r="AL1" s="149"/>
      <c r="AM1" s="149"/>
      <c r="AN1" s="149"/>
      <c r="AO1" s="149"/>
      <c r="AP1" s="149"/>
      <c r="AQ1" s="149"/>
      <c r="AR1" s="149"/>
      <c r="AS1" s="149"/>
      <c r="AT1" s="149"/>
      <c r="AU1" s="149"/>
      <c r="AV1" s="149"/>
      <c r="AW1" s="149"/>
      <c r="AX1" s="149"/>
      <c r="AY1" s="149"/>
      <c r="AZ1" s="154"/>
      <c r="BA1" s="154"/>
      <c r="BB1" s="154"/>
      <c r="BC1" s="154"/>
      <c r="BD1" s="154"/>
      <c r="BE1" s="154"/>
      <c r="BF1" s="154"/>
      <c r="BG1" s="154"/>
      <c r="BH1" s="154"/>
      <c r="BI1" s="154"/>
      <c r="BJ1" s="154"/>
      <c r="BK1" s="154"/>
      <c r="BL1" s="154"/>
      <c r="BM1" s="154"/>
      <c r="BN1" s="154"/>
      <c r="BO1" s="151"/>
      <c r="BP1" s="151"/>
      <c r="BQ1" s="151"/>
      <c r="BR1" s="151" t="s">
        <v>494</v>
      </c>
      <c r="BS1" s="153"/>
      <c r="BT1" s="153"/>
      <c r="BU1" s="153"/>
      <c r="BV1" s="155" t="s">
        <v>510</v>
      </c>
      <c r="BW1" s="155"/>
      <c r="BX1" s="153"/>
      <c r="BY1" s="153"/>
      <c r="BZ1" s="153" t="s">
        <v>507</v>
      </c>
      <c r="CA1" s="153"/>
      <c r="CB1" s="153"/>
      <c r="CC1" s="153"/>
      <c r="CD1" s="153"/>
      <c r="CE1" s="153"/>
      <c r="CF1" s="153"/>
      <c r="CG1" s="153"/>
      <c r="CH1" s="153"/>
      <c r="CI1" s="153"/>
      <c r="CJ1" s="153"/>
      <c r="CK1" s="153" t="s">
        <v>507</v>
      </c>
      <c r="CL1" s="153"/>
      <c r="CM1" s="153"/>
      <c r="CN1" s="155" t="s">
        <v>508</v>
      </c>
      <c r="CO1" s="155"/>
      <c r="CP1" s="153"/>
      <c r="CQ1" s="153"/>
      <c r="CR1" s="153"/>
      <c r="CS1" s="153" t="s">
        <v>507</v>
      </c>
      <c r="CT1" s="153"/>
      <c r="CU1" s="153"/>
      <c r="CV1" s="153"/>
      <c r="CW1" s="155" t="s">
        <v>509</v>
      </c>
      <c r="CX1" s="155"/>
      <c r="CY1" s="153"/>
      <c r="CZ1" s="153"/>
      <c r="DA1" s="153" t="s">
        <v>507</v>
      </c>
      <c r="DB1" s="153"/>
      <c r="DC1" s="153"/>
      <c r="DD1" s="153"/>
      <c r="DE1" s="153"/>
      <c r="DF1" s="153"/>
      <c r="DG1" s="153"/>
      <c r="DH1" s="156"/>
      <c r="DI1" s="153" t="s">
        <v>507</v>
      </c>
      <c r="DJ1" s="153"/>
      <c r="DK1" s="153"/>
      <c r="DL1" s="153"/>
      <c r="DM1" s="153"/>
      <c r="DN1" s="153"/>
      <c r="DO1" s="153"/>
      <c r="DP1" s="153"/>
      <c r="DQ1" s="153" t="s">
        <v>507</v>
      </c>
      <c r="DR1" s="153"/>
      <c r="DS1" s="153"/>
      <c r="DT1" s="153"/>
      <c r="DU1" s="153"/>
      <c r="DV1" s="153"/>
      <c r="DW1" s="153"/>
      <c r="DX1" s="156"/>
    </row>
    <row r="2" spans="1:128" ht="28.5" customHeight="1" x14ac:dyDescent="0.25">
      <c r="A2" s="459" t="s">
        <v>477</v>
      </c>
      <c r="B2" s="460"/>
      <c r="C2" s="157"/>
      <c r="D2" s="157"/>
      <c r="E2" s="461" t="s">
        <v>616</v>
      </c>
      <c r="F2" s="462"/>
      <c r="G2" s="462"/>
      <c r="H2" s="462"/>
      <c r="I2" s="462"/>
      <c r="J2" s="462"/>
      <c r="K2" s="462"/>
      <c r="L2" s="462"/>
      <c r="M2" s="462"/>
      <c r="N2" s="462"/>
      <c r="O2" s="462"/>
      <c r="P2" s="462"/>
      <c r="Q2" s="462"/>
      <c r="R2" s="463" t="s">
        <v>489</v>
      </c>
      <c r="S2" s="464"/>
      <c r="T2" s="464"/>
      <c r="U2" s="464"/>
      <c r="V2" s="465"/>
      <c r="W2" s="447" t="s">
        <v>495</v>
      </c>
      <c r="X2" s="448"/>
      <c r="Y2" s="448"/>
      <c r="Z2" s="448"/>
      <c r="AA2" s="449"/>
      <c r="AB2" s="429" t="s">
        <v>512</v>
      </c>
      <c r="AC2" s="430"/>
      <c r="AD2" s="430"/>
      <c r="AE2" s="430"/>
      <c r="AF2" s="430"/>
      <c r="AG2" s="430"/>
      <c r="AH2" s="430"/>
      <c r="AI2" s="430"/>
      <c r="AJ2" s="431" t="s">
        <v>513</v>
      </c>
      <c r="AK2" s="432"/>
      <c r="AL2" s="432"/>
      <c r="AM2" s="432"/>
      <c r="AN2" s="432"/>
      <c r="AO2" s="432"/>
      <c r="AP2" s="432"/>
      <c r="AQ2" s="432"/>
      <c r="AR2" s="433" t="s">
        <v>514</v>
      </c>
      <c r="AS2" s="434"/>
      <c r="AT2" s="434"/>
      <c r="AU2" s="434"/>
      <c r="AV2" s="434"/>
      <c r="AW2" s="434"/>
      <c r="AX2" s="434"/>
      <c r="AY2" s="435"/>
      <c r="AZ2" s="439" t="s">
        <v>499</v>
      </c>
      <c r="BA2" s="440"/>
      <c r="BB2" s="440"/>
      <c r="BC2" s="440"/>
      <c r="BD2" s="440"/>
      <c r="BE2" s="440"/>
      <c r="BF2" s="440"/>
      <c r="BG2" s="440"/>
      <c r="BH2" s="440"/>
      <c r="BI2" s="440"/>
      <c r="BJ2" s="440"/>
      <c r="BK2" s="440"/>
      <c r="BL2" s="440"/>
      <c r="BM2" s="440"/>
      <c r="BN2" s="441"/>
      <c r="BO2" s="447" t="s">
        <v>500</v>
      </c>
      <c r="BP2" s="448"/>
      <c r="BQ2" s="449"/>
      <c r="BR2" s="450" t="s">
        <v>511</v>
      </c>
      <c r="BS2" s="451"/>
      <c r="BT2" s="451"/>
      <c r="BU2" s="451"/>
      <c r="BV2" s="451"/>
      <c r="BW2" s="451"/>
      <c r="BX2" s="451"/>
      <c r="BY2" s="451"/>
      <c r="BZ2" s="452" t="s">
        <v>501</v>
      </c>
      <c r="CA2" s="453"/>
      <c r="CB2" s="453"/>
      <c r="CC2" s="453"/>
      <c r="CD2" s="453"/>
      <c r="CE2" s="453"/>
      <c r="CF2" s="453"/>
      <c r="CG2" s="453"/>
      <c r="CH2" s="454" t="s">
        <v>502</v>
      </c>
      <c r="CI2" s="455"/>
      <c r="CJ2" s="456"/>
      <c r="CK2" s="429" t="s">
        <v>515</v>
      </c>
      <c r="CL2" s="430"/>
      <c r="CM2" s="430"/>
      <c r="CN2" s="430"/>
      <c r="CO2" s="430"/>
      <c r="CP2" s="430"/>
      <c r="CQ2" s="430"/>
      <c r="CR2" s="430"/>
      <c r="CS2" s="431" t="s">
        <v>503</v>
      </c>
      <c r="CT2" s="432"/>
      <c r="CU2" s="432"/>
      <c r="CV2" s="432"/>
      <c r="CW2" s="432"/>
      <c r="CX2" s="432"/>
      <c r="CY2" s="432"/>
      <c r="CZ2" s="432"/>
      <c r="DA2" s="433" t="s">
        <v>504</v>
      </c>
      <c r="DB2" s="434"/>
      <c r="DC2" s="434"/>
      <c r="DD2" s="434"/>
      <c r="DE2" s="434"/>
      <c r="DF2" s="434"/>
      <c r="DG2" s="434"/>
      <c r="DH2" s="435"/>
      <c r="DI2" s="436" t="s">
        <v>505</v>
      </c>
      <c r="DJ2" s="437"/>
      <c r="DK2" s="437"/>
      <c r="DL2" s="437"/>
      <c r="DM2" s="437"/>
      <c r="DN2" s="437"/>
      <c r="DO2" s="437"/>
      <c r="DP2" s="437"/>
      <c r="DQ2" s="469" t="s">
        <v>506</v>
      </c>
      <c r="DR2" s="470"/>
      <c r="DS2" s="470"/>
      <c r="DT2" s="470"/>
      <c r="DU2" s="470"/>
      <c r="DV2" s="470"/>
      <c r="DW2" s="470"/>
      <c r="DX2" s="471"/>
    </row>
    <row r="3" spans="1:128" ht="50.25" customHeight="1" x14ac:dyDescent="0.25">
      <c r="A3" s="158" t="s">
        <v>413</v>
      </c>
      <c r="B3" s="159"/>
      <c r="C3" s="159"/>
      <c r="D3" s="159"/>
      <c r="E3" s="234"/>
      <c r="F3" s="438" t="s">
        <v>476</v>
      </c>
      <c r="G3" s="438"/>
      <c r="H3" s="438"/>
      <c r="I3" s="438"/>
      <c r="J3" s="438"/>
      <c r="K3" s="438"/>
      <c r="L3" s="235"/>
      <c r="M3" s="438" t="s">
        <v>617</v>
      </c>
      <c r="N3" s="438"/>
      <c r="O3" s="438"/>
      <c r="P3" s="438"/>
      <c r="Q3" s="236"/>
      <c r="R3" s="228"/>
      <c r="S3" s="229"/>
      <c r="T3" s="229"/>
      <c r="U3" s="229"/>
      <c r="V3" s="230"/>
      <c r="W3" s="226"/>
      <c r="X3" s="227"/>
      <c r="Y3" s="227"/>
      <c r="Z3" s="227"/>
      <c r="AA3" s="227"/>
      <c r="AB3" s="160"/>
      <c r="AC3" s="445" t="s">
        <v>476</v>
      </c>
      <c r="AD3" s="445"/>
      <c r="AE3" s="445"/>
      <c r="AF3" s="445"/>
      <c r="AG3" s="445"/>
      <c r="AH3" s="445"/>
      <c r="AI3" s="161"/>
      <c r="AJ3" s="162"/>
      <c r="AK3" s="446" t="s">
        <v>476</v>
      </c>
      <c r="AL3" s="446"/>
      <c r="AM3" s="446"/>
      <c r="AN3" s="446"/>
      <c r="AO3" s="446"/>
      <c r="AP3" s="446"/>
      <c r="AQ3" s="163"/>
      <c r="AR3" s="164"/>
      <c r="AS3" s="466" t="s">
        <v>476</v>
      </c>
      <c r="AT3" s="466"/>
      <c r="AU3" s="466"/>
      <c r="AV3" s="466"/>
      <c r="AW3" s="466"/>
      <c r="AX3" s="466"/>
      <c r="AY3" s="165"/>
      <c r="AZ3" s="472" t="s">
        <v>785</v>
      </c>
      <c r="BA3" s="473"/>
      <c r="BB3" s="473"/>
      <c r="BC3" s="473" t="s">
        <v>492</v>
      </c>
      <c r="BD3" s="473"/>
      <c r="BE3" s="473"/>
      <c r="BF3" s="473" t="s">
        <v>493</v>
      </c>
      <c r="BG3" s="473"/>
      <c r="BH3" s="473"/>
      <c r="BI3" s="474" t="s">
        <v>618</v>
      </c>
      <c r="BJ3" s="474"/>
      <c r="BK3" s="474"/>
      <c r="BL3" s="474" t="s">
        <v>633</v>
      </c>
      <c r="BM3" s="474"/>
      <c r="BN3" s="475"/>
      <c r="BO3" s="476" t="s">
        <v>632</v>
      </c>
      <c r="BP3" s="477"/>
      <c r="BQ3" s="478"/>
      <c r="BR3" s="166"/>
      <c r="BS3" s="479" t="s">
        <v>476</v>
      </c>
      <c r="BT3" s="479"/>
      <c r="BU3" s="479"/>
      <c r="BV3" s="479"/>
      <c r="BW3" s="479"/>
      <c r="BX3" s="479"/>
      <c r="BY3" s="167"/>
      <c r="BZ3" s="168"/>
      <c r="CA3" s="480" t="s">
        <v>476</v>
      </c>
      <c r="CB3" s="480"/>
      <c r="CC3" s="480"/>
      <c r="CD3" s="480"/>
      <c r="CE3" s="480"/>
      <c r="CF3" s="480"/>
      <c r="CG3" s="169"/>
      <c r="CH3" s="442" t="s">
        <v>632</v>
      </c>
      <c r="CI3" s="443"/>
      <c r="CJ3" s="444"/>
      <c r="CK3" s="170"/>
      <c r="CL3" s="445" t="s">
        <v>476</v>
      </c>
      <c r="CM3" s="445"/>
      <c r="CN3" s="445"/>
      <c r="CO3" s="445"/>
      <c r="CP3" s="445"/>
      <c r="CQ3" s="445"/>
      <c r="CR3" s="171"/>
      <c r="CS3" s="162"/>
      <c r="CT3" s="446" t="s">
        <v>476</v>
      </c>
      <c r="CU3" s="446"/>
      <c r="CV3" s="446"/>
      <c r="CW3" s="446"/>
      <c r="CX3" s="446"/>
      <c r="CY3" s="446"/>
      <c r="CZ3" s="163"/>
      <c r="DA3" s="164"/>
      <c r="DB3" s="466" t="s">
        <v>476</v>
      </c>
      <c r="DC3" s="466"/>
      <c r="DD3" s="466"/>
      <c r="DE3" s="466"/>
      <c r="DF3" s="466"/>
      <c r="DG3" s="466"/>
      <c r="DH3" s="165"/>
      <c r="DI3" s="172"/>
      <c r="DJ3" s="467" t="s">
        <v>476</v>
      </c>
      <c r="DK3" s="467"/>
      <c r="DL3" s="467"/>
      <c r="DM3" s="467"/>
      <c r="DN3" s="467"/>
      <c r="DO3" s="467"/>
      <c r="DP3" s="173"/>
      <c r="DQ3" s="174"/>
      <c r="DR3" s="468" t="s">
        <v>476</v>
      </c>
      <c r="DS3" s="468"/>
      <c r="DT3" s="468"/>
      <c r="DU3" s="468"/>
      <c r="DV3" s="468"/>
      <c r="DW3" s="468"/>
      <c r="DX3" s="175"/>
    </row>
    <row r="4" spans="1:128" s="121" customFormat="1" ht="90" customHeight="1" x14ac:dyDescent="0.25">
      <c r="A4" s="176" t="s">
        <v>412</v>
      </c>
      <c r="B4" s="177" t="s">
        <v>411</v>
      </c>
      <c r="C4" s="177" t="s">
        <v>430</v>
      </c>
      <c r="D4" s="177" t="s">
        <v>429</v>
      </c>
      <c r="E4" s="237" t="s">
        <v>496</v>
      </c>
      <c r="F4" s="238" t="s">
        <v>519</v>
      </c>
      <c r="G4" s="238" t="s">
        <v>523</v>
      </c>
      <c r="H4" s="238" t="s">
        <v>522</v>
      </c>
      <c r="I4" s="238" t="s">
        <v>517</v>
      </c>
      <c r="J4" s="238" t="s">
        <v>518</v>
      </c>
      <c r="K4" s="238" t="s">
        <v>619</v>
      </c>
      <c r="L4" s="239" t="s">
        <v>620</v>
      </c>
      <c r="M4" s="240" t="s">
        <v>621</v>
      </c>
      <c r="N4" s="240" t="s">
        <v>627</v>
      </c>
      <c r="O4" s="240" t="s">
        <v>622</v>
      </c>
      <c r="P4" s="240" t="s">
        <v>623</v>
      </c>
      <c r="Q4" s="241" t="s">
        <v>624</v>
      </c>
      <c r="R4" s="231" t="s">
        <v>520</v>
      </c>
      <c r="S4" s="232" t="s">
        <v>625</v>
      </c>
      <c r="T4" s="232" t="s">
        <v>521</v>
      </c>
      <c r="U4" s="232" t="s">
        <v>628</v>
      </c>
      <c r="V4" s="233" t="s">
        <v>490</v>
      </c>
      <c r="W4" s="221" t="s">
        <v>524</v>
      </c>
      <c r="X4" s="222" t="s">
        <v>525</v>
      </c>
      <c r="Y4" s="222" t="s">
        <v>526</v>
      </c>
      <c r="Z4" s="222" t="s">
        <v>629</v>
      </c>
      <c r="AA4" s="223" t="s">
        <v>491</v>
      </c>
      <c r="AB4" s="178" t="s">
        <v>497</v>
      </c>
      <c r="AC4" s="179" t="s">
        <v>532</v>
      </c>
      <c r="AD4" s="179" t="s">
        <v>533</v>
      </c>
      <c r="AE4" s="179" t="s">
        <v>534</v>
      </c>
      <c r="AF4" s="179" t="s">
        <v>516</v>
      </c>
      <c r="AG4" s="179" t="s">
        <v>535</v>
      </c>
      <c r="AH4" s="179" t="s">
        <v>498</v>
      </c>
      <c r="AI4" s="180" t="s">
        <v>626</v>
      </c>
      <c r="AJ4" s="181" t="s">
        <v>536</v>
      </c>
      <c r="AK4" s="182" t="s">
        <v>537</v>
      </c>
      <c r="AL4" s="182" t="s">
        <v>538</v>
      </c>
      <c r="AM4" s="182" t="s">
        <v>539</v>
      </c>
      <c r="AN4" s="182" t="s">
        <v>540</v>
      </c>
      <c r="AO4" s="182" t="s">
        <v>541</v>
      </c>
      <c r="AP4" s="182" t="s">
        <v>542</v>
      </c>
      <c r="AQ4" s="183" t="s">
        <v>630</v>
      </c>
      <c r="AR4" s="184" t="s">
        <v>543</v>
      </c>
      <c r="AS4" s="185" t="s">
        <v>544</v>
      </c>
      <c r="AT4" s="185" t="s">
        <v>545</v>
      </c>
      <c r="AU4" s="185" t="s">
        <v>546</v>
      </c>
      <c r="AV4" s="185" t="s">
        <v>547</v>
      </c>
      <c r="AW4" s="185" t="s">
        <v>548</v>
      </c>
      <c r="AX4" s="185" t="s">
        <v>549</v>
      </c>
      <c r="AY4" s="165" t="s">
        <v>631</v>
      </c>
      <c r="AZ4" s="186" t="s">
        <v>550</v>
      </c>
      <c r="BA4" s="187" t="s">
        <v>551</v>
      </c>
      <c r="BB4" s="187" t="s">
        <v>552</v>
      </c>
      <c r="BC4" s="186" t="s">
        <v>555</v>
      </c>
      <c r="BD4" s="187" t="s">
        <v>556</v>
      </c>
      <c r="BE4" s="187" t="s">
        <v>553</v>
      </c>
      <c r="BF4" s="186" t="s">
        <v>558</v>
      </c>
      <c r="BG4" s="187" t="s">
        <v>557</v>
      </c>
      <c r="BH4" s="187" t="s">
        <v>554</v>
      </c>
      <c r="BI4" s="224" t="s">
        <v>634</v>
      </c>
      <c r="BJ4" s="225" t="s">
        <v>635</v>
      </c>
      <c r="BK4" s="225" t="s">
        <v>636</v>
      </c>
      <c r="BL4" s="224" t="s">
        <v>637</v>
      </c>
      <c r="BM4" s="225" t="s">
        <v>638</v>
      </c>
      <c r="BN4" s="225" t="s">
        <v>639</v>
      </c>
      <c r="BO4" s="221" t="s">
        <v>559</v>
      </c>
      <c r="BP4" s="222" t="s">
        <v>560</v>
      </c>
      <c r="BQ4" s="223" t="s">
        <v>561</v>
      </c>
      <c r="BR4" s="188" t="s">
        <v>572</v>
      </c>
      <c r="BS4" s="189" t="s">
        <v>573</v>
      </c>
      <c r="BT4" s="189" t="s">
        <v>574</v>
      </c>
      <c r="BU4" s="189" t="s">
        <v>575</v>
      </c>
      <c r="BV4" s="189" t="s">
        <v>576</v>
      </c>
      <c r="BW4" s="189" t="s">
        <v>577</v>
      </c>
      <c r="BX4" s="189" t="s">
        <v>578</v>
      </c>
      <c r="BY4" s="190" t="s">
        <v>579</v>
      </c>
      <c r="BZ4" s="191" t="s">
        <v>580</v>
      </c>
      <c r="CA4" s="192" t="s">
        <v>581</v>
      </c>
      <c r="CB4" s="192" t="s">
        <v>582</v>
      </c>
      <c r="CC4" s="192" t="s">
        <v>583</v>
      </c>
      <c r="CD4" s="192" t="s">
        <v>584</v>
      </c>
      <c r="CE4" s="192" t="s">
        <v>585</v>
      </c>
      <c r="CF4" s="192" t="s">
        <v>586</v>
      </c>
      <c r="CG4" s="193" t="s">
        <v>587</v>
      </c>
      <c r="CH4" s="218" t="s">
        <v>589</v>
      </c>
      <c r="CI4" s="219" t="s">
        <v>590</v>
      </c>
      <c r="CJ4" s="220" t="s">
        <v>588</v>
      </c>
      <c r="CK4" s="194" t="s">
        <v>527</v>
      </c>
      <c r="CL4" s="195" t="s">
        <v>591</v>
      </c>
      <c r="CM4" s="195" t="s">
        <v>592</v>
      </c>
      <c r="CN4" s="195" t="s">
        <v>593</v>
      </c>
      <c r="CO4" s="195" t="s">
        <v>594</v>
      </c>
      <c r="CP4" s="195" t="s">
        <v>595</v>
      </c>
      <c r="CQ4" s="195" t="s">
        <v>596</v>
      </c>
      <c r="CR4" s="196" t="s">
        <v>597</v>
      </c>
      <c r="CS4" s="181" t="s">
        <v>562</v>
      </c>
      <c r="CT4" s="182" t="s">
        <v>528</v>
      </c>
      <c r="CU4" s="182" t="s">
        <v>598</v>
      </c>
      <c r="CV4" s="182" t="s">
        <v>599</v>
      </c>
      <c r="CW4" s="182" t="s">
        <v>600</v>
      </c>
      <c r="CX4" s="182" t="s">
        <v>601</v>
      </c>
      <c r="CY4" s="182" t="s">
        <v>602</v>
      </c>
      <c r="CZ4" s="183" t="s">
        <v>603</v>
      </c>
      <c r="DA4" s="184" t="s">
        <v>566</v>
      </c>
      <c r="DB4" s="185" t="s">
        <v>563</v>
      </c>
      <c r="DC4" s="185" t="s">
        <v>529</v>
      </c>
      <c r="DD4" s="185" t="s">
        <v>604</v>
      </c>
      <c r="DE4" s="185" t="s">
        <v>605</v>
      </c>
      <c r="DF4" s="185" t="s">
        <v>606</v>
      </c>
      <c r="DG4" s="185" t="s">
        <v>607</v>
      </c>
      <c r="DH4" s="197" t="s">
        <v>608</v>
      </c>
      <c r="DI4" s="198" t="s">
        <v>569</v>
      </c>
      <c r="DJ4" s="199" t="s">
        <v>567</v>
      </c>
      <c r="DK4" s="199" t="s">
        <v>564</v>
      </c>
      <c r="DL4" s="199" t="s">
        <v>530</v>
      </c>
      <c r="DM4" s="199" t="s">
        <v>609</v>
      </c>
      <c r="DN4" s="199" t="s">
        <v>610</v>
      </c>
      <c r="DO4" s="199" t="s">
        <v>611</v>
      </c>
      <c r="DP4" s="200" t="s">
        <v>612</v>
      </c>
      <c r="DQ4" s="201" t="s">
        <v>571</v>
      </c>
      <c r="DR4" s="202" t="s">
        <v>570</v>
      </c>
      <c r="DS4" s="202" t="s">
        <v>568</v>
      </c>
      <c r="DT4" s="202" t="s">
        <v>565</v>
      </c>
      <c r="DU4" s="202" t="s">
        <v>531</v>
      </c>
      <c r="DV4" s="202" t="s">
        <v>613</v>
      </c>
      <c r="DW4" s="202" t="s">
        <v>614</v>
      </c>
      <c r="DX4" s="203" t="s">
        <v>615</v>
      </c>
    </row>
    <row r="5" spans="1:128" x14ac:dyDescent="0.25">
      <c r="A5" s="204" t="e">
        <f>IF(INDEX(#REF!,ROW(5:5)-1,1)=0,"",INDEX(#REF!,ROW(5:5)-1,1))</f>
        <v>#REF!</v>
      </c>
      <c r="B5" s="205" t="str">
        <f>IFERROR(VLOOKUP(Opv.kohd.[[#This Row],[Y-tunnus]],'0 Järjestäjätiedot'!$A:$H,2,FALSE),"")</f>
        <v/>
      </c>
      <c r="C5" s="204" t="str">
        <f>IFERROR(VLOOKUP(Opv.kohd.[[#This Row],[Y-tunnus]],'0 Järjestäjätiedot'!$A:$H,COLUMN('0 Järjestäjätiedot'!D:D),FALSE),"")</f>
        <v/>
      </c>
      <c r="D5" s="204" t="str">
        <f>IFERROR(VLOOKUP(Opv.kohd.[[#This Row],[Y-tunnus]],'0 Järjestäjätiedot'!$A:$H,COLUMN('0 Järjestäjätiedot'!H:H),FALSE),"")</f>
        <v/>
      </c>
      <c r="E5" s="204">
        <f>IFERROR(VLOOKUP(Opv.kohd.[[#This Row],[Y-tunnus]],#REF!,COLUMN(#REF!),FALSE),0)</f>
        <v>0</v>
      </c>
      <c r="F5" s="204">
        <f>IFERROR(VLOOKUP(Opv.kohd.[[#This Row],[Y-tunnus]],#REF!,COLUMN(#REF!),FALSE),0)</f>
        <v>0</v>
      </c>
      <c r="G5" s="204">
        <f>IFERROR(VLOOKUP(Opv.kohd.[[#This Row],[Y-tunnus]],#REF!,COLUMN(#REF!),FALSE),0)</f>
        <v>0</v>
      </c>
      <c r="H5" s="204">
        <f>IFERROR(VLOOKUP(Opv.kohd.[[#This Row],[Y-tunnus]],#REF!,COLUMN(#REF!),FALSE),0)</f>
        <v>0</v>
      </c>
      <c r="I5" s="204">
        <f>IFERROR(VLOOKUP(Opv.kohd.[[#This Row],[Y-tunnus]],#REF!,COLUMN(#REF!),FALSE),0)</f>
        <v>0</v>
      </c>
      <c r="J5" s="204">
        <f>IFERROR(VLOOKUP(Opv.kohd.[[#This Row],[Y-tunnus]],#REF!,COLUMN(#REF!),FALSE),0)</f>
        <v>0</v>
      </c>
      <c r="K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5" s="204">
        <f>Opv.kohd.[[#This Row],[Järjestämisluvan mukaiset 1]]+Opv.kohd.[[#This Row],[Yhteensä  1]]</f>
        <v>0</v>
      </c>
      <c r="M5" s="204">
        <f>IFERROR(VLOOKUP(Opv.kohd.[[#This Row],[Y-tunnus]],#REF!,COLUMN(#REF!),FALSE),0)</f>
        <v>0</v>
      </c>
      <c r="N5" s="204">
        <f>IFERROR(VLOOKUP(Opv.kohd.[[#This Row],[Y-tunnus]],#REF!,COLUMN(#REF!),FALSE),0)</f>
        <v>0</v>
      </c>
      <c r="O5" s="204">
        <f>IFERROR(VLOOKUP(Opv.kohd.[[#This Row],[Y-tunnus]],#REF!,COLUMN(#REF!),FALSE)+VLOOKUP(Opv.kohd.[[#This Row],[Y-tunnus]],#REF!,COLUMN(#REF!),FALSE),0)</f>
        <v>0</v>
      </c>
      <c r="P5" s="204">
        <f>Opv.kohd.[[#This Row],[Talousarvion perusteella kohdentamattomat]]+Opv.kohd.[[#This Row],[Talousarvion perusteella työvoimakoulutus 1]]+Opv.kohd.[[#This Row],[Lisätalousarvioiden perusteella]]</f>
        <v>0</v>
      </c>
      <c r="Q5" s="204">
        <f>IFERROR(VLOOKUP(Opv.kohd.[[#This Row],[Y-tunnus]],#REF!,COLUMN(#REF!),FALSE),0)</f>
        <v>0</v>
      </c>
      <c r="R5" s="210">
        <f>IFERROR(VLOOKUP(Opv.kohd.[[#This Row],[Y-tunnus]],#REF!,COLUMN(#REF!),FALSE)-(Opv.kohd.[[#This Row],[Kohdentamaton työvoima-koulutus 2]]+Opv.kohd.[[#This Row],[Maahan-muuttajien koulutus 2]]+Opv.kohd.[[#This Row],[Lisätalousarvioiden perusteella jaetut 2]]),0)</f>
        <v>0</v>
      </c>
      <c r="S5" s="210">
        <f>IFERROR(VLOOKUP(Opv.kohd.[[#This Row],[Y-tunnus]],#REF!,COLUMN(#REF!),FALSE)+VLOOKUP(Opv.kohd.[[#This Row],[Y-tunnus]],#REF!,COLUMN(#REF!),FALSE),0)</f>
        <v>0</v>
      </c>
      <c r="T5" s="210">
        <f>IFERROR(VLOOKUP(Opv.kohd.[[#This Row],[Y-tunnus]],#REF!,COLUMN(#REF!),FALSE)+VLOOKUP(Opv.kohd.[[#This Row],[Y-tunnus]],#REF!,COLUMN(#REF!),FALSE),0)</f>
        <v>0</v>
      </c>
      <c r="U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5" s="210">
        <f>Opv.kohd.[[#This Row],[Kohdentamat-tomat 2]]+Opv.kohd.[[#This Row],[Kohdentamaton työvoima-koulutus 2]]+Opv.kohd.[[#This Row],[Maahan-muuttajien koulutus 2]]+Opv.kohd.[[#This Row],[Lisätalousarvioiden perusteella jaetut 2]]</f>
        <v>0</v>
      </c>
      <c r="W5" s="210">
        <f>Opv.kohd.[[#This Row],[Kohdentamat-tomat 2]]-(Opv.kohd.[[#This Row],[Järjestämisluvan mukaiset 1]]+Opv.kohd.[[#This Row],[Kohdentamat-tomat 1]]+Opv.kohd.[[#This Row],[Nuorisotyöt. väh. ja osaamistarp. vast., muu kuin työvoima-koulutus 1]]+Opv.kohd.[[#This Row],[Talousarvion perusteella kohdentamattomat]])</f>
        <v>0</v>
      </c>
      <c r="X5" s="210">
        <f>Opv.kohd.[[#This Row],[Kohdentamaton työvoima-koulutus 2]]-(Opv.kohd.[[#This Row],[Työvoima-koulutus 1]]+Opv.kohd.[[#This Row],[Nuorisotyöt. väh. ja osaamistarp. vast., työvoima-koulutus 1]]+Opv.kohd.[[#This Row],[Talousarvion perusteella työvoimakoulutus 1]])</f>
        <v>0</v>
      </c>
      <c r="Y5" s="210">
        <f>Opv.kohd.[[#This Row],[Maahan-muuttajien koulutus 2]]-Opv.kohd.[[#This Row],[Maahan-muuttajien koulutus 1]]</f>
        <v>0</v>
      </c>
      <c r="Z5" s="210">
        <f>Opv.kohd.[[#This Row],[Lisätalousarvioiden perusteella jaetut 2]]-Opv.kohd.[[#This Row],[Lisätalousarvioiden perusteella]]</f>
        <v>0</v>
      </c>
      <c r="AA5" s="210">
        <f>Opv.kohd.[[#This Row],[Toteutuneet opiskelijavuodet yhteensä 2]]-Opv.kohd.[[#This Row],[Vuoden 2018 tavoitteelliset opiskelijavuodet yhteensä 1]]</f>
        <v>0</v>
      </c>
      <c r="AB5" s="206">
        <f>IFERROR(VLOOKUP(Opv.kohd.[[#This Row],[Y-tunnus]],#REF!,3,FALSE),0)</f>
        <v>0</v>
      </c>
      <c r="AC5" s="207">
        <f>IFERROR(VLOOKUP(Opv.kohd.[[#This Row],[Y-tunnus]],#REF!,4,FALSE),0)</f>
        <v>0</v>
      </c>
      <c r="AD5" s="207">
        <f>IFERROR(VLOOKUP(Opv.kohd.[[#This Row],[Y-tunnus]],#REF!,5,FALSE),0)</f>
        <v>0</v>
      </c>
      <c r="AE5" s="207">
        <f>IFERROR(VLOOKUP(Opv.kohd.[[#This Row],[Y-tunnus]],#REF!,6,FALSE),0)</f>
        <v>0</v>
      </c>
      <c r="AF5" s="207">
        <f>IFERROR(VLOOKUP(Opv.kohd.[[#This Row],[Y-tunnus]],#REF!,7,FALSE),0)</f>
        <v>0</v>
      </c>
      <c r="AG5" s="207">
        <f>IFERROR(VLOOKUP(Opv.kohd.[[#This Row],[Y-tunnus]],#REF!,8,FALSE),0)</f>
        <v>0</v>
      </c>
      <c r="AH5" s="207">
        <f>IFERROR(VLOOKUP(Opv.kohd.[[#This Row],[Y-tunnus]],#REF!,9,FALSE),0)</f>
        <v>0</v>
      </c>
      <c r="AI5" s="207">
        <f>IFERROR(VLOOKUP(Opv.kohd.[[#This Row],[Y-tunnus]],#REF!,10,FALSE),0)</f>
        <v>0</v>
      </c>
      <c r="AJ5" s="204">
        <f>Opv.kohd.[[#This Row],[Järjestämisluvan mukaiset 4]]-Opv.kohd.[[#This Row],[Järjestämisluvan mukaiset 1]]</f>
        <v>0</v>
      </c>
      <c r="AK5" s="204">
        <f>Opv.kohd.[[#This Row],[Kohdentamat-tomat 4]]-Opv.kohd.[[#This Row],[Kohdentamat-tomat 1]]</f>
        <v>0</v>
      </c>
      <c r="AL5" s="204">
        <f>Opv.kohd.[[#This Row],[Työvoima-koulutus 4]]-Opv.kohd.[[#This Row],[Työvoima-koulutus 1]]</f>
        <v>0</v>
      </c>
      <c r="AM5" s="204">
        <f>Opv.kohd.[[#This Row],[Maahan-muuttajien koulutus 4]]-Opv.kohd.[[#This Row],[Maahan-muuttajien koulutus 1]]</f>
        <v>0</v>
      </c>
      <c r="AN5" s="204">
        <f>Opv.kohd.[[#This Row],[Nuorisotyöt. väh. ja osaamistarp. vast., muu kuin työvoima-koulutus 4]]-Opv.kohd.[[#This Row],[Nuorisotyöt. väh. ja osaamistarp. vast., muu kuin työvoima-koulutus 1]]</f>
        <v>0</v>
      </c>
      <c r="AO5" s="204">
        <f>Opv.kohd.[[#This Row],[Nuorisotyöt. väh. ja osaamistarp. vast., työvoima-koulutus 4]]-Opv.kohd.[[#This Row],[Nuorisotyöt. väh. ja osaamistarp. vast., työvoima-koulutus 1]]</f>
        <v>0</v>
      </c>
      <c r="AP5" s="204">
        <f>Opv.kohd.[[#This Row],[Yhteensä 4]]-Opv.kohd.[[#This Row],[Yhteensä  1]]</f>
        <v>0</v>
      </c>
      <c r="AQ5" s="204">
        <f>Opv.kohd.[[#This Row],[Ensikertaisella suoritepäätöksellä jaetut tavoitteelliset opiskelijavuodet yhteensä 4]]-Opv.kohd.[[#This Row],[Ensikertaisella suoritepäätöksellä jaetut tavoitteelliset opiskelijavuodet yhteensä 1]]</f>
        <v>0</v>
      </c>
      <c r="AR5" s="208">
        <f>IFERROR(Opv.kohd.[[#This Row],[Järjestämisluvan mukaiset 5]]/Opv.kohd.[[#This Row],[Järjestämisluvan mukaiset 4]],0)</f>
        <v>0</v>
      </c>
      <c r="AS5" s="208">
        <f>IFERROR(Opv.kohd.[[#This Row],[Kohdentamat-tomat 5]]/Opv.kohd.[[#This Row],[Kohdentamat-tomat 4]],0)</f>
        <v>0</v>
      </c>
      <c r="AT5" s="208">
        <f>IFERROR(Opv.kohd.[[#This Row],[Työvoima-koulutus 5]]/Opv.kohd.[[#This Row],[Työvoima-koulutus 4]],0)</f>
        <v>0</v>
      </c>
      <c r="AU5" s="208">
        <f>IFERROR(Opv.kohd.[[#This Row],[Maahan-muuttajien koulutus 5]]/Opv.kohd.[[#This Row],[Maahan-muuttajien koulutus 4]],0)</f>
        <v>0</v>
      </c>
      <c r="AV5" s="208">
        <f>IFERROR(Opv.kohd.[[#This Row],[Nuorisotyöt. väh. ja osaamistarp. vast., muu kuin työvoima-koulutus 5]]/Opv.kohd.[[#This Row],[Nuorisotyöt. väh. ja osaamistarp. vast., muu kuin työvoima-koulutus 4]],0)</f>
        <v>0</v>
      </c>
      <c r="AW5" s="208">
        <f>IFERROR(Opv.kohd.[[#This Row],[Nuorisotyöt. väh. ja osaamistarp. vast., työvoima-koulutus 5]]/Opv.kohd.[[#This Row],[Nuorisotyöt. väh. ja osaamistarp. vast., työvoima-koulutus 4]],0)</f>
        <v>0</v>
      </c>
      <c r="AX5" s="208">
        <f>IFERROR(Opv.kohd.[[#This Row],[Yhteensä 5]]/Opv.kohd.[[#This Row],[Yhteensä 4]],0)</f>
        <v>0</v>
      </c>
      <c r="AY5" s="208">
        <f>IFERROR(Opv.kohd.[[#This Row],[Ensikertaisella suoritepäätöksellä jaetut tavoitteelliset opiskelijavuodet yhteensä 5]]/Opv.kohd.[[#This Row],[Ensikertaisella suoritepäätöksellä jaetut tavoitteelliset opiskelijavuodet yhteensä 4]],0)</f>
        <v>0</v>
      </c>
      <c r="AZ5" s="207">
        <f>Opv.kohd.[[#This Row],[Yhteensä 7a]]-Opv.kohd.[[#This Row],[Työvoima-koulutus 7a]]</f>
        <v>0</v>
      </c>
      <c r="BA5" s="207">
        <f>IFERROR(VLOOKUP(Opv.kohd.[[#This Row],[Y-tunnus]],#REF!,COLUMN(#REF!),FALSE),0)</f>
        <v>0</v>
      </c>
      <c r="BB5" s="207">
        <f>IFERROR(VLOOKUP(Opv.kohd.[[#This Row],[Y-tunnus]],#REF!,COLUMN(#REF!),FALSE),0)</f>
        <v>0</v>
      </c>
      <c r="BC5" s="207">
        <f>Opv.kohd.[[#This Row],[Muu kuin työvoima-koulutus 7c]]-Opv.kohd.[[#This Row],[Muu kuin työvoima-koulutus 7a]]</f>
        <v>0</v>
      </c>
      <c r="BD5" s="207">
        <f>Opv.kohd.[[#This Row],[Työvoima-koulutus 7c]]-Opv.kohd.[[#This Row],[Työvoima-koulutus 7a]]</f>
        <v>0</v>
      </c>
      <c r="BE5" s="207">
        <f>Opv.kohd.[[#This Row],[Yhteensä 7c]]-Opv.kohd.[[#This Row],[Yhteensä 7a]]</f>
        <v>0</v>
      </c>
      <c r="BF5" s="207">
        <f>Opv.kohd.[[#This Row],[Yhteensä 7c]]-Opv.kohd.[[#This Row],[Työvoima-koulutus 7c]]</f>
        <v>0</v>
      </c>
      <c r="BG5" s="207">
        <f>IFERROR(VLOOKUP(Opv.kohd.[[#This Row],[Y-tunnus]],#REF!,COLUMN(#REF!),FALSE),0)</f>
        <v>0</v>
      </c>
      <c r="BH5" s="207">
        <f>IFERROR(VLOOKUP(Opv.kohd.[[#This Row],[Y-tunnus]],#REF!,COLUMN(#REF!),FALSE),0)</f>
        <v>0</v>
      </c>
      <c r="BI5" s="207">
        <f>IFERROR(VLOOKUP(Opv.kohd.[[#This Row],[Y-tunnus]],#REF!,COLUMN(#REF!),FALSE),0)</f>
        <v>0</v>
      </c>
      <c r="BJ5" s="207">
        <f>IFERROR(VLOOKUP(Opv.kohd.[[#This Row],[Y-tunnus]],#REF!,COLUMN(#REF!),FALSE),0)</f>
        <v>0</v>
      </c>
      <c r="BK5" s="207">
        <f>Opv.kohd.[[#This Row],[Muu kuin työvoima-koulutus 7d]]+Opv.kohd.[[#This Row],[Työvoima-koulutus 7d]]</f>
        <v>0</v>
      </c>
      <c r="BL5" s="207">
        <f>Opv.kohd.[[#This Row],[Muu kuin työvoima-koulutus 7c]]-Opv.kohd.[[#This Row],[Muu kuin työvoima-koulutus 7d]]</f>
        <v>0</v>
      </c>
      <c r="BM5" s="207">
        <f>Opv.kohd.[[#This Row],[Työvoima-koulutus 7c]]-Opv.kohd.[[#This Row],[Työvoima-koulutus 7d]]</f>
        <v>0</v>
      </c>
      <c r="BN5" s="207">
        <f>Opv.kohd.[[#This Row],[Yhteensä 7c]]-Opv.kohd.[[#This Row],[Yhteensä 7d]]</f>
        <v>0</v>
      </c>
      <c r="BO5" s="207">
        <f>Opv.kohd.[[#This Row],[Muu kuin työvoima-koulutus 7e]]-(Opv.kohd.[[#This Row],[Järjestämisluvan mukaiset 4]]+Opv.kohd.[[#This Row],[Kohdentamat-tomat 4]]+Opv.kohd.[[#This Row],[Maahan-muuttajien koulutus 4]]+Opv.kohd.[[#This Row],[Nuorisotyöt. väh. ja osaamistarp. vast., muu kuin työvoima-koulutus 4]])</f>
        <v>0</v>
      </c>
      <c r="BP5" s="207">
        <f>Opv.kohd.[[#This Row],[Työvoima-koulutus 7e]]-(Opv.kohd.[[#This Row],[Työvoima-koulutus 4]]+Opv.kohd.[[#This Row],[Nuorisotyöt. väh. ja osaamistarp. vast., työvoima-koulutus 4]])</f>
        <v>0</v>
      </c>
      <c r="BQ5" s="207">
        <f>Opv.kohd.[[#This Row],[Yhteensä 7e]]-Opv.kohd.[[#This Row],[Ensikertaisella suoritepäätöksellä jaetut tavoitteelliset opiskelijavuodet yhteensä 4]]</f>
        <v>0</v>
      </c>
      <c r="BR5" s="263">
        <v>0</v>
      </c>
      <c r="BS5" s="263">
        <v>50</v>
      </c>
      <c r="BT5" s="263">
        <v>0</v>
      </c>
      <c r="BU5" s="263">
        <v>0</v>
      </c>
      <c r="BV5" s="263">
        <v>0</v>
      </c>
      <c r="BW5" s="263">
        <v>0</v>
      </c>
      <c r="BX5" s="263">
        <v>50</v>
      </c>
      <c r="BY5" s="263">
        <v>50</v>
      </c>
      <c r="BZ5" s="207">
        <f t="shared" ref="BZ5:CG7" si="0">BR5-AB5</f>
        <v>0</v>
      </c>
      <c r="CA5" s="207">
        <f t="shared" si="0"/>
        <v>50</v>
      </c>
      <c r="CB5" s="207">
        <f t="shared" si="0"/>
        <v>0</v>
      </c>
      <c r="CC5" s="207">
        <f t="shared" si="0"/>
        <v>0</v>
      </c>
      <c r="CD5" s="207">
        <f t="shared" si="0"/>
        <v>0</v>
      </c>
      <c r="CE5" s="207">
        <f t="shared" si="0"/>
        <v>0</v>
      </c>
      <c r="CF5" s="207">
        <f t="shared" si="0"/>
        <v>50</v>
      </c>
      <c r="CG5" s="207">
        <f t="shared" si="0"/>
        <v>50</v>
      </c>
      <c r="CH5" s="207">
        <f>Opv.kohd.[[#This Row],[Tavoitteelliset opiskelijavuodet yhteensä 9]]-Opv.kohd.[[#This Row],[Työvoima-koulutus 9]]-Opv.kohd.[[#This Row],[Nuorisotyöt. väh. ja osaamistarp. vast., työvoima-koulutus 9]]-Opv.kohd.[[#This Row],[Muu kuin työvoima-koulutus 7e]]</f>
        <v>50</v>
      </c>
      <c r="CI5" s="207">
        <f>(Opv.kohd.[[#This Row],[Työvoima-koulutus 9]]+Opv.kohd.[[#This Row],[Nuorisotyöt. väh. ja osaamistarp. vast., työvoima-koulutus 9]])-Opv.kohd.[[#This Row],[Työvoima-koulutus 7e]]</f>
        <v>0</v>
      </c>
      <c r="CJ5" s="207">
        <f>Opv.kohd.[[#This Row],[Tavoitteelliset opiskelijavuodet yhteensä 9]]-Opv.kohd.[[#This Row],[Yhteensä 7e]]</f>
        <v>50</v>
      </c>
      <c r="CK5" s="207">
        <f>Opv.kohd.[[#This Row],[Järjestämisluvan mukaiset 4]]+Opv.kohd.[[#This Row],[Järjestämisluvan mukaiset 13]]</f>
        <v>0</v>
      </c>
      <c r="CL5" s="207">
        <f>Opv.kohd.[[#This Row],[Kohdentamat-tomat 4]]+Opv.kohd.[[#This Row],[Kohdentamat-tomat 13]]</f>
        <v>0</v>
      </c>
      <c r="CM5" s="207">
        <f>Opv.kohd.[[#This Row],[Työvoima-koulutus 4]]+Opv.kohd.[[#This Row],[Työvoima-koulutus 13]]</f>
        <v>0</v>
      </c>
      <c r="CN5" s="207">
        <f>Opv.kohd.[[#This Row],[Maahan-muuttajien koulutus 4]]+Opv.kohd.[[#This Row],[Maahan-muuttajien koulutus 13]]</f>
        <v>0</v>
      </c>
      <c r="CO5" s="207">
        <f>Opv.kohd.[[#This Row],[Nuorisotyöt. väh. ja osaamistarp. vast., muu kuin työvoima-koulutus 4]]+Opv.kohd.[[#This Row],[Nuorisotyöt. väh. ja osaamistarp. vast., muu kuin työvoima-koulutus 13]]</f>
        <v>0</v>
      </c>
      <c r="CP5" s="207">
        <f>Opv.kohd.[[#This Row],[Nuorisotyöt. väh. ja osaamistarp. vast., työvoima-koulutus 4]]+Opv.kohd.[[#This Row],[Nuorisotyöt. väh. ja osaamistarp. vast., työvoima-koulutus 13]]</f>
        <v>0</v>
      </c>
      <c r="CQ5" s="207">
        <f>Opv.kohd.[[#This Row],[Yhteensä 4]]+Opv.kohd.[[#This Row],[Yhteensä 13]]</f>
        <v>0</v>
      </c>
      <c r="CR5" s="207">
        <f>Opv.kohd.[[#This Row],[Ensikertaisella suoritepäätöksellä jaetut tavoitteelliset opiskelijavuodet yhteensä 4]]+Opv.kohd.[[#This Row],[Tavoitteelliset opiskelijavuodet yhteensä 13]]</f>
        <v>0</v>
      </c>
      <c r="CS5" s="120">
        <v>0</v>
      </c>
      <c r="CT5" s="120">
        <v>0</v>
      </c>
      <c r="CU5" s="120">
        <v>0</v>
      </c>
      <c r="CV5" s="120">
        <v>0</v>
      </c>
      <c r="CW5" s="120">
        <v>0</v>
      </c>
      <c r="CX5" s="120">
        <v>0</v>
      </c>
      <c r="CY5" s="120">
        <v>0</v>
      </c>
      <c r="CZ5" s="120">
        <v>0</v>
      </c>
      <c r="DA5" s="209">
        <f>IFERROR(Opv.kohd.[[#This Row],[Järjestämisluvan mukaiset 13]]/Opv.kohd.[[#This Row],[Järjestämisluvan mukaiset 12]],0)</f>
        <v>0</v>
      </c>
      <c r="DB5" s="209">
        <f>IFERROR(Opv.kohd.[[#This Row],[Kohdentamat-tomat 13]]/Opv.kohd.[[#This Row],[Kohdentamat-tomat 12]],0)</f>
        <v>0</v>
      </c>
      <c r="DC5" s="209">
        <f>IFERROR(Opv.kohd.[[#This Row],[Työvoima-koulutus 13]]/Opv.kohd.[[#This Row],[Työvoima-koulutus 12]],0)</f>
        <v>0</v>
      </c>
      <c r="DD5" s="209">
        <f>IFERROR(Opv.kohd.[[#This Row],[Maahan-muuttajien koulutus 13]]/Opv.kohd.[[#This Row],[Maahan-muuttajien koulutus 12]],0)</f>
        <v>0</v>
      </c>
      <c r="DE5" s="209">
        <f>IFERROR(Opv.kohd.[[#This Row],[Nuorisotyöt. väh. ja osaamistarp. vast., muu kuin työvoima-koulutus 13]]/Opv.kohd.[[#This Row],[Nuorisotyöt. väh. ja osaamistarp. vast., muu kuin työvoima-koulutus 12]],0)</f>
        <v>0</v>
      </c>
      <c r="DF5" s="209">
        <f>IFERROR(Opv.kohd.[[#This Row],[Nuorisotyöt. väh. ja osaamistarp. vast., työvoima-koulutus 13]]/Opv.kohd.[[#This Row],[Nuorisotyöt. väh. ja osaamistarp. vast., työvoima-koulutus 12]],0)</f>
        <v>0</v>
      </c>
      <c r="DG5" s="209">
        <f>IFERROR(Opv.kohd.[[#This Row],[Yhteensä 13]]/Opv.kohd.[[#This Row],[Yhteensä 12]],0)</f>
        <v>0</v>
      </c>
      <c r="DH5" s="209">
        <f>IFERROR(Opv.kohd.[[#This Row],[Tavoitteelliset opiskelijavuodet yhteensä 13]]/Opv.kohd.[[#This Row],[Tavoitteelliset opiskelijavuodet yhteensä 12]],0)</f>
        <v>0</v>
      </c>
      <c r="DI5" s="207">
        <f>Opv.kohd.[[#This Row],[Järjestämisluvan mukaiset 12]]-Opv.kohd.[[#This Row],[Järjestämisluvan mukaiset 9]]</f>
        <v>0</v>
      </c>
      <c r="DJ5" s="207">
        <f>Opv.kohd.[[#This Row],[Kohdentamat-tomat 12]]-Opv.kohd.[[#This Row],[Kohdentamat-tomat 9]]</f>
        <v>-50</v>
      </c>
      <c r="DK5" s="207">
        <f>Opv.kohd.[[#This Row],[Työvoima-koulutus 12]]-Opv.kohd.[[#This Row],[Työvoima-koulutus 9]]</f>
        <v>0</v>
      </c>
      <c r="DL5" s="207">
        <f>Opv.kohd.[[#This Row],[Maahan-muuttajien koulutus 12]]-Opv.kohd.[[#This Row],[Maahan-muuttajien koulutus 9]]</f>
        <v>0</v>
      </c>
      <c r="DM5" s="207">
        <f>Opv.kohd.[[#This Row],[Nuorisotyöt. väh. ja osaamistarp. vast., muu kuin työvoima-koulutus 12]]-Opv.kohd.[[#This Row],[Nuorisotyöt. väh. ja osaamistarp. vast., muu kuin työvoima-koulutus 9]]</f>
        <v>0</v>
      </c>
      <c r="DN5" s="207">
        <f>Opv.kohd.[[#This Row],[Nuorisotyöt. väh. ja osaamistarp. vast., työvoima-koulutus 12]]-Opv.kohd.[[#This Row],[Nuorisotyöt. väh. ja osaamistarp. vast., työvoima-koulutus 9]]</f>
        <v>0</v>
      </c>
      <c r="DO5" s="207">
        <f>Opv.kohd.[[#This Row],[Yhteensä 12]]-Opv.kohd.[[#This Row],[Yhteensä 9]]</f>
        <v>-50</v>
      </c>
      <c r="DP5" s="207">
        <f>Opv.kohd.[[#This Row],[Tavoitteelliset opiskelijavuodet yhteensä 12]]-Opv.kohd.[[#This Row],[Tavoitteelliset opiskelijavuodet yhteensä 9]]</f>
        <v>-50</v>
      </c>
      <c r="DQ5" s="209">
        <f>IFERROR(Opv.kohd.[[#This Row],[Järjestämisluvan mukaiset 15]]/Opv.kohd.[[#This Row],[Järjestämisluvan mukaiset 9]],0)</f>
        <v>0</v>
      </c>
      <c r="DR5" s="209">
        <f t="shared" ref="DR5:DX7" si="1">IFERROR(DJ5/AC5,0)</f>
        <v>0</v>
      </c>
      <c r="DS5" s="209">
        <f t="shared" si="1"/>
        <v>0</v>
      </c>
      <c r="DT5" s="209">
        <f t="shared" si="1"/>
        <v>0</v>
      </c>
      <c r="DU5" s="209">
        <f t="shared" si="1"/>
        <v>0</v>
      </c>
      <c r="DV5" s="209">
        <f t="shared" si="1"/>
        <v>0</v>
      </c>
      <c r="DW5" s="209">
        <f t="shared" si="1"/>
        <v>0</v>
      </c>
      <c r="DX5" s="209">
        <f t="shared" si="1"/>
        <v>0</v>
      </c>
    </row>
    <row r="6" spans="1:128" x14ac:dyDescent="0.25">
      <c r="A6" s="204" t="e">
        <f>IF(INDEX(#REF!,ROW(6:6)-1,1)=0,"",INDEX(#REF!,ROW(6:6)-1,1))</f>
        <v>#REF!</v>
      </c>
      <c r="B6" s="205" t="str">
        <f>IFERROR(VLOOKUP(Opv.kohd.[[#This Row],[Y-tunnus]],'0 Järjestäjätiedot'!$A:$H,2,FALSE),"")</f>
        <v/>
      </c>
      <c r="C6" s="204" t="str">
        <f>IFERROR(VLOOKUP(Opv.kohd.[[#This Row],[Y-tunnus]],'0 Järjestäjätiedot'!$A:$H,COLUMN('0 Järjestäjätiedot'!D:D),FALSE),"")</f>
        <v/>
      </c>
      <c r="D6" s="204" t="str">
        <f>IFERROR(VLOOKUP(Opv.kohd.[[#This Row],[Y-tunnus]],'0 Järjestäjätiedot'!$A:$H,COLUMN('0 Järjestäjätiedot'!H:H),FALSE),"")</f>
        <v/>
      </c>
      <c r="E6" s="204">
        <f>IFERROR(VLOOKUP(Opv.kohd.[[#This Row],[Y-tunnus]],#REF!,COLUMN(#REF!),FALSE),0)</f>
        <v>0</v>
      </c>
      <c r="F6" s="204">
        <f>IFERROR(VLOOKUP(Opv.kohd.[[#This Row],[Y-tunnus]],#REF!,COLUMN(#REF!),FALSE),0)</f>
        <v>0</v>
      </c>
      <c r="G6" s="204">
        <f>IFERROR(VLOOKUP(Opv.kohd.[[#This Row],[Y-tunnus]],#REF!,COLUMN(#REF!),FALSE),0)</f>
        <v>0</v>
      </c>
      <c r="H6" s="204">
        <f>IFERROR(VLOOKUP(Opv.kohd.[[#This Row],[Y-tunnus]],#REF!,COLUMN(#REF!),FALSE),0)</f>
        <v>0</v>
      </c>
      <c r="I6" s="204">
        <f>IFERROR(VLOOKUP(Opv.kohd.[[#This Row],[Y-tunnus]],#REF!,COLUMN(#REF!),FALSE),0)</f>
        <v>0</v>
      </c>
      <c r="J6" s="204">
        <f>IFERROR(VLOOKUP(Opv.kohd.[[#This Row],[Y-tunnus]],#REF!,COLUMN(#REF!),FALSE),0)</f>
        <v>0</v>
      </c>
      <c r="K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6" s="204">
        <f>Opv.kohd.[[#This Row],[Järjestämisluvan mukaiset 1]]+Opv.kohd.[[#This Row],[Yhteensä  1]]</f>
        <v>0</v>
      </c>
      <c r="M6" s="204">
        <f>IFERROR(VLOOKUP(Opv.kohd.[[#This Row],[Y-tunnus]],#REF!,COLUMN(#REF!),FALSE),0)</f>
        <v>0</v>
      </c>
      <c r="N6" s="204">
        <f>IFERROR(VLOOKUP(Opv.kohd.[[#This Row],[Y-tunnus]],#REF!,COLUMN(#REF!),FALSE),0)</f>
        <v>0</v>
      </c>
      <c r="O6" s="204">
        <f>IFERROR(VLOOKUP(Opv.kohd.[[#This Row],[Y-tunnus]],#REF!,COLUMN(#REF!),FALSE)+VLOOKUP(Opv.kohd.[[#This Row],[Y-tunnus]],#REF!,COLUMN(#REF!),FALSE),0)</f>
        <v>0</v>
      </c>
      <c r="P6" s="204">
        <f>Opv.kohd.[[#This Row],[Talousarvion perusteella kohdentamattomat]]+Opv.kohd.[[#This Row],[Talousarvion perusteella työvoimakoulutus 1]]+Opv.kohd.[[#This Row],[Lisätalousarvioiden perusteella]]</f>
        <v>0</v>
      </c>
      <c r="Q6" s="204">
        <f>IFERROR(VLOOKUP(Opv.kohd.[[#This Row],[Y-tunnus]],#REF!,COLUMN(#REF!),FALSE),0)</f>
        <v>0</v>
      </c>
      <c r="R6" s="210">
        <f>IFERROR(VLOOKUP(Opv.kohd.[[#This Row],[Y-tunnus]],#REF!,COLUMN(#REF!),FALSE)-(Opv.kohd.[[#This Row],[Kohdentamaton työvoima-koulutus 2]]+Opv.kohd.[[#This Row],[Maahan-muuttajien koulutus 2]]+Opv.kohd.[[#This Row],[Lisätalousarvioiden perusteella jaetut 2]]),0)</f>
        <v>0</v>
      </c>
      <c r="S6" s="210">
        <f>IFERROR(VLOOKUP(Opv.kohd.[[#This Row],[Y-tunnus]],#REF!,COLUMN(#REF!),FALSE)+VLOOKUP(Opv.kohd.[[#This Row],[Y-tunnus]],#REF!,COLUMN(#REF!),FALSE),0)</f>
        <v>0</v>
      </c>
      <c r="T6" s="210">
        <f>IFERROR(VLOOKUP(Opv.kohd.[[#This Row],[Y-tunnus]],#REF!,COLUMN(#REF!),FALSE)+VLOOKUP(Opv.kohd.[[#This Row],[Y-tunnus]],#REF!,COLUMN(#REF!),FALSE),0)</f>
        <v>0</v>
      </c>
      <c r="U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6" s="210">
        <f>Opv.kohd.[[#This Row],[Kohdentamat-tomat 2]]+Opv.kohd.[[#This Row],[Kohdentamaton työvoima-koulutus 2]]+Opv.kohd.[[#This Row],[Maahan-muuttajien koulutus 2]]+Opv.kohd.[[#This Row],[Lisätalousarvioiden perusteella jaetut 2]]</f>
        <v>0</v>
      </c>
      <c r="W6" s="210">
        <f>Opv.kohd.[[#This Row],[Kohdentamat-tomat 2]]-(Opv.kohd.[[#This Row],[Järjestämisluvan mukaiset 1]]+Opv.kohd.[[#This Row],[Kohdentamat-tomat 1]]+Opv.kohd.[[#This Row],[Nuorisotyöt. väh. ja osaamistarp. vast., muu kuin työvoima-koulutus 1]]+Opv.kohd.[[#This Row],[Talousarvion perusteella kohdentamattomat]])</f>
        <v>0</v>
      </c>
      <c r="X6" s="210">
        <f>Opv.kohd.[[#This Row],[Kohdentamaton työvoima-koulutus 2]]-(Opv.kohd.[[#This Row],[Työvoima-koulutus 1]]+Opv.kohd.[[#This Row],[Nuorisotyöt. väh. ja osaamistarp. vast., työvoima-koulutus 1]]+Opv.kohd.[[#This Row],[Talousarvion perusteella työvoimakoulutus 1]])</f>
        <v>0</v>
      </c>
      <c r="Y6" s="210">
        <f>Opv.kohd.[[#This Row],[Maahan-muuttajien koulutus 2]]-Opv.kohd.[[#This Row],[Maahan-muuttajien koulutus 1]]</f>
        <v>0</v>
      </c>
      <c r="Z6" s="210">
        <f>Opv.kohd.[[#This Row],[Lisätalousarvioiden perusteella jaetut 2]]-Opv.kohd.[[#This Row],[Lisätalousarvioiden perusteella]]</f>
        <v>0</v>
      </c>
      <c r="AA6" s="210">
        <f>Opv.kohd.[[#This Row],[Toteutuneet opiskelijavuodet yhteensä 2]]-Opv.kohd.[[#This Row],[Vuoden 2018 tavoitteelliset opiskelijavuodet yhteensä 1]]</f>
        <v>0</v>
      </c>
      <c r="AB6" s="207">
        <f>IFERROR(VLOOKUP(Opv.kohd.[[#This Row],[Y-tunnus]],#REF!,3,FALSE),0)</f>
        <v>0</v>
      </c>
      <c r="AC6" s="207">
        <f>IFERROR(VLOOKUP(Opv.kohd.[[#This Row],[Y-tunnus]],#REF!,4,FALSE),0)</f>
        <v>0</v>
      </c>
      <c r="AD6" s="207">
        <f>IFERROR(VLOOKUP(Opv.kohd.[[#This Row],[Y-tunnus]],#REF!,5,FALSE),0)</f>
        <v>0</v>
      </c>
      <c r="AE6" s="207">
        <f>IFERROR(VLOOKUP(Opv.kohd.[[#This Row],[Y-tunnus]],#REF!,6,FALSE),0)</f>
        <v>0</v>
      </c>
      <c r="AF6" s="207">
        <f>IFERROR(VLOOKUP(Opv.kohd.[[#This Row],[Y-tunnus]],#REF!,7,FALSE),0)</f>
        <v>0</v>
      </c>
      <c r="AG6" s="207">
        <f>IFERROR(VLOOKUP(Opv.kohd.[[#This Row],[Y-tunnus]],#REF!,8,FALSE),0)</f>
        <v>0</v>
      </c>
      <c r="AH6" s="207">
        <f>IFERROR(VLOOKUP(Opv.kohd.[[#This Row],[Y-tunnus]],#REF!,9,FALSE),0)</f>
        <v>0</v>
      </c>
      <c r="AI6" s="207">
        <f>IFERROR(VLOOKUP(Opv.kohd.[[#This Row],[Y-tunnus]],#REF!,10,FALSE),0)</f>
        <v>0</v>
      </c>
      <c r="AJ6" s="204">
        <f>Opv.kohd.[[#This Row],[Järjestämisluvan mukaiset 4]]-Opv.kohd.[[#This Row],[Järjestämisluvan mukaiset 1]]</f>
        <v>0</v>
      </c>
      <c r="AK6" s="204">
        <f>Opv.kohd.[[#This Row],[Kohdentamat-tomat 4]]-Opv.kohd.[[#This Row],[Kohdentamat-tomat 1]]</f>
        <v>0</v>
      </c>
      <c r="AL6" s="204">
        <f>Opv.kohd.[[#This Row],[Työvoima-koulutus 4]]-Opv.kohd.[[#This Row],[Työvoima-koulutus 1]]</f>
        <v>0</v>
      </c>
      <c r="AM6" s="204">
        <f>Opv.kohd.[[#This Row],[Maahan-muuttajien koulutus 4]]-Opv.kohd.[[#This Row],[Maahan-muuttajien koulutus 1]]</f>
        <v>0</v>
      </c>
      <c r="AN6" s="204">
        <f>Opv.kohd.[[#This Row],[Nuorisotyöt. väh. ja osaamistarp. vast., muu kuin työvoima-koulutus 4]]-Opv.kohd.[[#This Row],[Nuorisotyöt. väh. ja osaamistarp. vast., muu kuin työvoima-koulutus 1]]</f>
        <v>0</v>
      </c>
      <c r="AO6" s="204">
        <f>Opv.kohd.[[#This Row],[Nuorisotyöt. väh. ja osaamistarp. vast., työvoima-koulutus 4]]-Opv.kohd.[[#This Row],[Nuorisotyöt. väh. ja osaamistarp. vast., työvoima-koulutus 1]]</f>
        <v>0</v>
      </c>
      <c r="AP6" s="204">
        <f>Opv.kohd.[[#This Row],[Yhteensä 4]]-Opv.kohd.[[#This Row],[Yhteensä  1]]</f>
        <v>0</v>
      </c>
      <c r="AQ6" s="204">
        <f>Opv.kohd.[[#This Row],[Ensikertaisella suoritepäätöksellä jaetut tavoitteelliset opiskelijavuodet yhteensä 4]]-Opv.kohd.[[#This Row],[Ensikertaisella suoritepäätöksellä jaetut tavoitteelliset opiskelijavuodet yhteensä 1]]</f>
        <v>0</v>
      </c>
      <c r="AR6" s="208">
        <f>IFERROR(Opv.kohd.[[#This Row],[Järjestämisluvan mukaiset 5]]/Opv.kohd.[[#This Row],[Järjestämisluvan mukaiset 4]],0)</f>
        <v>0</v>
      </c>
      <c r="AS6" s="208">
        <f>IFERROR(Opv.kohd.[[#This Row],[Kohdentamat-tomat 5]]/Opv.kohd.[[#This Row],[Kohdentamat-tomat 4]],0)</f>
        <v>0</v>
      </c>
      <c r="AT6" s="208">
        <f>IFERROR(Opv.kohd.[[#This Row],[Työvoima-koulutus 5]]/Opv.kohd.[[#This Row],[Työvoima-koulutus 4]],0)</f>
        <v>0</v>
      </c>
      <c r="AU6" s="208">
        <f>IFERROR(Opv.kohd.[[#This Row],[Maahan-muuttajien koulutus 5]]/Opv.kohd.[[#This Row],[Maahan-muuttajien koulutus 4]],0)</f>
        <v>0</v>
      </c>
      <c r="AV6" s="208">
        <f>IFERROR(Opv.kohd.[[#This Row],[Nuorisotyöt. väh. ja osaamistarp. vast., muu kuin työvoima-koulutus 5]]/Opv.kohd.[[#This Row],[Nuorisotyöt. väh. ja osaamistarp. vast., muu kuin työvoima-koulutus 4]],0)</f>
        <v>0</v>
      </c>
      <c r="AW6" s="208">
        <f>IFERROR(Opv.kohd.[[#This Row],[Nuorisotyöt. väh. ja osaamistarp. vast., työvoima-koulutus 5]]/Opv.kohd.[[#This Row],[Nuorisotyöt. väh. ja osaamistarp. vast., työvoima-koulutus 4]],0)</f>
        <v>0</v>
      </c>
      <c r="AX6" s="208">
        <f>IFERROR(Opv.kohd.[[#This Row],[Yhteensä 5]]/Opv.kohd.[[#This Row],[Yhteensä 4]],0)</f>
        <v>0</v>
      </c>
      <c r="AY6" s="208">
        <f>IFERROR(Opv.kohd.[[#This Row],[Ensikertaisella suoritepäätöksellä jaetut tavoitteelliset opiskelijavuodet yhteensä 5]]/Opv.kohd.[[#This Row],[Ensikertaisella suoritepäätöksellä jaetut tavoitteelliset opiskelijavuodet yhteensä 4]],0)</f>
        <v>0</v>
      </c>
      <c r="AZ6" s="207">
        <f>Opv.kohd.[[#This Row],[Yhteensä 7a]]-Opv.kohd.[[#This Row],[Työvoima-koulutus 7a]]</f>
        <v>0</v>
      </c>
      <c r="BA6" s="207">
        <f>IFERROR(VLOOKUP(Opv.kohd.[[#This Row],[Y-tunnus]],#REF!,COLUMN(#REF!),FALSE),0)</f>
        <v>0</v>
      </c>
      <c r="BB6" s="207">
        <f>IFERROR(VLOOKUP(Opv.kohd.[[#This Row],[Y-tunnus]],#REF!,COLUMN(#REF!),FALSE),0)</f>
        <v>0</v>
      </c>
      <c r="BC6" s="207">
        <f>Opv.kohd.[[#This Row],[Muu kuin työvoima-koulutus 7c]]-Opv.kohd.[[#This Row],[Muu kuin työvoima-koulutus 7a]]</f>
        <v>0</v>
      </c>
      <c r="BD6" s="207">
        <f>Opv.kohd.[[#This Row],[Työvoima-koulutus 7c]]-Opv.kohd.[[#This Row],[Työvoima-koulutus 7a]]</f>
        <v>0</v>
      </c>
      <c r="BE6" s="207">
        <f>Opv.kohd.[[#This Row],[Yhteensä 7c]]-Opv.kohd.[[#This Row],[Yhteensä 7a]]</f>
        <v>0</v>
      </c>
      <c r="BF6" s="207">
        <f>Opv.kohd.[[#This Row],[Yhteensä 7c]]-Opv.kohd.[[#This Row],[Työvoima-koulutus 7c]]</f>
        <v>0</v>
      </c>
      <c r="BG6" s="207">
        <f>IFERROR(VLOOKUP(Opv.kohd.[[#This Row],[Y-tunnus]],#REF!,COLUMN(#REF!),FALSE),0)</f>
        <v>0</v>
      </c>
      <c r="BH6" s="207">
        <f>IFERROR(VLOOKUP(Opv.kohd.[[#This Row],[Y-tunnus]],#REF!,COLUMN(#REF!),FALSE),0)</f>
        <v>0</v>
      </c>
      <c r="BI6" s="207">
        <f>IFERROR(VLOOKUP(Opv.kohd.[[#This Row],[Y-tunnus]],#REF!,COLUMN(#REF!),FALSE),0)</f>
        <v>0</v>
      </c>
      <c r="BJ6" s="207">
        <f>IFERROR(VLOOKUP(Opv.kohd.[[#This Row],[Y-tunnus]],#REF!,COLUMN(#REF!),FALSE),0)</f>
        <v>0</v>
      </c>
      <c r="BK6" s="207">
        <f>Opv.kohd.[[#This Row],[Muu kuin työvoima-koulutus 7d]]+Opv.kohd.[[#This Row],[Työvoima-koulutus 7d]]</f>
        <v>0</v>
      </c>
      <c r="BL6" s="207">
        <f>Opv.kohd.[[#This Row],[Muu kuin työvoima-koulutus 7c]]-Opv.kohd.[[#This Row],[Muu kuin työvoima-koulutus 7d]]</f>
        <v>0</v>
      </c>
      <c r="BM6" s="207">
        <f>Opv.kohd.[[#This Row],[Työvoima-koulutus 7c]]-Opv.kohd.[[#This Row],[Työvoima-koulutus 7d]]</f>
        <v>0</v>
      </c>
      <c r="BN6" s="207">
        <f>Opv.kohd.[[#This Row],[Yhteensä 7c]]-Opv.kohd.[[#This Row],[Yhteensä 7d]]</f>
        <v>0</v>
      </c>
      <c r="BO6" s="207">
        <f>Opv.kohd.[[#This Row],[Muu kuin työvoima-koulutus 7e]]-(Opv.kohd.[[#This Row],[Järjestämisluvan mukaiset 4]]+Opv.kohd.[[#This Row],[Kohdentamat-tomat 4]]+Opv.kohd.[[#This Row],[Maahan-muuttajien koulutus 4]]+Opv.kohd.[[#This Row],[Nuorisotyöt. väh. ja osaamistarp. vast., muu kuin työvoima-koulutus 4]])</f>
        <v>0</v>
      </c>
      <c r="BP6" s="207">
        <f>Opv.kohd.[[#This Row],[Työvoima-koulutus 7e]]-(Opv.kohd.[[#This Row],[Työvoima-koulutus 4]]+Opv.kohd.[[#This Row],[Nuorisotyöt. väh. ja osaamistarp. vast., työvoima-koulutus 4]])</f>
        <v>0</v>
      </c>
      <c r="BQ6" s="207">
        <f>Opv.kohd.[[#This Row],[Yhteensä 7e]]-Opv.kohd.[[#This Row],[Ensikertaisella suoritepäätöksellä jaetut tavoitteelliset opiskelijavuodet yhteensä 4]]</f>
        <v>0</v>
      </c>
      <c r="BR6" s="263">
        <v>329</v>
      </c>
      <c r="BS6" s="263">
        <v>0</v>
      </c>
      <c r="BT6" s="263">
        <v>0</v>
      </c>
      <c r="BU6" s="263">
        <v>0</v>
      </c>
      <c r="BV6" s="263">
        <v>0</v>
      </c>
      <c r="BW6" s="263">
        <v>0</v>
      </c>
      <c r="BX6" s="263">
        <v>0</v>
      </c>
      <c r="BY6" s="263">
        <v>329</v>
      </c>
      <c r="BZ6" s="207">
        <f t="shared" si="0"/>
        <v>329</v>
      </c>
      <c r="CA6" s="207">
        <f t="shared" si="0"/>
        <v>0</v>
      </c>
      <c r="CB6" s="207">
        <f t="shared" si="0"/>
        <v>0</v>
      </c>
      <c r="CC6" s="207">
        <f t="shared" si="0"/>
        <v>0</v>
      </c>
      <c r="CD6" s="207">
        <f t="shared" si="0"/>
        <v>0</v>
      </c>
      <c r="CE6" s="207">
        <f t="shared" si="0"/>
        <v>0</v>
      </c>
      <c r="CF6" s="207">
        <f t="shared" si="0"/>
        <v>0</v>
      </c>
      <c r="CG6" s="207">
        <f t="shared" si="0"/>
        <v>329</v>
      </c>
      <c r="CH6" s="207">
        <f>Opv.kohd.[[#This Row],[Tavoitteelliset opiskelijavuodet yhteensä 9]]-Opv.kohd.[[#This Row],[Työvoima-koulutus 9]]-Opv.kohd.[[#This Row],[Nuorisotyöt. väh. ja osaamistarp. vast., työvoima-koulutus 9]]-Opv.kohd.[[#This Row],[Muu kuin työvoima-koulutus 7e]]</f>
        <v>329</v>
      </c>
      <c r="CI6" s="207">
        <f>(Opv.kohd.[[#This Row],[Työvoima-koulutus 9]]+Opv.kohd.[[#This Row],[Nuorisotyöt. väh. ja osaamistarp. vast., työvoima-koulutus 9]])-Opv.kohd.[[#This Row],[Työvoima-koulutus 7e]]</f>
        <v>0</v>
      </c>
      <c r="CJ6" s="207">
        <f>Opv.kohd.[[#This Row],[Tavoitteelliset opiskelijavuodet yhteensä 9]]-Opv.kohd.[[#This Row],[Yhteensä 7e]]</f>
        <v>329</v>
      </c>
      <c r="CK6" s="207">
        <f>Opv.kohd.[[#This Row],[Järjestämisluvan mukaiset 4]]+Opv.kohd.[[#This Row],[Järjestämisluvan mukaiset 13]]</f>
        <v>0</v>
      </c>
      <c r="CL6" s="207">
        <f>Opv.kohd.[[#This Row],[Kohdentamat-tomat 4]]+Opv.kohd.[[#This Row],[Kohdentamat-tomat 13]]</f>
        <v>0</v>
      </c>
      <c r="CM6" s="207">
        <f>Opv.kohd.[[#This Row],[Työvoima-koulutus 4]]+Opv.kohd.[[#This Row],[Työvoima-koulutus 13]]</f>
        <v>0</v>
      </c>
      <c r="CN6" s="207">
        <f>Opv.kohd.[[#This Row],[Maahan-muuttajien koulutus 4]]+Opv.kohd.[[#This Row],[Maahan-muuttajien koulutus 13]]</f>
        <v>0</v>
      </c>
      <c r="CO6" s="207">
        <f>Opv.kohd.[[#This Row],[Nuorisotyöt. väh. ja osaamistarp. vast., muu kuin työvoima-koulutus 4]]+Opv.kohd.[[#This Row],[Nuorisotyöt. väh. ja osaamistarp. vast., muu kuin työvoima-koulutus 13]]</f>
        <v>0</v>
      </c>
      <c r="CP6" s="207">
        <f>Opv.kohd.[[#This Row],[Nuorisotyöt. väh. ja osaamistarp. vast., työvoima-koulutus 4]]+Opv.kohd.[[#This Row],[Nuorisotyöt. väh. ja osaamistarp. vast., työvoima-koulutus 13]]</f>
        <v>0</v>
      </c>
      <c r="CQ6" s="207">
        <f>Opv.kohd.[[#This Row],[Yhteensä 4]]+Opv.kohd.[[#This Row],[Yhteensä 13]]</f>
        <v>0</v>
      </c>
      <c r="CR6" s="207">
        <f>Opv.kohd.[[#This Row],[Ensikertaisella suoritepäätöksellä jaetut tavoitteelliset opiskelijavuodet yhteensä 4]]+Opv.kohd.[[#This Row],[Tavoitteelliset opiskelijavuodet yhteensä 13]]</f>
        <v>0</v>
      </c>
      <c r="CS6" s="120">
        <v>0</v>
      </c>
      <c r="CT6" s="120">
        <v>0</v>
      </c>
      <c r="CU6" s="120">
        <v>0</v>
      </c>
      <c r="CV6" s="120">
        <v>0</v>
      </c>
      <c r="CW6" s="120">
        <v>0</v>
      </c>
      <c r="CX6" s="120">
        <v>0</v>
      </c>
      <c r="CY6" s="120">
        <v>0</v>
      </c>
      <c r="CZ6" s="120">
        <v>0</v>
      </c>
      <c r="DA6" s="209">
        <f>IFERROR(Opv.kohd.[[#This Row],[Järjestämisluvan mukaiset 13]]/Opv.kohd.[[#This Row],[Järjestämisluvan mukaiset 12]],0)</f>
        <v>0</v>
      </c>
      <c r="DB6" s="209">
        <f>IFERROR(Opv.kohd.[[#This Row],[Kohdentamat-tomat 13]]/Opv.kohd.[[#This Row],[Kohdentamat-tomat 12]],0)</f>
        <v>0</v>
      </c>
      <c r="DC6" s="209">
        <f>IFERROR(Opv.kohd.[[#This Row],[Työvoima-koulutus 13]]/Opv.kohd.[[#This Row],[Työvoima-koulutus 12]],0)</f>
        <v>0</v>
      </c>
      <c r="DD6" s="209">
        <f>IFERROR(Opv.kohd.[[#This Row],[Maahan-muuttajien koulutus 13]]/Opv.kohd.[[#This Row],[Maahan-muuttajien koulutus 12]],0)</f>
        <v>0</v>
      </c>
      <c r="DE6" s="209">
        <f>IFERROR(Opv.kohd.[[#This Row],[Nuorisotyöt. väh. ja osaamistarp. vast., muu kuin työvoima-koulutus 13]]/Opv.kohd.[[#This Row],[Nuorisotyöt. väh. ja osaamistarp. vast., muu kuin työvoima-koulutus 12]],0)</f>
        <v>0</v>
      </c>
      <c r="DF6" s="209">
        <f>IFERROR(Opv.kohd.[[#This Row],[Nuorisotyöt. väh. ja osaamistarp. vast., työvoima-koulutus 13]]/Opv.kohd.[[#This Row],[Nuorisotyöt. väh. ja osaamistarp. vast., työvoima-koulutus 12]],0)</f>
        <v>0</v>
      </c>
      <c r="DG6" s="209">
        <f>IFERROR(Opv.kohd.[[#This Row],[Yhteensä 13]]/Opv.kohd.[[#This Row],[Yhteensä 12]],0)</f>
        <v>0</v>
      </c>
      <c r="DH6" s="209">
        <f>IFERROR(Opv.kohd.[[#This Row],[Tavoitteelliset opiskelijavuodet yhteensä 13]]/Opv.kohd.[[#This Row],[Tavoitteelliset opiskelijavuodet yhteensä 12]],0)</f>
        <v>0</v>
      </c>
      <c r="DI6" s="207">
        <f>Opv.kohd.[[#This Row],[Järjestämisluvan mukaiset 12]]-Opv.kohd.[[#This Row],[Järjestämisluvan mukaiset 9]]</f>
        <v>-329</v>
      </c>
      <c r="DJ6" s="207">
        <f>Opv.kohd.[[#This Row],[Kohdentamat-tomat 12]]-Opv.kohd.[[#This Row],[Kohdentamat-tomat 9]]</f>
        <v>0</v>
      </c>
      <c r="DK6" s="207">
        <f>Opv.kohd.[[#This Row],[Työvoima-koulutus 12]]-Opv.kohd.[[#This Row],[Työvoima-koulutus 9]]</f>
        <v>0</v>
      </c>
      <c r="DL6" s="207">
        <f>Opv.kohd.[[#This Row],[Maahan-muuttajien koulutus 12]]-Opv.kohd.[[#This Row],[Maahan-muuttajien koulutus 9]]</f>
        <v>0</v>
      </c>
      <c r="DM6" s="207">
        <f>Opv.kohd.[[#This Row],[Nuorisotyöt. väh. ja osaamistarp. vast., muu kuin työvoima-koulutus 12]]-Opv.kohd.[[#This Row],[Nuorisotyöt. väh. ja osaamistarp. vast., muu kuin työvoima-koulutus 9]]</f>
        <v>0</v>
      </c>
      <c r="DN6" s="207">
        <f>Opv.kohd.[[#This Row],[Nuorisotyöt. väh. ja osaamistarp. vast., työvoima-koulutus 12]]-Opv.kohd.[[#This Row],[Nuorisotyöt. väh. ja osaamistarp. vast., työvoima-koulutus 9]]</f>
        <v>0</v>
      </c>
      <c r="DO6" s="207">
        <f>Opv.kohd.[[#This Row],[Yhteensä 12]]-Opv.kohd.[[#This Row],[Yhteensä 9]]</f>
        <v>0</v>
      </c>
      <c r="DP6" s="207">
        <f>Opv.kohd.[[#This Row],[Tavoitteelliset opiskelijavuodet yhteensä 12]]-Opv.kohd.[[#This Row],[Tavoitteelliset opiskelijavuodet yhteensä 9]]</f>
        <v>-329</v>
      </c>
      <c r="DQ6" s="209">
        <f>IFERROR(Opv.kohd.[[#This Row],[Järjestämisluvan mukaiset 15]]/Opv.kohd.[[#This Row],[Järjestämisluvan mukaiset 9]],0)</f>
        <v>-1</v>
      </c>
      <c r="DR6" s="209">
        <f t="shared" si="1"/>
        <v>0</v>
      </c>
      <c r="DS6" s="209">
        <f t="shared" si="1"/>
        <v>0</v>
      </c>
      <c r="DT6" s="209">
        <f t="shared" si="1"/>
        <v>0</v>
      </c>
      <c r="DU6" s="209">
        <f t="shared" si="1"/>
        <v>0</v>
      </c>
      <c r="DV6" s="209">
        <f t="shared" si="1"/>
        <v>0</v>
      </c>
      <c r="DW6" s="209">
        <f t="shared" si="1"/>
        <v>0</v>
      </c>
      <c r="DX6" s="209">
        <f t="shared" si="1"/>
        <v>0</v>
      </c>
    </row>
    <row r="7" spans="1:128" x14ac:dyDescent="0.25">
      <c r="A7" s="204" t="e">
        <f>IF(INDEX(#REF!,ROW(7:7)-1,1)=0,"",INDEX(#REF!,ROW(7:7)-1,1))</f>
        <v>#REF!</v>
      </c>
      <c r="B7" s="205" t="str">
        <f>IFERROR(VLOOKUP(Opv.kohd.[[#This Row],[Y-tunnus]],'0 Järjestäjätiedot'!$A:$H,2,FALSE),"")</f>
        <v/>
      </c>
      <c r="C7" s="204" t="str">
        <f>IFERROR(VLOOKUP(Opv.kohd.[[#This Row],[Y-tunnus]],'0 Järjestäjätiedot'!$A:$H,COLUMN('0 Järjestäjätiedot'!D:D),FALSE),"")</f>
        <v/>
      </c>
      <c r="D7" s="204" t="str">
        <f>IFERROR(VLOOKUP(Opv.kohd.[[#This Row],[Y-tunnus]],'0 Järjestäjätiedot'!$A:$H,COLUMN('0 Järjestäjätiedot'!H:H),FALSE),"")</f>
        <v/>
      </c>
      <c r="E7" s="204">
        <f>IFERROR(VLOOKUP(Opv.kohd.[[#This Row],[Y-tunnus]],#REF!,COLUMN(#REF!),FALSE),0)</f>
        <v>0</v>
      </c>
      <c r="F7" s="204">
        <f>IFERROR(VLOOKUP(Opv.kohd.[[#This Row],[Y-tunnus]],#REF!,COLUMN(#REF!),FALSE),0)</f>
        <v>0</v>
      </c>
      <c r="G7" s="204">
        <f>IFERROR(VLOOKUP(Opv.kohd.[[#This Row],[Y-tunnus]],#REF!,COLUMN(#REF!),FALSE),0)</f>
        <v>0</v>
      </c>
      <c r="H7" s="204">
        <f>IFERROR(VLOOKUP(Opv.kohd.[[#This Row],[Y-tunnus]],#REF!,COLUMN(#REF!),FALSE),0)</f>
        <v>0</v>
      </c>
      <c r="I7" s="204">
        <f>IFERROR(VLOOKUP(Opv.kohd.[[#This Row],[Y-tunnus]],#REF!,COLUMN(#REF!),FALSE),0)</f>
        <v>0</v>
      </c>
      <c r="J7" s="204">
        <f>IFERROR(VLOOKUP(Opv.kohd.[[#This Row],[Y-tunnus]],#REF!,COLUMN(#REF!),FALSE),0)</f>
        <v>0</v>
      </c>
      <c r="K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7" s="204">
        <f>Opv.kohd.[[#This Row],[Järjestämisluvan mukaiset 1]]+Opv.kohd.[[#This Row],[Yhteensä  1]]</f>
        <v>0</v>
      </c>
      <c r="M7" s="204">
        <f>IFERROR(VLOOKUP(Opv.kohd.[[#This Row],[Y-tunnus]],#REF!,COLUMN(#REF!),FALSE),0)</f>
        <v>0</v>
      </c>
      <c r="N7" s="204">
        <f>IFERROR(VLOOKUP(Opv.kohd.[[#This Row],[Y-tunnus]],#REF!,COLUMN(#REF!),FALSE),0)</f>
        <v>0</v>
      </c>
      <c r="O7" s="204">
        <f>IFERROR(VLOOKUP(Opv.kohd.[[#This Row],[Y-tunnus]],#REF!,COLUMN(#REF!),FALSE)+VLOOKUP(Opv.kohd.[[#This Row],[Y-tunnus]],#REF!,COLUMN(#REF!),FALSE),0)</f>
        <v>0</v>
      </c>
      <c r="P7" s="204">
        <f>Opv.kohd.[[#This Row],[Talousarvion perusteella kohdentamattomat]]+Opv.kohd.[[#This Row],[Talousarvion perusteella työvoimakoulutus 1]]+Opv.kohd.[[#This Row],[Lisätalousarvioiden perusteella]]</f>
        <v>0</v>
      </c>
      <c r="Q7" s="204">
        <f>IFERROR(VLOOKUP(Opv.kohd.[[#This Row],[Y-tunnus]],#REF!,COLUMN(#REF!),FALSE),0)</f>
        <v>0</v>
      </c>
      <c r="R7" s="210">
        <f>IFERROR(VLOOKUP(Opv.kohd.[[#This Row],[Y-tunnus]],#REF!,COLUMN(#REF!),FALSE)-(Opv.kohd.[[#This Row],[Kohdentamaton työvoima-koulutus 2]]+Opv.kohd.[[#This Row],[Maahan-muuttajien koulutus 2]]+Opv.kohd.[[#This Row],[Lisätalousarvioiden perusteella jaetut 2]]),0)</f>
        <v>0</v>
      </c>
      <c r="S7" s="210">
        <f>IFERROR(VLOOKUP(Opv.kohd.[[#This Row],[Y-tunnus]],#REF!,COLUMN(#REF!),FALSE)+VLOOKUP(Opv.kohd.[[#This Row],[Y-tunnus]],#REF!,COLUMN(#REF!),FALSE),0)</f>
        <v>0</v>
      </c>
      <c r="T7" s="210">
        <f>IFERROR(VLOOKUP(Opv.kohd.[[#This Row],[Y-tunnus]],#REF!,COLUMN(#REF!),FALSE)+VLOOKUP(Opv.kohd.[[#This Row],[Y-tunnus]],#REF!,COLUMN(#REF!),FALSE),0)</f>
        <v>0</v>
      </c>
      <c r="U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7" s="210">
        <f>Opv.kohd.[[#This Row],[Kohdentamat-tomat 2]]+Opv.kohd.[[#This Row],[Kohdentamaton työvoima-koulutus 2]]+Opv.kohd.[[#This Row],[Maahan-muuttajien koulutus 2]]+Opv.kohd.[[#This Row],[Lisätalousarvioiden perusteella jaetut 2]]</f>
        <v>0</v>
      </c>
      <c r="W7" s="210">
        <f>Opv.kohd.[[#This Row],[Kohdentamat-tomat 2]]-(Opv.kohd.[[#This Row],[Järjestämisluvan mukaiset 1]]+Opv.kohd.[[#This Row],[Kohdentamat-tomat 1]]+Opv.kohd.[[#This Row],[Nuorisotyöt. väh. ja osaamistarp. vast., muu kuin työvoima-koulutus 1]]+Opv.kohd.[[#This Row],[Talousarvion perusteella kohdentamattomat]])</f>
        <v>0</v>
      </c>
      <c r="X7" s="210">
        <f>Opv.kohd.[[#This Row],[Kohdentamaton työvoima-koulutus 2]]-(Opv.kohd.[[#This Row],[Työvoima-koulutus 1]]+Opv.kohd.[[#This Row],[Nuorisotyöt. väh. ja osaamistarp. vast., työvoima-koulutus 1]]+Opv.kohd.[[#This Row],[Talousarvion perusteella työvoimakoulutus 1]])</f>
        <v>0</v>
      </c>
      <c r="Y7" s="210">
        <f>Opv.kohd.[[#This Row],[Maahan-muuttajien koulutus 2]]-Opv.kohd.[[#This Row],[Maahan-muuttajien koulutus 1]]</f>
        <v>0</v>
      </c>
      <c r="Z7" s="210">
        <f>Opv.kohd.[[#This Row],[Lisätalousarvioiden perusteella jaetut 2]]-Opv.kohd.[[#This Row],[Lisätalousarvioiden perusteella]]</f>
        <v>0</v>
      </c>
      <c r="AA7" s="210">
        <f>Opv.kohd.[[#This Row],[Toteutuneet opiskelijavuodet yhteensä 2]]-Opv.kohd.[[#This Row],[Vuoden 2018 tavoitteelliset opiskelijavuodet yhteensä 1]]</f>
        <v>0</v>
      </c>
      <c r="AB7" s="207">
        <f>IFERROR(VLOOKUP(Opv.kohd.[[#This Row],[Y-tunnus]],#REF!,3,FALSE),0)</f>
        <v>0</v>
      </c>
      <c r="AC7" s="207">
        <f>IFERROR(VLOOKUP(Opv.kohd.[[#This Row],[Y-tunnus]],#REF!,4,FALSE),0)</f>
        <v>0</v>
      </c>
      <c r="AD7" s="207">
        <f>IFERROR(VLOOKUP(Opv.kohd.[[#This Row],[Y-tunnus]],#REF!,5,FALSE),0)</f>
        <v>0</v>
      </c>
      <c r="AE7" s="207">
        <f>IFERROR(VLOOKUP(Opv.kohd.[[#This Row],[Y-tunnus]],#REF!,6,FALSE),0)</f>
        <v>0</v>
      </c>
      <c r="AF7" s="207">
        <f>IFERROR(VLOOKUP(Opv.kohd.[[#This Row],[Y-tunnus]],#REF!,7,FALSE),0)</f>
        <v>0</v>
      </c>
      <c r="AG7" s="207">
        <f>IFERROR(VLOOKUP(Opv.kohd.[[#This Row],[Y-tunnus]],#REF!,8,FALSE),0)</f>
        <v>0</v>
      </c>
      <c r="AH7" s="207">
        <f>IFERROR(VLOOKUP(Opv.kohd.[[#This Row],[Y-tunnus]],#REF!,9,FALSE),0)</f>
        <v>0</v>
      </c>
      <c r="AI7" s="207">
        <f>IFERROR(VLOOKUP(Opv.kohd.[[#This Row],[Y-tunnus]],#REF!,10,FALSE),0)</f>
        <v>0</v>
      </c>
      <c r="AJ7" s="204">
        <f>Opv.kohd.[[#This Row],[Järjestämisluvan mukaiset 4]]-Opv.kohd.[[#This Row],[Järjestämisluvan mukaiset 1]]</f>
        <v>0</v>
      </c>
      <c r="AK7" s="204">
        <f>Opv.kohd.[[#This Row],[Kohdentamat-tomat 4]]-Opv.kohd.[[#This Row],[Kohdentamat-tomat 1]]</f>
        <v>0</v>
      </c>
      <c r="AL7" s="204">
        <f>Opv.kohd.[[#This Row],[Työvoima-koulutus 4]]-Opv.kohd.[[#This Row],[Työvoima-koulutus 1]]</f>
        <v>0</v>
      </c>
      <c r="AM7" s="204">
        <f>Opv.kohd.[[#This Row],[Maahan-muuttajien koulutus 4]]-Opv.kohd.[[#This Row],[Maahan-muuttajien koulutus 1]]</f>
        <v>0</v>
      </c>
      <c r="AN7" s="204">
        <f>Opv.kohd.[[#This Row],[Nuorisotyöt. väh. ja osaamistarp. vast., muu kuin työvoima-koulutus 4]]-Opv.kohd.[[#This Row],[Nuorisotyöt. väh. ja osaamistarp. vast., muu kuin työvoima-koulutus 1]]</f>
        <v>0</v>
      </c>
      <c r="AO7" s="204">
        <f>Opv.kohd.[[#This Row],[Nuorisotyöt. väh. ja osaamistarp. vast., työvoima-koulutus 4]]-Opv.kohd.[[#This Row],[Nuorisotyöt. väh. ja osaamistarp. vast., työvoima-koulutus 1]]</f>
        <v>0</v>
      </c>
      <c r="AP7" s="204">
        <f>Opv.kohd.[[#This Row],[Yhteensä 4]]-Opv.kohd.[[#This Row],[Yhteensä  1]]</f>
        <v>0</v>
      </c>
      <c r="AQ7" s="204">
        <f>Opv.kohd.[[#This Row],[Ensikertaisella suoritepäätöksellä jaetut tavoitteelliset opiskelijavuodet yhteensä 4]]-Opv.kohd.[[#This Row],[Ensikertaisella suoritepäätöksellä jaetut tavoitteelliset opiskelijavuodet yhteensä 1]]</f>
        <v>0</v>
      </c>
      <c r="AR7" s="208">
        <f>IFERROR(Opv.kohd.[[#This Row],[Järjestämisluvan mukaiset 5]]/Opv.kohd.[[#This Row],[Järjestämisluvan mukaiset 4]],0)</f>
        <v>0</v>
      </c>
      <c r="AS7" s="208">
        <f>IFERROR(Opv.kohd.[[#This Row],[Kohdentamat-tomat 5]]/Opv.kohd.[[#This Row],[Kohdentamat-tomat 4]],0)</f>
        <v>0</v>
      </c>
      <c r="AT7" s="208">
        <f>IFERROR(Opv.kohd.[[#This Row],[Työvoima-koulutus 5]]/Opv.kohd.[[#This Row],[Työvoima-koulutus 4]],0)</f>
        <v>0</v>
      </c>
      <c r="AU7" s="208">
        <f>IFERROR(Opv.kohd.[[#This Row],[Maahan-muuttajien koulutus 5]]/Opv.kohd.[[#This Row],[Maahan-muuttajien koulutus 4]],0)</f>
        <v>0</v>
      </c>
      <c r="AV7" s="208">
        <f>IFERROR(Opv.kohd.[[#This Row],[Nuorisotyöt. väh. ja osaamistarp. vast., muu kuin työvoima-koulutus 5]]/Opv.kohd.[[#This Row],[Nuorisotyöt. väh. ja osaamistarp. vast., muu kuin työvoima-koulutus 4]],0)</f>
        <v>0</v>
      </c>
      <c r="AW7" s="208">
        <f>IFERROR(Opv.kohd.[[#This Row],[Nuorisotyöt. väh. ja osaamistarp. vast., työvoima-koulutus 5]]/Opv.kohd.[[#This Row],[Nuorisotyöt. väh. ja osaamistarp. vast., työvoima-koulutus 4]],0)</f>
        <v>0</v>
      </c>
      <c r="AX7" s="208">
        <f>IFERROR(Opv.kohd.[[#This Row],[Yhteensä 5]]/Opv.kohd.[[#This Row],[Yhteensä 4]],0)</f>
        <v>0</v>
      </c>
      <c r="AY7" s="208">
        <f>IFERROR(Opv.kohd.[[#This Row],[Ensikertaisella suoritepäätöksellä jaetut tavoitteelliset opiskelijavuodet yhteensä 5]]/Opv.kohd.[[#This Row],[Ensikertaisella suoritepäätöksellä jaetut tavoitteelliset opiskelijavuodet yhteensä 4]],0)</f>
        <v>0</v>
      </c>
      <c r="AZ7" s="207">
        <f>Opv.kohd.[[#This Row],[Yhteensä 7a]]-Opv.kohd.[[#This Row],[Työvoima-koulutus 7a]]</f>
        <v>0</v>
      </c>
      <c r="BA7" s="207">
        <f>IFERROR(VLOOKUP(Opv.kohd.[[#This Row],[Y-tunnus]],#REF!,COLUMN(#REF!),FALSE),0)</f>
        <v>0</v>
      </c>
      <c r="BB7" s="207">
        <f>IFERROR(VLOOKUP(Opv.kohd.[[#This Row],[Y-tunnus]],#REF!,COLUMN(#REF!),FALSE),0)</f>
        <v>0</v>
      </c>
      <c r="BC7" s="207">
        <f>Opv.kohd.[[#This Row],[Muu kuin työvoima-koulutus 7c]]-Opv.kohd.[[#This Row],[Muu kuin työvoima-koulutus 7a]]</f>
        <v>0</v>
      </c>
      <c r="BD7" s="207">
        <f>Opv.kohd.[[#This Row],[Työvoima-koulutus 7c]]-Opv.kohd.[[#This Row],[Työvoima-koulutus 7a]]</f>
        <v>0</v>
      </c>
      <c r="BE7" s="207">
        <f>Opv.kohd.[[#This Row],[Yhteensä 7c]]-Opv.kohd.[[#This Row],[Yhteensä 7a]]</f>
        <v>0</v>
      </c>
      <c r="BF7" s="207">
        <f>Opv.kohd.[[#This Row],[Yhteensä 7c]]-Opv.kohd.[[#This Row],[Työvoima-koulutus 7c]]</f>
        <v>0</v>
      </c>
      <c r="BG7" s="207">
        <f>IFERROR(VLOOKUP(Opv.kohd.[[#This Row],[Y-tunnus]],#REF!,COLUMN(#REF!),FALSE),0)</f>
        <v>0</v>
      </c>
      <c r="BH7" s="207">
        <f>IFERROR(VLOOKUP(Opv.kohd.[[#This Row],[Y-tunnus]],#REF!,COLUMN(#REF!),FALSE),0)</f>
        <v>0</v>
      </c>
      <c r="BI7" s="207">
        <f>IFERROR(VLOOKUP(Opv.kohd.[[#This Row],[Y-tunnus]],#REF!,COLUMN(#REF!),FALSE),0)</f>
        <v>0</v>
      </c>
      <c r="BJ7" s="207">
        <f>IFERROR(VLOOKUP(Opv.kohd.[[#This Row],[Y-tunnus]],#REF!,COLUMN(#REF!),FALSE),0)</f>
        <v>0</v>
      </c>
      <c r="BK7" s="207">
        <f>Opv.kohd.[[#This Row],[Muu kuin työvoima-koulutus 7d]]+Opv.kohd.[[#This Row],[Työvoima-koulutus 7d]]</f>
        <v>0</v>
      </c>
      <c r="BL7" s="207">
        <f>Opv.kohd.[[#This Row],[Muu kuin työvoima-koulutus 7c]]-Opv.kohd.[[#This Row],[Muu kuin työvoima-koulutus 7d]]</f>
        <v>0</v>
      </c>
      <c r="BM7" s="207">
        <f>Opv.kohd.[[#This Row],[Työvoima-koulutus 7c]]-Opv.kohd.[[#This Row],[Työvoima-koulutus 7d]]</f>
        <v>0</v>
      </c>
      <c r="BN7" s="207">
        <f>Opv.kohd.[[#This Row],[Yhteensä 7c]]-Opv.kohd.[[#This Row],[Yhteensä 7d]]</f>
        <v>0</v>
      </c>
      <c r="BO7" s="207">
        <f>Opv.kohd.[[#This Row],[Muu kuin työvoima-koulutus 7e]]-(Opv.kohd.[[#This Row],[Järjestämisluvan mukaiset 4]]+Opv.kohd.[[#This Row],[Kohdentamat-tomat 4]]+Opv.kohd.[[#This Row],[Maahan-muuttajien koulutus 4]]+Opv.kohd.[[#This Row],[Nuorisotyöt. väh. ja osaamistarp. vast., muu kuin työvoima-koulutus 4]])</f>
        <v>0</v>
      </c>
      <c r="BP7" s="207">
        <f>Opv.kohd.[[#This Row],[Työvoima-koulutus 7e]]-(Opv.kohd.[[#This Row],[Työvoima-koulutus 4]]+Opv.kohd.[[#This Row],[Nuorisotyöt. väh. ja osaamistarp. vast., työvoima-koulutus 4]])</f>
        <v>0</v>
      </c>
      <c r="BQ7" s="207">
        <f>Opv.kohd.[[#This Row],[Yhteensä 7e]]-Opv.kohd.[[#This Row],[Ensikertaisella suoritepäätöksellä jaetut tavoitteelliset opiskelijavuodet yhteensä 4]]</f>
        <v>0</v>
      </c>
      <c r="BR7" s="263">
        <v>20</v>
      </c>
      <c r="BS7" s="263">
        <v>0</v>
      </c>
      <c r="BT7" s="263">
        <v>0</v>
      </c>
      <c r="BU7" s="263">
        <v>0</v>
      </c>
      <c r="BV7" s="263">
        <v>0</v>
      </c>
      <c r="BW7" s="263">
        <v>0</v>
      </c>
      <c r="BX7" s="263">
        <v>0</v>
      </c>
      <c r="BY7" s="263">
        <v>20</v>
      </c>
      <c r="BZ7" s="207">
        <f t="shared" si="0"/>
        <v>20</v>
      </c>
      <c r="CA7" s="207">
        <f t="shared" si="0"/>
        <v>0</v>
      </c>
      <c r="CB7" s="207">
        <f t="shared" si="0"/>
        <v>0</v>
      </c>
      <c r="CC7" s="207">
        <f t="shared" si="0"/>
        <v>0</v>
      </c>
      <c r="CD7" s="207">
        <f t="shared" si="0"/>
        <v>0</v>
      </c>
      <c r="CE7" s="207">
        <f t="shared" si="0"/>
        <v>0</v>
      </c>
      <c r="CF7" s="207">
        <f t="shared" si="0"/>
        <v>0</v>
      </c>
      <c r="CG7" s="207">
        <f t="shared" si="0"/>
        <v>20</v>
      </c>
      <c r="CH7" s="207">
        <f>Opv.kohd.[[#This Row],[Tavoitteelliset opiskelijavuodet yhteensä 9]]-Opv.kohd.[[#This Row],[Työvoima-koulutus 9]]-Opv.kohd.[[#This Row],[Nuorisotyöt. väh. ja osaamistarp. vast., työvoima-koulutus 9]]-Opv.kohd.[[#This Row],[Muu kuin työvoima-koulutus 7e]]</f>
        <v>20</v>
      </c>
      <c r="CI7" s="207">
        <f>(Opv.kohd.[[#This Row],[Työvoima-koulutus 9]]+Opv.kohd.[[#This Row],[Nuorisotyöt. väh. ja osaamistarp. vast., työvoima-koulutus 9]])-Opv.kohd.[[#This Row],[Työvoima-koulutus 7e]]</f>
        <v>0</v>
      </c>
      <c r="CJ7" s="207">
        <f>Opv.kohd.[[#This Row],[Tavoitteelliset opiskelijavuodet yhteensä 9]]-Opv.kohd.[[#This Row],[Yhteensä 7e]]</f>
        <v>20</v>
      </c>
      <c r="CK7" s="207">
        <f>Opv.kohd.[[#This Row],[Järjestämisluvan mukaiset 4]]+Opv.kohd.[[#This Row],[Järjestämisluvan mukaiset 13]]</f>
        <v>0</v>
      </c>
      <c r="CL7" s="207">
        <f>Opv.kohd.[[#This Row],[Kohdentamat-tomat 4]]+Opv.kohd.[[#This Row],[Kohdentamat-tomat 13]]</f>
        <v>0</v>
      </c>
      <c r="CM7" s="207">
        <f>Opv.kohd.[[#This Row],[Työvoima-koulutus 4]]+Opv.kohd.[[#This Row],[Työvoima-koulutus 13]]</f>
        <v>0</v>
      </c>
      <c r="CN7" s="207">
        <f>Opv.kohd.[[#This Row],[Maahan-muuttajien koulutus 4]]+Opv.kohd.[[#This Row],[Maahan-muuttajien koulutus 13]]</f>
        <v>0</v>
      </c>
      <c r="CO7" s="207">
        <f>Opv.kohd.[[#This Row],[Nuorisotyöt. väh. ja osaamistarp. vast., muu kuin työvoima-koulutus 4]]+Opv.kohd.[[#This Row],[Nuorisotyöt. väh. ja osaamistarp. vast., muu kuin työvoima-koulutus 13]]</f>
        <v>0</v>
      </c>
      <c r="CP7" s="207">
        <f>Opv.kohd.[[#This Row],[Nuorisotyöt. väh. ja osaamistarp. vast., työvoima-koulutus 4]]+Opv.kohd.[[#This Row],[Nuorisotyöt. väh. ja osaamistarp. vast., työvoima-koulutus 13]]</f>
        <v>0</v>
      </c>
      <c r="CQ7" s="207">
        <f>Opv.kohd.[[#This Row],[Yhteensä 4]]+Opv.kohd.[[#This Row],[Yhteensä 13]]</f>
        <v>0</v>
      </c>
      <c r="CR7" s="207">
        <f>Opv.kohd.[[#This Row],[Ensikertaisella suoritepäätöksellä jaetut tavoitteelliset opiskelijavuodet yhteensä 4]]+Opv.kohd.[[#This Row],[Tavoitteelliset opiskelijavuodet yhteensä 13]]</f>
        <v>0</v>
      </c>
      <c r="CS7" s="120">
        <v>0</v>
      </c>
      <c r="CT7" s="120">
        <v>0</v>
      </c>
      <c r="CU7" s="120">
        <v>0</v>
      </c>
      <c r="CV7" s="120">
        <v>0</v>
      </c>
      <c r="CW7" s="120">
        <v>0</v>
      </c>
      <c r="CX7" s="120">
        <v>0</v>
      </c>
      <c r="CY7" s="120">
        <v>0</v>
      </c>
      <c r="CZ7" s="120">
        <v>0</v>
      </c>
      <c r="DA7" s="209">
        <f>IFERROR(Opv.kohd.[[#This Row],[Järjestämisluvan mukaiset 13]]/Opv.kohd.[[#This Row],[Järjestämisluvan mukaiset 12]],0)</f>
        <v>0</v>
      </c>
      <c r="DB7" s="209">
        <f>IFERROR(Opv.kohd.[[#This Row],[Kohdentamat-tomat 13]]/Opv.kohd.[[#This Row],[Kohdentamat-tomat 12]],0)</f>
        <v>0</v>
      </c>
      <c r="DC7" s="209">
        <f>IFERROR(Opv.kohd.[[#This Row],[Työvoima-koulutus 13]]/Opv.kohd.[[#This Row],[Työvoima-koulutus 12]],0)</f>
        <v>0</v>
      </c>
      <c r="DD7" s="209">
        <f>IFERROR(Opv.kohd.[[#This Row],[Maahan-muuttajien koulutus 13]]/Opv.kohd.[[#This Row],[Maahan-muuttajien koulutus 12]],0)</f>
        <v>0</v>
      </c>
      <c r="DE7" s="209">
        <f>IFERROR(Opv.kohd.[[#This Row],[Nuorisotyöt. väh. ja osaamistarp. vast., muu kuin työvoima-koulutus 13]]/Opv.kohd.[[#This Row],[Nuorisotyöt. väh. ja osaamistarp. vast., muu kuin työvoima-koulutus 12]],0)</f>
        <v>0</v>
      </c>
      <c r="DF7" s="209">
        <f>IFERROR(Opv.kohd.[[#This Row],[Nuorisotyöt. väh. ja osaamistarp. vast., työvoima-koulutus 13]]/Opv.kohd.[[#This Row],[Nuorisotyöt. väh. ja osaamistarp. vast., työvoima-koulutus 12]],0)</f>
        <v>0</v>
      </c>
      <c r="DG7" s="209">
        <f>IFERROR(Opv.kohd.[[#This Row],[Yhteensä 13]]/Opv.kohd.[[#This Row],[Yhteensä 12]],0)</f>
        <v>0</v>
      </c>
      <c r="DH7" s="209">
        <f>IFERROR(Opv.kohd.[[#This Row],[Tavoitteelliset opiskelijavuodet yhteensä 13]]/Opv.kohd.[[#This Row],[Tavoitteelliset opiskelijavuodet yhteensä 12]],0)</f>
        <v>0</v>
      </c>
      <c r="DI7" s="207">
        <f>Opv.kohd.[[#This Row],[Järjestämisluvan mukaiset 12]]-Opv.kohd.[[#This Row],[Järjestämisluvan mukaiset 9]]</f>
        <v>-20</v>
      </c>
      <c r="DJ7" s="207">
        <f>Opv.kohd.[[#This Row],[Kohdentamat-tomat 12]]-Opv.kohd.[[#This Row],[Kohdentamat-tomat 9]]</f>
        <v>0</v>
      </c>
      <c r="DK7" s="207">
        <f>Opv.kohd.[[#This Row],[Työvoima-koulutus 12]]-Opv.kohd.[[#This Row],[Työvoima-koulutus 9]]</f>
        <v>0</v>
      </c>
      <c r="DL7" s="207">
        <f>Opv.kohd.[[#This Row],[Maahan-muuttajien koulutus 12]]-Opv.kohd.[[#This Row],[Maahan-muuttajien koulutus 9]]</f>
        <v>0</v>
      </c>
      <c r="DM7" s="207">
        <f>Opv.kohd.[[#This Row],[Nuorisotyöt. väh. ja osaamistarp. vast., muu kuin työvoima-koulutus 12]]-Opv.kohd.[[#This Row],[Nuorisotyöt. väh. ja osaamistarp. vast., muu kuin työvoima-koulutus 9]]</f>
        <v>0</v>
      </c>
      <c r="DN7" s="207">
        <f>Opv.kohd.[[#This Row],[Nuorisotyöt. väh. ja osaamistarp. vast., työvoima-koulutus 12]]-Opv.kohd.[[#This Row],[Nuorisotyöt. väh. ja osaamistarp. vast., työvoima-koulutus 9]]</f>
        <v>0</v>
      </c>
      <c r="DO7" s="207">
        <f>Opv.kohd.[[#This Row],[Yhteensä 12]]-Opv.kohd.[[#This Row],[Yhteensä 9]]</f>
        <v>0</v>
      </c>
      <c r="DP7" s="207">
        <f>Opv.kohd.[[#This Row],[Tavoitteelliset opiskelijavuodet yhteensä 12]]-Opv.kohd.[[#This Row],[Tavoitteelliset opiskelijavuodet yhteensä 9]]</f>
        <v>-20</v>
      </c>
      <c r="DQ7" s="209">
        <f>IFERROR(Opv.kohd.[[#This Row],[Järjestämisluvan mukaiset 15]]/Opv.kohd.[[#This Row],[Järjestämisluvan mukaiset 9]],0)</f>
        <v>-1</v>
      </c>
      <c r="DR7" s="209">
        <f t="shared" si="1"/>
        <v>0</v>
      </c>
      <c r="DS7" s="209">
        <f t="shared" si="1"/>
        <v>0</v>
      </c>
      <c r="DT7" s="209">
        <f t="shared" si="1"/>
        <v>0</v>
      </c>
      <c r="DU7" s="209">
        <f t="shared" si="1"/>
        <v>0</v>
      </c>
      <c r="DV7" s="209">
        <f t="shared" si="1"/>
        <v>0</v>
      </c>
      <c r="DW7" s="209">
        <f t="shared" si="1"/>
        <v>0</v>
      </c>
      <c r="DX7" s="209">
        <f t="shared" si="1"/>
        <v>0</v>
      </c>
    </row>
    <row r="8" spans="1:128" x14ac:dyDescent="0.25">
      <c r="A8" s="204" t="e">
        <f>IF(INDEX(#REF!,ROW(8:8)-1,1)=0,"",INDEX(#REF!,ROW(8:8)-1,1))</f>
        <v>#REF!</v>
      </c>
      <c r="B8" s="205" t="str">
        <f>IFERROR(VLOOKUP(Opv.kohd.[[#This Row],[Y-tunnus]],'0 Järjestäjätiedot'!$A:$H,2,FALSE),"")</f>
        <v/>
      </c>
      <c r="C8" s="204" t="str">
        <f>IFERROR(VLOOKUP(Opv.kohd.[[#This Row],[Y-tunnus]],'0 Järjestäjätiedot'!$A:$H,COLUMN('0 Järjestäjätiedot'!D:D),FALSE),"")</f>
        <v/>
      </c>
      <c r="D8" s="204" t="str">
        <f>IFERROR(VLOOKUP(Opv.kohd.[[#This Row],[Y-tunnus]],'0 Järjestäjätiedot'!$A:$H,COLUMN('0 Järjestäjätiedot'!H:H),FALSE),"")</f>
        <v/>
      </c>
      <c r="E8" s="204">
        <f>IFERROR(VLOOKUP(Opv.kohd.[[#This Row],[Y-tunnus]],#REF!,COLUMN(#REF!),FALSE),0)</f>
        <v>0</v>
      </c>
      <c r="F8" s="204">
        <f>IFERROR(VLOOKUP(Opv.kohd.[[#This Row],[Y-tunnus]],#REF!,COLUMN(#REF!),FALSE),0)</f>
        <v>0</v>
      </c>
      <c r="G8" s="204">
        <f>IFERROR(VLOOKUP(Opv.kohd.[[#This Row],[Y-tunnus]],#REF!,COLUMN(#REF!),FALSE),0)</f>
        <v>0</v>
      </c>
      <c r="H8" s="204">
        <f>IFERROR(VLOOKUP(Opv.kohd.[[#This Row],[Y-tunnus]],#REF!,COLUMN(#REF!),FALSE),0)</f>
        <v>0</v>
      </c>
      <c r="I8" s="204">
        <f>IFERROR(VLOOKUP(Opv.kohd.[[#This Row],[Y-tunnus]],#REF!,COLUMN(#REF!),FALSE),0)</f>
        <v>0</v>
      </c>
      <c r="J8" s="204">
        <f>IFERROR(VLOOKUP(Opv.kohd.[[#This Row],[Y-tunnus]],#REF!,COLUMN(#REF!),FALSE),0)</f>
        <v>0</v>
      </c>
      <c r="K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8" s="204">
        <f>Opv.kohd.[[#This Row],[Järjestämisluvan mukaiset 1]]+Opv.kohd.[[#This Row],[Yhteensä  1]]</f>
        <v>0</v>
      </c>
      <c r="M8" s="204">
        <f>IFERROR(VLOOKUP(Opv.kohd.[[#This Row],[Y-tunnus]],#REF!,COLUMN(#REF!),FALSE),0)</f>
        <v>0</v>
      </c>
      <c r="N8" s="204">
        <f>IFERROR(VLOOKUP(Opv.kohd.[[#This Row],[Y-tunnus]],#REF!,COLUMN(#REF!),FALSE),0)</f>
        <v>0</v>
      </c>
      <c r="O8" s="204">
        <f>IFERROR(VLOOKUP(Opv.kohd.[[#This Row],[Y-tunnus]],#REF!,COLUMN(#REF!),FALSE)+VLOOKUP(Opv.kohd.[[#This Row],[Y-tunnus]],#REF!,COLUMN(#REF!),FALSE),0)</f>
        <v>0</v>
      </c>
      <c r="P8" s="204">
        <f>Opv.kohd.[[#This Row],[Talousarvion perusteella kohdentamattomat]]+Opv.kohd.[[#This Row],[Talousarvion perusteella työvoimakoulutus 1]]+Opv.kohd.[[#This Row],[Lisätalousarvioiden perusteella]]</f>
        <v>0</v>
      </c>
      <c r="Q8" s="204">
        <f>IFERROR(VLOOKUP(Opv.kohd.[[#This Row],[Y-tunnus]],#REF!,COLUMN(#REF!),FALSE),0)</f>
        <v>0</v>
      </c>
      <c r="R8" s="210">
        <f>IFERROR(VLOOKUP(Opv.kohd.[[#This Row],[Y-tunnus]],#REF!,COLUMN(#REF!),FALSE)-(Opv.kohd.[[#This Row],[Kohdentamaton työvoima-koulutus 2]]+Opv.kohd.[[#This Row],[Maahan-muuttajien koulutus 2]]+Opv.kohd.[[#This Row],[Lisätalousarvioiden perusteella jaetut 2]]),0)</f>
        <v>0</v>
      </c>
      <c r="S8" s="210">
        <f>IFERROR(VLOOKUP(Opv.kohd.[[#This Row],[Y-tunnus]],#REF!,COLUMN(#REF!),FALSE)+VLOOKUP(Opv.kohd.[[#This Row],[Y-tunnus]],#REF!,COLUMN(#REF!),FALSE),0)</f>
        <v>0</v>
      </c>
      <c r="T8" s="210">
        <f>IFERROR(VLOOKUP(Opv.kohd.[[#This Row],[Y-tunnus]],#REF!,COLUMN(#REF!),FALSE)+VLOOKUP(Opv.kohd.[[#This Row],[Y-tunnus]],#REF!,COLUMN(#REF!),FALSE),0)</f>
        <v>0</v>
      </c>
      <c r="U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8" s="210">
        <f>Opv.kohd.[[#This Row],[Kohdentamat-tomat 2]]+Opv.kohd.[[#This Row],[Kohdentamaton työvoima-koulutus 2]]+Opv.kohd.[[#This Row],[Maahan-muuttajien koulutus 2]]+Opv.kohd.[[#This Row],[Lisätalousarvioiden perusteella jaetut 2]]</f>
        <v>0</v>
      </c>
      <c r="W8" s="210">
        <f>Opv.kohd.[[#This Row],[Kohdentamat-tomat 2]]-(Opv.kohd.[[#This Row],[Järjestämisluvan mukaiset 1]]+Opv.kohd.[[#This Row],[Kohdentamat-tomat 1]]+Opv.kohd.[[#This Row],[Nuorisotyöt. väh. ja osaamistarp. vast., muu kuin työvoima-koulutus 1]]+Opv.kohd.[[#This Row],[Talousarvion perusteella kohdentamattomat]])</f>
        <v>0</v>
      </c>
      <c r="X8" s="210">
        <f>Opv.kohd.[[#This Row],[Kohdentamaton työvoima-koulutus 2]]-(Opv.kohd.[[#This Row],[Työvoima-koulutus 1]]+Opv.kohd.[[#This Row],[Nuorisotyöt. väh. ja osaamistarp. vast., työvoima-koulutus 1]]+Opv.kohd.[[#This Row],[Talousarvion perusteella työvoimakoulutus 1]])</f>
        <v>0</v>
      </c>
      <c r="Y8" s="210">
        <f>Opv.kohd.[[#This Row],[Maahan-muuttajien koulutus 2]]-Opv.kohd.[[#This Row],[Maahan-muuttajien koulutus 1]]</f>
        <v>0</v>
      </c>
      <c r="Z8" s="210">
        <f>Opv.kohd.[[#This Row],[Lisätalousarvioiden perusteella jaetut 2]]-Opv.kohd.[[#This Row],[Lisätalousarvioiden perusteella]]</f>
        <v>0</v>
      </c>
      <c r="AA8" s="210">
        <f>Opv.kohd.[[#This Row],[Toteutuneet opiskelijavuodet yhteensä 2]]-Opv.kohd.[[#This Row],[Vuoden 2018 tavoitteelliset opiskelijavuodet yhteensä 1]]</f>
        <v>0</v>
      </c>
      <c r="AB8" s="207">
        <f>IFERROR(VLOOKUP(Opv.kohd.[[#This Row],[Y-tunnus]],#REF!,3,FALSE),0)</f>
        <v>0</v>
      </c>
      <c r="AC8" s="207">
        <f>IFERROR(VLOOKUP(Opv.kohd.[[#This Row],[Y-tunnus]],#REF!,4,FALSE),0)</f>
        <v>0</v>
      </c>
      <c r="AD8" s="207">
        <f>IFERROR(VLOOKUP(Opv.kohd.[[#This Row],[Y-tunnus]],#REF!,5,FALSE),0)</f>
        <v>0</v>
      </c>
      <c r="AE8" s="207">
        <f>IFERROR(VLOOKUP(Opv.kohd.[[#This Row],[Y-tunnus]],#REF!,6,FALSE),0)</f>
        <v>0</v>
      </c>
      <c r="AF8" s="207">
        <f>IFERROR(VLOOKUP(Opv.kohd.[[#This Row],[Y-tunnus]],#REF!,7,FALSE),0)</f>
        <v>0</v>
      </c>
      <c r="AG8" s="207">
        <f>IFERROR(VLOOKUP(Opv.kohd.[[#This Row],[Y-tunnus]],#REF!,8,FALSE),0)</f>
        <v>0</v>
      </c>
      <c r="AH8" s="207">
        <f>IFERROR(VLOOKUP(Opv.kohd.[[#This Row],[Y-tunnus]],#REF!,9,FALSE),0)</f>
        <v>0</v>
      </c>
      <c r="AI8" s="207">
        <f>IFERROR(VLOOKUP(Opv.kohd.[[#This Row],[Y-tunnus]],#REF!,10,FALSE),0)</f>
        <v>0</v>
      </c>
      <c r="AJ8" s="204">
        <f>Opv.kohd.[[#This Row],[Järjestämisluvan mukaiset 4]]-Opv.kohd.[[#This Row],[Järjestämisluvan mukaiset 1]]</f>
        <v>0</v>
      </c>
      <c r="AK8" s="204">
        <f>Opv.kohd.[[#This Row],[Kohdentamat-tomat 4]]-Opv.kohd.[[#This Row],[Kohdentamat-tomat 1]]</f>
        <v>0</v>
      </c>
      <c r="AL8" s="204">
        <f>Opv.kohd.[[#This Row],[Työvoima-koulutus 4]]-Opv.kohd.[[#This Row],[Työvoima-koulutus 1]]</f>
        <v>0</v>
      </c>
      <c r="AM8" s="204">
        <f>Opv.kohd.[[#This Row],[Maahan-muuttajien koulutus 4]]-Opv.kohd.[[#This Row],[Maahan-muuttajien koulutus 1]]</f>
        <v>0</v>
      </c>
      <c r="AN8" s="204">
        <f>Opv.kohd.[[#This Row],[Nuorisotyöt. väh. ja osaamistarp. vast., muu kuin työvoima-koulutus 4]]-Opv.kohd.[[#This Row],[Nuorisotyöt. väh. ja osaamistarp. vast., muu kuin työvoima-koulutus 1]]</f>
        <v>0</v>
      </c>
      <c r="AO8" s="204">
        <f>Opv.kohd.[[#This Row],[Nuorisotyöt. väh. ja osaamistarp. vast., työvoima-koulutus 4]]-Opv.kohd.[[#This Row],[Nuorisotyöt. väh. ja osaamistarp. vast., työvoima-koulutus 1]]</f>
        <v>0</v>
      </c>
      <c r="AP8" s="204">
        <f>Opv.kohd.[[#This Row],[Yhteensä 4]]-Opv.kohd.[[#This Row],[Yhteensä  1]]</f>
        <v>0</v>
      </c>
      <c r="AQ8" s="204">
        <f>Opv.kohd.[[#This Row],[Ensikertaisella suoritepäätöksellä jaetut tavoitteelliset opiskelijavuodet yhteensä 4]]-Opv.kohd.[[#This Row],[Ensikertaisella suoritepäätöksellä jaetut tavoitteelliset opiskelijavuodet yhteensä 1]]</f>
        <v>0</v>
      </c>
      <c r="AR8" s="208">
        <f>IFERROR(Opv.kohd.[[#This Row],[Järjestämisluvan mukaiset 5]]/Opv.kohd.[[#This Row],[Järjestämisluvan mukaiset 4]],0)</f>
        <v>0</v>
      </c>
      <c r="AS8" s="208">
        <f>IFERROR(Opv.kohd.[[#This Row],[Kohdentamat-tomat 5]]/Opv.kohd.[[#This Row],[Kohdentamat-tomat 4]],0)</f>
        <v>0</v>
      </c>
      <c r="AT8" s="208">
        <f>IFERROR(Opv.kohd.[[#This Row],[Työvoima-koulutus 5]]/Opv.kohd.[[#This Row],[Työvoima-koulutus 4]],0)</f>
        <v>0</v>
      </c>
      <c r="AU8" s="208">
        <f>IFERROR(Opv.kohd.[[#This Row],[Maahan-muuttajien koulutus 5]]/Opv.kohd.[[#This Row],[Maahan-muuttajien koulutus 4]],0)</f>
        <v>0</v>
      </c>
      <c r="AV8" s="208">
        <f>IFERROR(Opv.kohd.[[#This Row],[Nuorisotyöt. väh. ja osaamistarp. vast., muu kuin työvoima-koulutus 5]]/Opv.kohd.[[#This Row],[Nuorisotyöt. väh. ja osaamistarp. vast., muu kuin työvoima-koulutus 4]],0)</f>
        <v>0</v>
      </c>
      <c r="AW8" s="208">
        <f>IFERROR(Opv.kohd.[[#This Row],[Nuorisotyöt. väh. ja osaamistarp. vast., työvoima-koulutus 5]]/Opv.kohd.[[#This Row],[Nuorisotyöt. väh. ja osaamistarp. vast., työvoima-koulutus 4]],0)</f>
        <v>0</v>
      </c>
      <c r="AX8" s="208">
        <f>IFERROR(Opv.kohd.[[#This Row],[Yhteensä 5]]/Opv.kohd.[[#This Row],[Yhteensä 4]],0)</f>
        <v>0</v>
      </c>
      <c r="AY8" s="208">
        <f>IFERROR(Opv.kohd.[[#This Row],[Ensikertaisella suoritepäätöksellä jaetut tavoitteelliset opiskelijavuodet yhteensä 5]]/Opv.kohd.[[#This Row],[Ensikertaisella suoritepäätöksellä jaetut tavoitteelliset opiskelijavuodet yhteensä 4]],0)</f>
        <v>0</v>
      </c>
      <c r="AZ8" s="207">
        <f>Opv.kohd.[[#This Row],[Yhteensä 7a]]-Opv.kohd.[[#This Row],[Työvoima-koulutus 7a]]</f>
        <v>0</v>
      </c>
      <c r="BA8" s="207">
        <f>IFERROR(VLOOKUP(Opv.kohd.[[#This Row],[Y-tunnus]],#REF!,COLUMN(#REF!),FALSE),0)</f>
        <v>0</v>
      </c>
      <c r="BB8" s="207">
        <f>IFERROR(VLOOKUP(Opv.kohd.[[#This Row],[Y-tunnus]],#REF!,COLUMN(#REF!),FALSE),0)</f>
        <v>0</v>
      </c>
      <c r="BC8" s="207">
        <f>Opv.kohd.[[#This Row],[Muu kuin työvoima-koulutus 7c]]-Opv.kohd.[[#This Row],[Muu kuin työvoima-koulutus 7a]]</f>
        <v>0</v>
      </c>
      <c r="BD8" s="207">
        <f>Opv.kohd.[[#This Row],[Työvoima-koulutus 7c]]-Opv.kohd.[[#This Row],[Työvoima-koulutus 7a]]</f>
        <v>0</v>
      </c>
      <c r="BE8" s="207">
        <f>Opv.kohd.[[#This Row],[Yhteensä 7c]]-Opv.kohd.[[#This Row],[Yhteensä 7a]]</f>
        <v>0</v>
      </c>
      <c r="BF8" s="207">
        <f>Opv.kohd.[[#This Row],[Yhteensä 7c]]-Opv.kohd.[[#This Row],[Työvoima-koulutus 7c]]</f>
        <v>0</v>
      </c>
      <c r="BG8" s="207">
        <f>IFERROR(VLOOKUP(Opv.kohd.[[#This Row],[Y-tunnus]],#REF!,COLUMN(#REF!),FALSE),0)</f>
        <v>0</v>
      </c>
      <c r="BH8" s="207">
        <f>IFERROR(VLOOKUP(Opv.kohd.[[#This Row],[Y-tunnus]],#REF!,COLUMN(#REF!),FALSE),0)</f>
        <v>0</v>
      </c>
      <c r="BI8" s="207">
        <f>IFERROR(VLOOKUP(Opv.kohd.[[#This Row],[Y-tunnus]],#REF!,COLUMN(#REF!),FALSE),0)</f>
        <v>0</v>
      </c>
      <c r="BJ8" s="207">
        <f>IFERROR(VLOOKUP(Opv.kohd.[[#This Row],[Y-tunnus]],#REF!,COLUMN(#REF!),FALSE),0)</f>
        <v>0</v>
      </c>
      <c r="BK8" s="207">
        <f>Opv.kohd.[[#This Row],[Muu kuin työvoima-koulutus 7d]]+Opv.kohd.[[#This Row],[Työvoima-koulutus 7d]]</f>
        <v>0</v>
      </c>
      <c r="BL8" s="207">
        <f>Opv.kohd.[[#This Row],[Muu kuin työvoima-koulutus 7c]]-Opv.kohd.[[#This Row],[Muu kuin työvoima-koulutus 7d]]</f>
        <v>0</v>
      </c>
      <c r="BM8" s="207">
        <f>Opv.kohd.[[#This Row],[Työvoima-koulutus 7c]]-Opv.kohd.[[#This Row],[Työvoima-koulutus 7d]]</f>
        <v>0</v>
      </c>
      <c r="BN8" s="207">
        <f>Opv.kohd.[[#This Row],[Yhteensä 7c]]-Opv.kohd.[[#This Row],[Yhteensä 7d]]</f>
        <v>0</v>
      </c>
      <c r="BO8" s="207">
        <f>Opv.kohd.[[#This Row],[Muu kuin työvoima-koulutus 7e]]-(Opv.kohd.[[#This Row],[Järjestämisluvan mukaiset 4]]+Opv.kohd.[[#This Row],[Kohdentamat-tomat 4]]+Opv.kohd.[[#This Row],[Maahan-muuttajien koulutus 4]]+Opv.kohd.[[#This Row],[Nuorisotyöt. väh. ja osaamistarp. vast., muu kuin työvoima-koulutus 4]])</f>
        <v>0</v>
      </c>
      <c r="BP8" s="207">
        <f>Opv.kohd.[[#This Row],[Työvoima-koulutus 7e]]-(Opv.kohd.[[#This Row],[Työvoima-koulutus 4]]+Opv.kohd.[[#This Row],[Nuorisotyöt. väh. ja osaamistarp. vast., työvoima-koulutus 4]])</f>
        <v>0</v>
      </c>
      <c r="BQ8" s="207">
        <f>Opv.kohd.[[#This Row],[Yhteensä 7e]]-Opv.kohd.[[#This Row],[Ensikertaisella suoritepäätöksellä jaetut tavoitteelliset opiskelijavuodet yhteensä 4]]</f>
        <v>0</v>
      </c>
      <c r="BR8" s="263">
        <v>79</v>
      </c>
      <c r="BS8" s="263">
        <v>0</v>
      </c>
      <c r="BT8" s="263">
        <v>5</v>
      </c>
      <c r="BU8" s="263">
        <v>0</v>
      </c>
      <c r="BV8" s="263">
        <v>5</v>
      </c>
      <c r="BW8" s="263">
        <v>0</v>
      </c>
      <c r="BX8" s="263">
        <v>10</v>
      </c>
      <c r="BY8" s="263">
        <v>89</v>
      </c>
      <c r="BZ8" s="207">
        <f t="shared" ref="BZ8:BZ71" si="2">BR8-AB8</f>
        <v>79</v>
      </c>
      <c r="CA8" s="207">
        <f t="shared" ref="CA8:CA71" si="3">BS8-AC8</f>
        <v>0</v>
      </c>
      <c r="CB8" s="207">
        <f t="shared" ref="CB8:CB71" si="4">BT8-AD8</f>
        <v>5</v>
      </c>
      <c r="CC8" s="207">
        <f t="shared" ref="CC8:CC71" si="5">BU8-AE8</f>
        <v>0</v>
      </c>
      <c r="CD8" s="207">
        <f t="shared" ref="CD8:CD71" si="6">BV8-AF8</f>
        <v>5</v>
      </c>
      <c r="CE8" s="207">
        <f t="shared" ref="CE8:CE71" si="7">BW8-AG8</f>
        <v>0</v>
      </c>
      <c r="CF8" s="207">
        <f t="shared" ref="CF8:CF71" si="8">BX8-AH8</f>
        <v>10</v>
      </c>
      <c r="CG8" s="207">
        <f t="shared" ref="CG8:CG71" si="9">BY8-AI8</f>
        <v>89</v>
      </c>
      <c r="CH8" s="207">
        <f>Opv.kohd.[[#This Row],[Tavoitteelliset opiskelijavuodet yhteensä 9]]-Opv.kohd.[[#This Row],[Työvoima-koulutus 9]]-Opv.kohd.[[#This Row],[Nuorisotyöt. väh. ja osaamistarp. vast., työvoima-koulutus 9]]-Opv.kohd.[[#This Row],[Muu kuin työvoima-koulutus 7e]]</f>
        <v>84</v>
      </c>
      <c r="CI8" s="207">
        <f>(Opv.kohd.[[#This Row],[Työvoima-koulutus 9]]+Opv.kohd.[[#This Row],[Nuorisotyöt. väh. ja osaamistarp. vast., työvoima-koulutus 9]])-Opv.kohd.[[#This Row],[Työvoima-koulutus 7e]]</f>
        <v>5</v>
      </c>
      <c r="CJ8" s="207">
        <f>Opv.kohd.[[#This Row],[Tavoitteelliset opiskelijavuodet yhteensä 9]]-Opv.kohd.[[#This Row],[Yhteensä 7e]]</f>
        <v>89</v>
      </c>
      <c r="CK8" s="207">
        <f>Opv.kohd.[[#This Row],[Järjestämisluvan mukaiset 4]]+Opv.kohd.[[#This Row],[Järjestämisluvan mukaiset 13]]</f>
        <v>0</v>
      </c>
      <c r="CL8" s="207">
        <f>Opv.kohd.[[#This Row],[Kohdentamat-tomat 4]]+Opv.kohd.[[#This Row],[Kohdentamat-tomat 13]]</f>
        <v>0</v>
      </c>
      <c r="CM8" s="207">
        <f>Opv.kohd.[[#This Row],[Työvoima-koulutus 4]]+Opv.kohd.[[#This Row],[Työvoima-koulutus 13]]</f>
        <v>0</v>
      </c>
      <c r="CN8" s="207">
        <f>Opv.kohd.[[#This Row],[Maahan-muuttajien koulutus 4]]+Opv.kohd.[[#This Row],[Maahan-muuttajien koulutus 13]]</f>
        <v>0</v>
      </c>
      <c r="CO8" s="207">
        <f>Opv.kohd.[[#This Row],[Nuorisotyöt. väh. ja osaamistarp. vast., muu kuin työvoima-koulutus 4]]+Opv.kohd.[[#This Row],[Nuorisotyöt. väh. ja osaamistarp. vast., muu kuin työvoima-koulutus 13]]</f>
        <v>0</v>
      </c>
      <c r="CP8" s="207">
        <f>Opv.kohd.[[#This Row],[Nuorisotyöt. väh. ja osaamistarp. vast., työvoima-koulutus 4]]+Opv.kohd.[[#This Row],[Nuorisotyöt. väh. ja osaamistarp. vast., työvoima-koulutus 13]]</f>
        <v>0</v>
      </c>
      <c r="CQ8" s="207">
        <f>Opv.kohd.[[#This Row],[Yhteensä 4]]+Opv.kohd.[[#This Row],[Yhteensä 13]]</f>
        <v>0</v>
      </c>
      <c r="CR8" s="207">
        <f>Opv.kohd.[[#This Row],[Ensikertaisella suoritepäätöksellä jaetut tavoitteelliset opiskelijavuodet yhteensä 4]]+Opv.kohd.[[#This Row],[Tavoitteelliset opiskelijavuodet yhteensä 13]]</f>
        <v>0</v>
      </c>
      <c r="CS8" s="120">
        <v>0</v>
      </c>
      <c r="CT8" s="120">
        <v>0</v>
      </c>
      <c r="CU8" s="120">
        <v>0</v>
      </c>
      <c r="CV8" s="120">
        <v>0</v>
      </c>
      <c r="CW8" s="120">
        <v>0</v>
      </c>
      <c r="CX8" s="120">
        <v>0</v>
      </c>
      <c r="CY8" s="120">
        <v>0</v>
      </c>
      <c r="CZ8" s="120">
        <v>0</v>
      </c>
      <c r="DA8" s="209">
        <f>IFERROR(Opv.kohd.[[#This Row],[Järjestämisluvan mukaiset 13]]/Opv.kohd.[[#This Row],[Järjestämisluvan mukaiset 12]],0)</f>
        <v>0</v>
      </c>
      <c r="DB8" s="209">
        <f>IFERROR(Opv.kohd.[[#This Row],[Kohdentamat-tomat 13]]/Opv.kohd.[[#This Row],[Kohdentamat-tomat 12]],0)</f>
        <v>0</v>
      </c>
      <c r="DC8" s="209">
        <f>IFERROR(Opv.kohd.[[#This Row],[Työvoima-koulutus 13]]/Opv.kohd.[[#This Row],[Työvoima-koulutus 12]],0)</f>
        <v>0</v>
      </c>
      <c r="DD8" s="209">
        <f>IFERROR(Opv.kohd.[[#This Row],[Maahan-muuttajien koulutus 13]]/Opv.kohd.[[#This Row],[Maahan-muuttajien koulutus 12]],0)</f>
        <v>0</v>
      </c>
      <c r="DE8" s="209">
        <f>IFERROR(Opv.kohd.[[#This Row],[Nuorisotyöt. väh. ja osaamistarp. vast., muu kuin työvoima-koulutus 13]]/Opv.kohd.[[#This Row],[Nuorisotyöt. väh. ja osaamistarp. vast., muu kuin työvoima-koulutus 12]],0)</f>
        <v>0</v>
      </c>
      <c r="DF8" s="209">
        <f>IFERROR(Opv.kohd.[[#This Row],[Nuorisotyöt. väh. ja osaamistarp. vast., työvoima-koulutus 13]]/Opv.kohd.[[#This Row],[Nuorisotyöt. väh. ja osaamistarp. vast., työvoima-koulutus 12]],0)</f>
        <v>0</v>
      </c>
      <c r="DG8" s="209">
        <f>IFERROR(Opv.kohd.[[#This Row],[Yhteensä 13]]/Opv.kohd.[[#This Row],[Yhteensä 12]],0)</f>
        <v>0</v>
      </c>
      <c r="DH8" s="209">
        <f>IFERROR(Opv.kohd.[[#This Row],[Tavoitteelliset opiskelijavuodet yhteensä 13]]/Opv.kohd.[[#This Row],[Tavoitteelliset opiskelijavuodet yhteensä 12]],0)</f>
        <v>0</v>
      </c>
      <c r="DI8" s="207">
        <f>Opv.kohd.[[#This Row],[Järjestämisluvan mukaiset 12]]-Opv.kohd.[[#This Row],[Järjestämisluvan mukaiset 9]]</f>
        <v>-79</v>
      </c>
      <c r="DJ8" s="207">
        <f>Opv.kohd.[[#This Row],[Kohdentamat-tomat 12]]-Opv.kohd.[[#This Row],[Kohdentamat-tomat 9]]</f>
        <v>0</v>
      </c>
      <c r="DK8" s="207">
        <f>Opv.kohd.[[#This Row],[Työvoima-koulutus 12]]-Opv.kohd.[[#This Row],[Työvoima-koulutus 9]]</f>
        <v>-5</v>
      </c>
      <c r="DL8" s="207">
        <f>Opv.kohd.[[#This Row],[Maahan-muuttajien koulutus 12]]-Opv.kohd.[[#This Row],[Maahan-muuttajien koulutus 9]]</f>
        <v>0</v>
      </c>
      <c r="DM8" s="207">
        <f>Opv.kohd.[[#This Row],[Nuorisotyöt. väh. ja osaamistarp. vast., muu kuin työvoima-koulutus 12]]-Opv.kohd.[[#This Row],[Nuorisotyöt. väh. ja osaamistarp. vast., muu kuin työvoima-koulutus 9]]</f>
        <v>-5</v>
      </c>
      <c r="DN8" s="207">
        <f>Opv.kohd.[[#This Row],[Nuorisotyöt. väh. ja osaamistarp. vast., työvoima-koulutus 12]]-Opv.kohd.[[#This Row],[Nuorisotyöt. väh. ja osaamistarp. vast., työvoima-koulutus 9]]</f>
        <v>0</v>
      </c>
      <c r="DO8" s="207">
        <f>Opv.kohd.[[#This Row],[Yhteensä 12]]-Opv.kohd.[[#This Row],[Yhteensä 9]]</f>
        <v>-10</v>
      </c>
      <c r="DP8" s="207">
        <f>Opv.kohd.[[#This Row],[Tavoitteelliset opiskelijavuodet yhteensä 12]]-Opv.kohd.[[#This Row],[Tavoitteelliset opiskelijavuodet yhteensä 9]]</f>
        <v>-89</v>
      </c>
      <c r="DQ8" s="209">
        <f>IFERROR(Opv.kohd.[[#This Row],[Järjestämisluvan mukaiset 15]]/Opv.kohd.[[#This Row],[Järjestämisluvan mukaiset 9]],0)</f>
        <v>-1</v>
      </c>
      <c r="DR8" s="209">
        <f t="shared" ref="DR8:DR71" si="10">IFERROR(DJ8/AC8,0)</f>
        <v>0</v>
      </c>
      <c r="DS8" s="209">
        <f t="shared" ref="DS8:DS71" si="11">IFERROR(DK8/AD8,0)</f>
        <v>0</v>
      </c>
      <c r="DT8" s="209">
        <f t="shared" ref="DT8:DT71" si="12">IFERROR(DL8/AE8,0)</f>
        <v>0</v>
      </c>
      <c r="DU8" s="209">
        <f t="shared" ref="DU8:DU71" si="13">IFERROR(DM8/AF8,0)</f>
        <v>0</v>
      </c>
      <c r="DV8" s="209">
        <f t="shared" ref="DV8:DV71" si="14">IFERROR(DN8/AG8,0)</f>
        <v>0</v>
      </c>
      <c r="DW8" s="209">
        <f t="shared" ref="DW8:DW71" si="15">IFERROR(DO8/AH8,0)</f>
        <v>0</v>
      </c>
      <c r="DX8" s="209">
        <f t="shared" ref="DX8:DX71" si="16">IFERROR(DP8/AI8,0)</f>
        <v>0</v>
      </c>
    </row>
    <row r="9" spans="1:128" x14ac:dyDescent="0.25">
      <c r="A9" s="204" t="e">
        <f>IF(INDEX(#REF!,ROW(9:9)-1,1)=0,"",INDEX(#REF!,ROW(9:9)-1,1))</f>
        <v>#REF!</v>
      </c>
      <c r="B9" s="205" t="str">
        <f>IFERROR(VLOOKUP(Opv.kohd.[[#This Row],[Y-tunnus]],'0 Järjestäjätiedot'!$A:$H,2,FALSE),"")</f>
        <v/>
      </c>
      <c r="C9" s="204" t="str">
        <f>IFERROR(VLOOKUP(Opv.kohd.[[#This Row],[Y-tunnus]],'0 Järjestäjätiedot'!$A:$H,COLUMN('0 Järjestäjätiedot'!D:D),FALSE),"")</f>
        <v/>
      </c>
      <c r="D9" s="204" t="str">
        <f>IFERROR(VLOOKUP(Opv.kohd.[[#This Row],[Y-tunnus]],'0 Järjestäjätiedot'!$A:$H,COLUMN('0 Järjestäjätiedot'!H:H),FALSE),"")</f>
        <v/>
      </c>
      <c r="E9" s="204">
        <f>IFERROR(VLOOKUP(Opv.kohd.[[#This Row],[Y-tunnus]],#REF!,COLUMN(#REF!),FALSE),0)</f>
        <v>0</v>
      </c>
      <c r="F9" s="204">
        <f>IFERROR(VLOOKUP(Opv.kohd.[[#This Row],[Y-tunnus]],#REF!,COLUMN(#REF!),FALSE),0)</f>
        <v>0</v>
      </c>
      <c r="G9" s="204">
        <f>IFERROR(VLOOKUP(Opv.kohd.[[#This Row],[Y-tunnus]],#REF!,COLUMN(#REF!),FALSE),0)</f>
        <v>0</v>
      </c>
      <c r="H9" s="204">
        <f>IFERROR(VLOOKUP(Opv.kohd.[[#This Row],[Y-tunnus]],#REF!,COLUMN(#REF!),FALSE),0)</f>
        <v>0</v>
      </c>
      <c r="I9" s="204">
        <f>IFERROR(VLOOKUP(Opv.kohd.[[#This Row],[Y-tunnus]],#REF!,COLUMN(#REF!),FALSE),0)</f>
        <v>0</v>
      </c>
      <c r="J9" s="204">
        <f>IFERROR(VLOOKUP(Opv.kohd.[[#This Row],[Y-tunnus]],#REF!,COLUMN(#REF!),FALSE),0)</f>
        <v>0</v>
      </c>
      <c r="K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9" s="204">
        <f>Opv.kohd.[[#This Row],[Järjestämisluvan mukaiset 1]]+Opv.kohd.[[#This Row],[Yhteensä  1]]</f>
        <v>0</v>
      </c>
      <c r="M9" s="204">
        <f>IFERROR(VLOOKUP(Opv.kohd.[[#This Row],[Y-tunnus]],#REF!,COLUMN(#REF!),FALSE),0)</f>
        <v>0</v>
      </c>
      <c r="N9" s="204">
        <f>IFERROR(VLOOKUP(Opv.kohd.[[#This Row],[Y-tunnus]],#REF!,COLUMN(#REF!),FALSE),0)</f>
        <v>0</v>
      </c>
      <c r="O9" s="204">
        <f>IFERROR(VLOOKUP(Opv.kohd.[[#This Row],[Y-tunnus]],#REF!,COLUMN(#REF!),FALSE)+VLOOKUP(Opv.kohd.[[#This Row],[Y-tunnus]],#REF!,COLUMN(#REF!),FALSE),0)</f>
        <v>0</v>
      </c>
      <c r="P9" s="204">
        <f>Opv.kohd.[[#This Row],[Talousarvion perusteella kohdentamattomat]]+Opv.kohd.[[#This Row],[Talousarvion perusteella työvoimakoulutus 1]]+Opv.kohd.[[#This Row],[Lisätalousarvioiden perusteella]]</f>
        <v>0</v>
      </c>
      <c r="Q9" s="204">
        <f>IFERROR(VLOOKUP(Opv.kohd.[[#This Row],[Y-tunnus]],#REF!,COLUMN(#REF!),FALSE),0)</f>
        <v>0</v>
      </c>
      <c r="R9" s="210">
        <f>IFERROR(VLOOKUP(Opv.kohd.[[#This Row],[Y-tunnus]],#REF!,COLUMN(#REF!),FALSE)-(Opv.kohd.[[#This Row],[Kohdentamaton työvoima-koulutus 2]]+Opv.kohd.[[#This Row],[Maahan-muuttajien koulutus 2]]+Opv.kohd.[[#This Row],[Lisätalousarvioiden perusteella jaetut 2]]),0)</f>
        <v>0</v>
      </c>
      <c r="S9" s="210">
        <f>IFERROR(VLOOKUP(Opv.kohd.[[#This Row],[Y-tunnus]],#REF!,COLUMN(#REF!),FALSE)+VLOOKUP(Opv.kohd.[[#This Row],[Y-tunnus]],#REF!,COLUMN(#REF!),FALSE),0)</f>
        <v>0</v>
      </c>
      <c r="T9" s="210">
        <f>IFERROR(VLOOKUP(Opv.kohd.[[#This Row],[Y-tunnus]],#REF!,COLUMN(#REF!),FALSE)+VLOOKUP(Opv.kohd.[[#This Row],[Y-tunnus]],#REF!,COLUMN(#REF!),FALSE),0)</f>
        <v>0</v>
      </c>
      <c r="U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9" s="210">
        <f>Opv.kohd.[[#This Row],[Kohdentamat-tomat 2]]+Opv.kohd.[[#This Row],[Kohdentamaton työvoima-koulutus 2]]+Opv.kohd.[[#This Row],[Maahan-muuttajien koulutus 2]]+Opv.kohd.[[#This Row],[Lisätalousarvioiden perusteella jaetut 2]]</f>
        <v>0</v>
      </c>
      <c r="W9" s="210">
        <f>Opv.kohd.[[#This Row],[Kohdentamat-tomat 2]]-(Opv.kohd.[[#This Row],[Järjestämisluvan mukaiset 1]]+Opv.kohd.[[#This Row],[Kohdentamat-tomat 1]]+Opv.kohd.[[#This Row],[Nuorisotyöt. väh. ja osaamistarp. vast., muu kuin työvoima-koulutus 1]]+Opv.kohd.[[#This Row],[Talousarvion perusteella kohdentamattomat]])</f>
        <v>0</v>
      </c>
      <c r="X9" s="210">
        <f>Opv.kohd.[[#This Row],[Kohdentamaton työvoima-koulutus 2]]-(Opv.kohd.[[#This Row],[Työvoima-koulutus 1]]+Opv.kohd.[[#This Row],[Nuorisotyöt. väh. ja osaamistarp. vast., työvoima-koulutus 1]]+Opv.kohd.[[#This Row],[Talousarvion perusteella työvoimakoulutus 1]])</f>
        <v>0</v>
      </c>
      <c r="Y9" s="210">
        <f>Opv.kohd.[[#This Row],[Maahan-muuttajien koulutus 2]]-Opv.kohd.[[#This Row],[Maahan-muuttajien koulutus 1]]</f>
        <v>0</v>
      </c>
      <c r="Z9" s="210">
        <f>Opv.kohd.[[#This Row],[Lisätalousarvioiden perusteella jaetut 2]]-Opv.kohd.[[#This Row],[Lisätalousarvioiden perusteella]]</f>
        <v>0</v>
      </c>
      <c r="AA9" s="210">
        <f>Opv.kohd.[[#This Row],[Toteutuneet opiskelijavuodet yhteensä 2]]-Opv.kohd.[[#This Row],[Vuoden 2018 tavoitteelliset opiskelijavuodet yhteensä 1]]</f>
        <v>0</v>
      </c>
      <c r="AB9" s="207">
        <f>IFERROR(VLOOKUP(Opv.kohd.[[#This Row],[Y-tunnus]],#REF!,3,FALSE),0)</f>
        <v>0</v>
      </c>
      <c r="AC9" s="207">
        <f>IFERROR(VLOOKUP(Opv.kohd.[[#This Row],[Y-tunnus]],#REF!,4,FALSE),0)</f>
        <v>0</v>
      </c>
      <c r="AD9" s="207">
        <f>IFERROR(VLOOKUP(Opv.kohd.[[#This Row],[Y-tunnus]],#REF!,5,FALSE),0)</f>
        <v>0</v>
      </c>
      <c r="AE9" s="207">
        <f>IFERROR(VLOOKUP(Opv.kohd.[[#This Row],[Y-tunnus]],#REF!,6,FALSE),0)</f>
        <v>0</v>
      </c>
      <c r="AF9" s="207">
        <f>IFERROR(VLOOKUP(Opv.kohd.[[#This Row],[Y-tunnus]],#REF!,7,FALSE),0)</f>
        <v>0</v>
      </c>
      <c r="AG9" s="207">
        <f>IFERROR(VLOOKUP(Opv.kohd.[[#This Row],[Y-tunnus]],#REF!,8,FALSE),0)</f>
        <v>0</v>
      </c>
      <c r="AH9" s="207">
        <f>IFERROR(VLOOKUP(Opv.kohd.[[#This Row],[Y-tunnus]],#REF!,9,FALSE),0)</f>
        <v>0</v>
      </c>
      <c r="AI9" s="207">
        <f>IFERROR(VLOOKUP(Opv.kohd.[[#This Row],[Y-tunnus]],#REF!,10,FALSE),0)</f>
        <v>0</v>
      </c>
      <c r="AJ9" s="204">
        <f>Opv.kohd.[[#This Row],[Järjestämisluvan mukaiset 4]]-Opv.kohd.[[#This Row],[Järjestämisluvan mukaiset 1]]</f>
        <v>0</v>
      </c>
      <c r="AK9" s="204">
        <f>Opv.kohd.[[#This Row],[Kohdentamat-tomat 4]]-Opv.kohd.[[#This Row],[Kohdentamat-tomat 1]]</f>
        <v>0</v>
      </c>
      <c r="AL9" s="204">
        <f>Opv.kohd.[[#This Row],[Työvoima-koulutus 4]]-Opv.kohd.[[#This Row],[Työvoima-koulutus 1]]</f>
        <v>0</v>
      </c>
      <c r="AM9" s="204">
        <f>Opv.kohd.[[#This Row],[Maahan-muuttajien koulutus 4]]-Opv.kohd.[[#This Row],[Maahan-muuttajien koulutus 1]]</f>
        <v>0</v>
      </c>
      <c r="AN9" s="204">
        <f>Opv.kohd.[[#This Row],[Nuorisotyöt. väh. ja osaamistarp. vast., muu kuin työvoima-koulutus 4]]-Opv.kohd.[[#This Row],[Nuorisotyöt. väh. ja osaamistarp. vast., muu kuin työvoima-koulutus 1]]</f>
        <v>0</v>
      </c>
      <c r="AO9" s="204">
        <f>Opv.kohd.[[#This Row],[Nuorisotyöt. väh. ja osaamistarp. vast., työvoima-koulutus 4]]-Opv.kohd.[[#This Row],[Nuorisotyöt. väh. ja osaamistarp. vast., työvoima-koulutus 1]]</f>
        <v>0</v>
      </c>
      <c r="AP9" s="204">
        <f>Opv.kohd.[[#This Row],[Yhteensä 4]]-Opv.kohd.[[#This Row],[Yhteensä  1]]</f>
        <v>0</v>
      </c>
      <c r="AQ9" s="204">
        <f>Opv.kohd.[[#This Row],[Ensikertaisella suoritepäätöksellä jaetut tavoitteelliset opiskelijavuodet yhteensä 4]]-Opv.kohd.[[#This Row],[Ensikertaisella suoritepäätöksellä jaetut tavoitteelliset opiskelijavuodet yhteensä 1]]</f>
        <v>0</v>
      </c>
      <c r="AR9" s="208">
        <f>IFERROR(Opv.kohd.[[#This Row],[Järjestämisluvan mukaiset 5]]/Opv.kohd.[[#This Row],[Järjestämisluvan mukaiset 4]],0)</f>
        <v>0</v>
      </c>
      <c r="AS9" s="208">
        <f>IFERROR(Opv.kohd.[[#This Row],[Kohdentamat-tomat 5]]/Opv.kohd.[[#This Row],[Kohdentamat-tomat 4]],0)</f>
        <v>0</v>
      </c>
      <c r="AT9" s="208">
        <f>IFERROR(Opv.kohd.[[#This Row],[Työvoima-koulutus 5]]/Opv.kohd.[[#This Row],[Työvoima-koulutus 4]],0)</f>
        <v>0</v>
      </c>
      <c r="AU9" s="208">
        <f>IFERROR(Opv.kohd.[[#This Row],[Maahan-muuttajien koulutus 5]]/Opv.kohd.[[#This Row],[Maahan-muuttajien koulutus 4]],0)</f>
        <v>0</v>
      </c>
      <c r="AV9" s="208">
        <f>IFERROR(Opv.kohd.[[#This Row],[Nuorisotyöt. väh. ja osaamistarp. vast., muu kuin työvoima-koulutus 5]]/Opv.kohd.[[#This Row],[Nuorisotyöt. väh. ja osaamistarp. vast., muu kuin työvoima-koulutus 4]],0)</f>
        <v>0</v>
      </c>
      <c r="AW9" s="208">
        <f>IFERROR(Opv.kohd.[[#This Row],[Nuorisotyöt. väh. ja osaamistarp. vast., työvoima-koulutus 5]]/Opv.kohd.[[#This Row],[Nuorisotyöt. väh. ja osaamistarp. vast., työvoima-koulutus 4]],0)</f>
        <v>0</v>
      </c>
      <c r="AX9" s="208">
        <f>IFERROR(Opv.kohd.[[#This Row],[Yhteensä 5]]/Opv.kohd.[[#This Row],[Yhteensä 4]],0)</f>
        <v>0</v>
      </c>
      <c r="AY9" s="208">
        <f>IFERROR(Opv.kohd.[[#This Row],[Ensikertaisella suoritepäätöksellä jaetut tavoitteelliset opiskelijavuodet yhteensä 5]]/Opv.kohd.[[#This Row],[Ensikertaisella suoritepäätöksellä jaetut tavoitteelliset opiskelijavuodet yhteensä 4]],0)</f>
        <v>0</v>
      </c>
      <c r="AZ9" s="207">
        <f>Opv.kohd.[[#This Row],[Yhteensä 7a]]-Opv.kohd.[[#This Row],[Työvoima-koulutus 7a]]</f>
        <v>0</v>
      </c>
      <c r="BA9" s="207">
        <f>IFERROR(VLOOKUP(Opv.kohd.[[#This Row],[Y-tunnus]],#REF!,COLUMN(#REF!),FALSE),0)</f>
        <v>0</v>
      </c>
      <c r="BB9" s="207">
        <f>IFERROR(VLOOKUP(Opv.kohd.[[#This Row],[Y-tunnus]],#REF!,COLUMN(#REF!),FALSE),0)</f>
        <v>0</v>
      </c>
      <c r="BC9" s="207">
        <f>Opv.kohd.[[#This Row],[Muu kuin työvoima-koulutus 7c]]-Opv.kohd.[[#This Row],[Muu kuin työvoima-koulutus 7a]]</f>
        <v>0</v>
      </c>
      <c r="BD9" s="207">
        <f>Opv.kohd.[[#This Row],[Työvoima-koulutus 7c]]-Opv.kohd.[[#This Row],[Työvoima-koulutus 7a]]</f>
        <v>0</v>
      </c>
      <c r="BE9" s="207">
        <f>Opv.kohd.[[#This Row],[Yhteensä 7c]]-Opv.kohd.[[#This Row],[Yhteensä 7a]]</f>
        <v>0</v>
      </c>
      <c r="BF9" s="207">
        <f>Opv.kohd.[[#This Row],[Yhteensä 7c]]-Opv.kohd.[[#This Row],[Työvoima-koulutus 7c]]</f>
        <v>0</v>
      </c>
      <c r="BG9" s="207">
        <f>IFERROR(VLOOKUP(Opv.kohd.[[#This Row],[Y-tunnus]],#REF!,COLUMN(#REF!),FALSE),0)</f>
        <v>0</v>
      </c>
      <c r="BH9" s="207">
        <f>IFERROR(VLOOKUP(Opv.kohd.[[#This Row],[Y-tunnus]],#REF!,COLUMN(#REF!),FALSE),0)</f>
        <v>0</v>
      </c>
      <c r="BI9" s="207">
        <f>IFERROR(VLOOKUP(Opv.kohd.[[#This Row],[Y-tunnus]],#REF!,COLUMN(#REF!),FALSE),0)</f>
        <v>0</v>
      </c>
      <c r="BJ9" s="207">
        <f>IFERROR(VLOOKUP(Opv.kohd.[[#This Row],[Y-tunnus]],#REF!,COLUMN(#REF!),FALSE),0)</f>
        <v>0</v>
      </c>
      <c r="BK9" s="207">
        <f>Opv.kohd.[[#This Row],[Muu kuin työvoima-koulutus 7d]]+Opv.kohd.[[#This Row],[Työvoima-koulutus 7d]]</f>
        <v>0</v>
      </c>
      <c r="BL9" s="207">
        <f>Opv.kohd.[[#This Row],[Muu kuin työvoima-koulutus 7c]]-Opv.kohd.[[#This Row],[Muu kuin työvoima-koulutus 7d]]</f>
        <v>0</v>
      </c>
      <c r="BM9" s="207">
        <f>Opv.kohd.[[#This Row],[Työvoima-koulutus 7c]]-Opv.kohd.[[#This Row],[Työvoima-koulutus 7d]]</f>
        <v>0</v>
      </c>
      <c r="BN9" s="207">
        <f>Opv.kohd.[[#This Row],[Yhteensä 7c]]-Opv.kohd.[[#This Row],[Yhteensä 7d]]</f>
        <v>0</v>
      </c>
      <c r="BO9" s="207">
        <f>Opv.kohd.[[#This Row],[Muu kuin työvoima-koulutus 7e]]-(Opv.kohd.[[#This Row],[Järjestämisluvan mukaiset 4]]+Opv.kohd.[[#This Row],[Kohdentamat-tomat 4]]+Opv.kohd.[[#This Row],[Maahan-muuttajien koulutus 4]]+Opv.kohd.[[#This Row],[Nuorisotyöt. väh. ja osaamistarp. vast., muu kuin työvoima-koulutus 4]])</f>
        <v>0</v>
      </c>
      <c r="BP9" s="207">
        <f>Opv.kohd.[[#This Row],[Työvoima-koulutus 7e]]-(Opv.kohd.[[#This Row],[Työvoima-koulutus 4]]+Opv.kohd.[[#This Row],[Nuorisotyöt. väh. ja osaamistarp. vast., työvoima-koulutus 4]])</f>
        <v>0</v>
      </c>
      <c r="BQ9" s="207">
        <f>Opv.kohd.[[#This Row],[Yhteensä 7e]]-Opv.kohd.[[#This Row],[Ensikertaisella suoritepäätöksellä jaetut tavoitteelliset opiskelijavuodet yhteensä 4]]</f>
        <v>0</v>
      </c>
      <c r="BR9" s="263">
        <v>1666</v>
      </c>
      <c r="BS9" s="263">
        <v>200</v>
      </c>
      <c r="BT9" s="263">
        <v>680</v>
      </c>
      <c r="BU9" s="263">
        <v>195</v>
      </c>
      <c r="BV9" s="263">
        <v>5</v>
      </c>
      <c r="BW9" s="263">
        <v>50</v>
      </c>
      <c r="BX9" s="263">
        <v>1130</v>
      </c>
      <c r="BY9" s="263">
        <v>2796</v>
      </c>
      <c r="BZ9" s="207">
        <f t="shared" si="2"/>
        <v>1666</v>
      </c>
      <c r="CA9" s="207">
        <f t="shared" si="3"/>
        <v>200</v>
      </c>
      <c r="CB9" s="207">
        <f t="shared" si="4"/>
        <v>680</v>
      </c>
      <c r="CC9" s="207">
        <f t="shared" si="5"/>
        <v>195</v>
      </c>
      <c r="CD9" s="207">
        <f t="shared" si="6"/>
        <v>5</v>
      </c>
      <c r="CE9" s="207">
        <f t="shared" si="7"/>
        <v>50</v>
      </c>
      <c r="CF9" s="207">
        <f t="shared" si="8"/>
        <v>1130</v>
      </c>
      <c r="CG9" s="207">
        <f t="shared" si="9"/>
        <v>2796</v>
      </c>
      <c r="CH9" s="207">
        <f>Opv.kohd.[[#This Row],[Tavoitteelliset opiskelijavuodet yhteensä 9]]-Opv.kohd.[[#This Row],[Työvoima-koulutus 9]]-Opv.kohd.[[#This Row],[Nuorisotyöt. väh. ja osaamistarp. vast., työvoima-koulutus 9]]-Opv.kohd.[[#This Row],[Muu kuin työvoima-koulutus 7e]]</f>
        <v>2066</v>
      </c>
      <c r="CI9" s="207">
        <f>(Opv.kohd.[[#This Row],[Työvoima-koulutus 9]]+Opv.kohd.[[#This Row],[Nuorisotyöt. väh. ja osaamistarp. vast., työvoima-koulutus 9]])-Opv.kohd.[[#This Row],[Työvoima-koulutus 7e]]</f>
        <v>730</v>
      </c>
      <c r="CJ9" s="207">
        <f>Opv.kohd.[[#This Row],[Tavoitteelliset opiskelijavuodet yhteensä 9]]-Opv.kohd.[[#This Row],[Yhteensä 7e]]</f>
        <v>2796</v>
      </c>
      <c r="CK9" s="207">
        <f>Opv.kohd.[[#This Row],[Järjestämisluvan mukaiset 4]]+Opv.kohd.[[#This Row],[Järjestämisluvan mukaiset 13]]</f>
        <v>0</v>
      </c>
      <c r="CL9" s="207">
        <f>Opv.kohd.[[#This Row],[Kohdentamat-tomat 4]]+Opv.kohd.[[#This Row],[Kohdentamat-tomat 13]]</f>
        <v>0</v>
      </c>
      <c r="CM9" s="207">
        <f>Opv.kohd.[[#This Row],[Työvoima-koulutus 4]]+Opv.kohd.[[#This Row],[Työvoima-koulutus 13]]</f>
        <v>0</v>
      </c>
      <c r="CN9" s="207">
        <f>Opv.kohd.[[#This Row],[Maahan-muuttajien koulutus 4]]+Opv.kohd.[[#This Row],[Maahan-muuttajien koulutus 13]]</f>
        <v>0</v>
      </c>
      <c r="CO9" s="207">
        <f>Opv.kohd.[[#This Row],[Nuorisotyöt. väh. ja osaamistarp. vast., muu kuin työvoima-koulutus 4]]+Opv.kohd.[[#This Row],[Nuorisotyöt. väh. ja osaamistarp. vast., muu kuin työvoima-koulutus 13]]</f>
        <v>0</v>
      </c>
      <c r="CP9" s="207">
        <f>Opv.kohd.[[#This Row],[Nuorisotyöt. väh. ja osaamistarp. vast., työvoima-koulutus 4]]+Opv.kohd.[[#This Row],[Nuorisotyöt. väh. ja osaamistarp. vast., työvoima-koulutus 13]]</f>
        <v>0</v>
      </c>
      <c r="CQ9" s="207">
        <f>Opv.kohd.[[#This Row],[Yhteensä 4]]+Opv.kohd.[[#This Row],[Yhteensä 13]]</f>
        <v>0</v>
      </c>
      <c r="CR9" s="207">
        <f>Opv.kohd.[[#This Row],[Ensikertaisella suoritepäätöksellä jaetut tavoitteelliset opiskelijavuodet yhteensä 4]]+Opv.kohd.[[#This Row],[Tavoitteelliset opiskelijavuodet yhteensä 13]]</f>
        <v>0</v>
      </c>
      <c r="CS9" s="120">
        <v>0</v>
      </c>
      <c r="CT9" s="120">
        <v>0</v>
      </c>
      <c r="CU9" s="120">
        <v>0</v>
      </c>
      <c r="CV9" s="120">
        <v>0</v>
      </c>
      <c r="CW9" s="120">
        <v>0</v>
      </c>
      <c r="CX9" s="120">
        <v>0</v>
      </c>
      <c r="CY9" s="120">
        <v>0</v>
      </c>
      <c r="CZ9" s="120">
        <v>0</v>
      </c>
      <c r="DA9" s="209">
        <f>IFERROR(Opv.kohd.[[#This Row],[Järjestämisluvan mukaiset 13]]/Opv.kohd.[[#This Row],[Järjestämisluvan mukaiset 12]],0)</f>
        <v>0</v>
      </c>
      <c r="DB9" s="209">
        <f>IFERROR(Opv.kohd.[[#This Row],[Kohdentamat-tomat 13]]/Opv.kohd.[[#This Row],[Kohdentamat-tomat 12]],0)</f>
        <v>0</v>
      </c>
      <c r="DC9" s="209">
        <f>IFERROR(Opv.kohd.[[#This Row],[Työvoima-koulutus 13]]/Opv.kohd.[[#This Row],[Työvoima-koulutus 12]],0)</f>
        <v>0</v>
      </c>
      <c r="DD9" s="209">
        <f>IFERROR(Opv.kohd.[[#This Row],[Maahan-muuttajien koulutus 13]]/Opv.kohd.[[#This Row],[Maahan-muuttajien koulutus 12]],0)</f>
        <v>0</v>
      </c>
      <c r="DE9" s="209">
        <f>IFERROR(Opv.kohd.[[#This Row],[Nuorisotyöt. väh. ja osaamistarp. vast., muu kuin työvoima-koulutus 13]]/Opv.kohd.[[#This Row],[Nuorisotyöt. väh. ja osaamistarp. vast., muu kuin työvoima-koulutus 12]],0)</f>
        <v>0</v>
      </c>
      <c r="DF9" s="209">
        <f>IFERROR(Opv.kohd.[[#This Row],[Nuorisotyöt. väh. ja osaamistarp. vast., työvoima-koulutus 13]]/Opv.kohd.[[#This Row],[Nuorisotyöt. väh. ja osaamistarp. vast., työvoima-koulutus 12]],0)</f>
        <v>0</v>
      </c>
      <c r="DG9" s="209">
        <f>IFERROR(Opv.kohd.[[#This Row],[Yhteensä 13]]/Opv.kohd.[[#This Row],[Yhteensä 12]],0)</f>
        <v>0</v>
      </c>
      <c r="DH9" s="209">
        <f>IFERROR(Opv.kohd.[[#This Row],[Tavoitteelliset opiskelijavuodet yhteensä 13]]/Opv.kohd.[[#This Row],[Tavoitteelliset opiskelijavuodet yhteensä 12]],0)</f>
        <v>0</v>
      </c>
      <c r="DI9" s="207">
        <f>Opv.kohd.[[#This Row],[Järjestämisluvan mukaiset 12]]-Opv.kohd.[[#This Row],[Järjestämisluvan mukaiset 9]]</f>
        <v>-1666</v>
      </c>
      <c r="DJ9" s="207">
        <f>Opv.kohd.[[#This Row],[Kohdentamat-tomat 12]]-Opv.kohd.[[#This Row],[Kohdentamat-tomat 9]]</f>
        <v>-200</v>
      </c>
      <c r="DK9" s="207">
        <f>Opv.kohd.[[#This Row],[Työvoima-koulutus 12]]-Opv.kohd.[[#This Row],[Työvoima-koulutus 9]]</f>
        <v>-680</v>
      </c>
      <c r="DL9" s="207">
        <f>Opv.kohd.[[#This Row],[Maahan-muuttajien koulutus 12]]-Opv.kohd.[[#This Row],[Maahan-muuttajien koulutus 9]]</f>
        <v>-195</v>
      </c>
      <c r="DM9" s="207">
        <f>Opv.kohd.[[#This Row],[Nuorisotyöt. väh. ja osaamistarp. vast., muu kuin työvoima-koulutus 12]]-Opv.kohd.[[#This Row],[Nuorisotyöt. väh. ja osaamistarp. vast., muu kuin työvoima-koulutus 9]]</f>
        <v>-5</v>
      </c>
      <c r="DN9" s="207">
        <f>Opv.kohd.[[#This Row],[Nuorisotyöt. väh. ja osaamistarp. vast., työvoima-koulutus 12]]-Opv.kohd.[[#This Row],[Nuorisotyöt. väh. ja osaamistarp. vast., työvoima-koulutus 9]]</f>
        <v>-50</v>
      </c>
      <c r="DO9" s="207">
        <f>Opv.kohd.[[#This Row],[Yhteensä 12]]-Opv.kohd.[[#This Row],[Yhteensä 9]]</f>
        <v>-1130</v>
      </c>
      <c r="DP9" s="207">
        <f>Opv.kohd.[[#This Row],[Tavoitteelliset opiskelijavuodet yhteensä 12]]-Opv.kohd.[[#This Row],[Tavoitteelliset opiskelijavuodet yhteensä 9]]</f>
        <v>-2796</v>
      </c>
      <c r="DQ9" s="209">
        <f>IFERROR(Opv.kohd.[[#This Row],[Järjestämisluvan mukaiset 15]]/Opv.kohd.[[#This Row],[Järjestämisluvan mukaiset 9]],0)</f>
        <v>-1</v>
      </c>
      <c r="DR9" s="209">
        <f t="shared" si="10"/>
        <v>0</v>
      </c>
      <c r="DS9" s="209">
        <f t="shared" si="11"/>
        <v>0</v>
      </c>
      <c r="DT9" s="209">
        <f t="shared" si="12"/>
        <v>0</v>
      </c>
      <c r="DU9" s="209">
        <f t="shared" si="13"/>
        <v>0</v>
      </c>
      <c r="DV9" s="209">
        <f t="shared" si="14"/>
        <v>0</v>
      </c>
      <c r="DW9" s="209">
        <f t="shared" si="15"/>
        <v>0</v>
      </c>
      <c r="DX9" s="209">
        <f t="shared" si="16"/>
        <v>0</v>
      </c>
    </row>
    <row r="10" spans="1:128" x14ac:dyDescent="0.25">
      <c r="A10" s="204" t="e">
        <f>IF(INDEX(#REF!,ROW(10:10)-1,1)=0,"",INDEX(#REF!,ROW(10:10)-1,1))</f>
        <v>#REF!</v>
      </c>
      <c r="B10" s="205" t="str">
        <f>IFERROR(VLOOKUP(Opv.kohd.[[#This Row],[Y-tunnus]],'0 Järjestäjätiedot'!$A:$H,2,FALSE),"")</f>
        <v/>
      </c>
      <c r="C10" s="204" t="str">
        <f>IFERROR(VLOOKUP(Opv.kohd.[[#This Row],[Y-tunnus]],'0 Järjestäjätiedot'!$A:$H,COLUMN('0 Järjestäjätiedot'!D:D),FALSE),"")</f>
        <v/>
      </c>
      <c r="D10" s="204" t="str">
        <f>IFERROR(VLOOKUP(Opv.kohd.[[#This Row],[Y-tunnus]],'0 Järjestäjätiedot'!$A:$H,COLUMN('0 Järjestäjätiedot'!H:H),FALSE),"")</f>
        <v/>
      </c>
      <c r="E10" s="204">
        <f>IFERROR(VLOOKUP(Opv.kohd.[[#This Row],[Y-tunnus]],#REF!,COLUMN(#REF!),FALSE),0)</f>
        <v>0</v>
      </c>
      <c r="F10" s="204">
        <f>IFERROR(VLOOKUP(Opv.kohd.[[#This Row],[Y-tunnus]],#REF!,COLUMN(#REF!),FALSE),0)</f>
        <v>0</v>
      </c>
      <c r="G10" s="204">
        <f>IFERROR(VLOOKUP(Opv.kohd.[[#This Row],[Y-tunnus]],#REF!,COLUMN(#REF!),FALSE),0)</f>
        <v>0</v>
      </c>
      <c r="H10" s="204">
        <f>IFERROR(VLOOKUP(Opv.kohd.[[#This Row],[Y-tunnus]],#REF!,COLUMN(#REF!),FALSE),0)</f>
        <v>0</v>
      </c>
      <c r="I10" s="204">
        <f>IFERROR(VLOOKUP(Opv.kohd.[[#This Row],[Y-tunnus]],#REF!,COLUMN(#REF!),FALSE),0)</f>
        <v>0</v>
      </c>
      <c r="J10" s="204">
        <f>IFERROR(VLOOKUP(Opv.kohd.[[#This Row],[Y-tunnus]],#REF!,COLUMN(#REF!),FALSE),0)</f>
        <v>0</v>
      </c>
      <c r="K1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0" s="204">
        <f>Opv.kohd.[[#This Row],[Järjestämisluvan mukaiset 1]]+Opv.kohd.[[#This Row],[Yhteensä  1]]</f>
        <v>0</v>
      </c>
      <c r="M10" s="204">
        <f>IFERROR(VLOOKUP(Opv.kohd.[[#This Row],[Y-tunnus]],#REF!,COLUMN(#REF!),FALSE),0)</f>
        <v>0</v>
      </c>
      <c r="N10" s="204">
        <f>IFERROR(VLOOKUP(Opv.kohd.[[#This Row],[Y-tunnus]],#REF!,COLUMN(#REF!),FALSE),0)</f>
        <v>0</v>
      </c>
      <c r="O10" s="204">
        <f>IFERROR(VLOOKUP(Opv.kohd.[[#This Row],[Y-tunnus]],#REF!,COLUMN(#REF!),FALSE)+VLOOKUP(Opv.kohd.[[#This Row],[Y-tunnus]],#REF!,COLUMN(#REF!),FALSE),0)</f>
        <v>0</v>
      </c>
      <c r="P10" s="204">
        <f>Opv.kohd.[[#This Row],[Talousarvion perusteella kohdentamattomat]]+Opv.kohd.[[#This Row],[Talousarvion perusteella työvoimakoulutus 1]]+Opv.kohd.[[#This Row],[Lisätalousarvioiden perusteella]]</f>
        <v>0</v>
      </c>
      <c r="Q10" s="204">
        <f>IFERROR(VLOOKUP(Opv.kohd.[[#This Row],[Y-tunnus]],#REF!,COLUMN(#REF!),FALSE),0)</f>
        <v>0</v>
      </c>
      <c r="R10" s="210">
        <f>IFERROR(VLOOKUP(Opv.kohd.[[#This Row],[Y-tunnus]],#REF!,COLUMN(#REF!),FALSE)-(Opv.kohd.[[#This Row],[Kohdentamaton työvoima-koulutus 2]]+Opv.kohd.[[#This Row],[Maahan-muuttajien koulutus 2]]+Opv.kohd.[[#This Row],[Lisätalousarvioiden perusteella jaetut 2]]),0)</f>
        <v>0</v>
      </c>
      <c r="S10" s="210">
        <f>IFERROR(VLOOKUP(Opv.kohd.[[#This Row],[Y-tunnus]],#REF!,COLUMN(#REF!),FALSE)+VLOOKUP(Opv.kohd.[[#This Row],[Y-tunnus]],#REF!,COLUMN(#REF!),FALSE),0)</f>
        <v>0</v>
      </c>
      <c r="T10" s="210">
        <f>IFERROR(VLOOKUP(Opv.kohd.[[#This Row],[Y-tunnus]],#REF!,COLUMN(#REF!),FALSE)+VLOOKUP(Opv.kohd.[[#This Row],[Y-tunnus]],#REF!,COLUMN(#REF!),FALSE),0)</f>
        <v>0</v>
      </c>
      <c r="U1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0" s="210">
        <f>Opv.kohd.[[#This Row],[Kohdentamat-tomat 2]]+Opv.kohd.[[#This Row],[Kohdentamaton työvoima-koulutus 2]]+Opv.kohd.[[#This Row],[Maahan-muuttajien koulutus 2]]+Opv.kohd.[[#This Row],[Lisätalousarvioiden perusteella jaetut 2]]</f>
        <v>0</v>
      </c>
      <c r="W10" s="210">
        <f>Opv.kohd.[[#This Row],[Kohdentamat-tomat 2]]-(Opv.kohd.[[#This Row],[Järjestämisluvan mukaiset 1]]+Opv.kohd.[[#This Row],[Kohdentamat-tomat 1]]+Opv.kohd.[[#This Row],[Nuorisotyöt. väh. ja osaamistarp. vast., muu kuin työvoima-koulutus 1]]+Opv.kohd.[[#This Row],[Talousarvion perusteella kohdentamattomat]])</f>
        <v>0</v>
      </c>
      <c r="X10" s="210">
        <f>Opv.kohd.[[#This Row],[Kohdentamaton työvoima-koulutus 2]]-(Opv.kohd.[[#This Row],[Työvoima-koulutus 1]]+Opv.kohd.[[#This Row],[Nuorisotyöt. väh. ja osaamistarp. vast., työvoima-koulutus 1]]+Opv.kohd.[[#This Row],[Talousarvion perusteella työvoimakoulutus 1]])</f>
        <v>0</v>
      </c>
      <c r="Y10" s="210">
        <f>Opv.kohd.[[#This Row],[Maahan-muuttajien koulutus 2]]-Opv.kohd.[[#This Row],[Maahan-muuttajien koulutus 1]]</f>
        <v>0</v>
      </c>
      <c r="Z10" s="210">
        <f>Opv.kohd.[[#This Row],[Lisätalousarvioiden perusteella jaetut 2]]-Opv.kohd.[[#This Row],[Lisätalousarvioiden perusteella]]</f>
        <v>0</v>
      </c>
      <c r="AA10" s="210">
        <f>Opv.kohd.[[#This Row],[Toteutuneet opiskelijavuodet yhteensä 2]]-Opv.kohd.[[#This Row],[Vuoden 2018 tavoitteelliset opiskelijavuodet yhteensä 1]]</f>
        <v>0</v>
      </c>
      <c r="AB10" s="207">
        <f>IFERROR(VLOOKUP(Opv.kohd.[[#This Row],[Y-tunnus]],#REF!,3,FALSE),0)</f>
        <v>0</v>
      </c>
      <c r="AC10" s="207">
        <f>IFERROR(VLOOKUP(Opv.kohd.[[#This Row],[Y-tunnus]],#REF!,4,FALSE),0)</f>
        <v>0</v>
      </c>
      <c r="AD10" s="207">
        <f>IFERROR(VLOOKUP(Opv.kohd.[[#This Row],[Y-tunnus]],#REF!,5,FALSE),0)</f>
        <v>0</v>
      </c>
      <c r="AE10" s="207">
        <f>IFERROR(VLOOKUP(Opv.kohd.[[#This Row],[Y-tunnus]],#REF!,6,FALSE),0)</f>
        <v>0</v>
      </c>
      <c r="AF10" s="207">
        <f>IFERROR(VLOOKUP(Opv.kohd.[[#This Row],[Y-tunnus]],#REF!,7,FALSE),0)</f>
        <v>0</v>
      </c>
      <c r="AG10" s="207">
        <f>IFERROR(VLOOKUP(Opv.kohd.[[#This Row],[Y-tunnus]],#REF!,8,FALSE),0)</f>
        <v>0</v>
      </c>
      <c r="AH10" s="207">
        <f>IFERROR(VLOOKUP(Opv.kohd.[[#This Row],[Y-tunnus]],#REF!,9,FALSE),0)</f>
        <v>0</v>
      </c>
      <c r="AI10" s="207">
        <f>IFERROR(VLOOKUP(Opv.kohd.[[#This Row],[Y-tunnus]],#REF!,10,FALSE),0)</f>
        <v>0</v>
      </c>
      <c r="AJ10" s="204">
        <f>Opv.kohd.[[#This Row],[Järjestämisluvan mukaiset 4]]-Opv.kohd.[[#This Row],[Järjestämisluvan mukaiset 1]]</f>
        <v>0</v>
      </c>
      <c r="AK10" s="204">
        <f>Opv.kohd.[[#This Row],[Kohdentamat-tomat 4]]-Opv.kohd.[[#This Row],[Kohdentamat-tomat 1]]</f>
        <v>0</v>
      </c>
      <c r="AL10" s="204">
        <f>Opv.kohd.[[#This Row],[Työvoima-koulutus 4]]-Opv.kohd.[[#This Row],[Työvoima-koulutus 1]]</f>
        <v>0</v>
      </c>
      <c r="AM10" s="204">
        <f>Opv.kohd.[[#This Row],[Maahan-muuttajien koulutus 4]]-Opv.kohd.[[#This Row],[Maahan-muuttajien koulutus 1]]</f>
        <v>0</v>
      </c>
      <c r="AN10" s="204">
        <f>Opv.kohd.[[#This Row],[Nuorisotyöt. väh. ja osaamistarp. vast., muu kuin työvoima-koulutus 4]]-Opv.kohd.[[#This Row],[Nuorisotyöt. väh. ja osaamistarp. vast., muu kuin työvoima-koulutus 1]]</f>
        <v>0</v>
      </c>
      <c r="AO10" s="204">
        <f>Opv.kohd.[[#This Row],[Nuorisotyöt. väh. ja osaamistarp. vast., työvoima-koulutus 4]]-Opv.kohd.[[#This Row],[Nuorisotyöt. väh. ja osaamistarp. vast., työvoima-koulutus 1]]</f>
        <v>0</v>
      </c>
      <c r="AP10" s="204">
        <f>Opv.kohd.[[#This Row],[Yhteensä 4]]-Opv.kohd.[[#This Row],[Yhteensä  1]]</f>
        <v>0</v>
      </c>
      <c r="AQ10" s="204">
        <f>Opv.kohd.[[#This Row],[Ensikertaisella suoritepäätöksellä jaetut tavoitteelliset opiskelijavuodet yhteensä 4]]-Opv.kohd.[[#This Row],[Ensikertaisella suoritepäätöksellä jaetut tavoitteelliset opiskelijavuodet yhteensä 1]]</f>
        <v>0</v>
      </c>
      <c r="AR10" s="208">
        <f>IFERROR(Opv.kohd.[[#This Row],[Järjestämisluvan mukaiset 5]]/Opv.kohd.[[#This Row],[Järjestämisluvan mukaiset 4]],0)</f>
        <v>0</v>
      </c>
      <c r="AS10" s="208">
        <f>IFERROR(Opv.kohd.[[#This Row],[Kohdentamat-tomat 5]]/Opv.kohd.[[#This Row],[Kohdentamat-tomat 4]],0)</f>
        <v>0</v>
      </c>
      <c r="AT10" s="208">
        <f>IFERROR(Opv.kohd.[[#This Row],[Työvoima-koulutus 5]]/Opv.kohd.[[#This Row],[Työvoima-koulutus 4]],0)</f>
        <v>0</v>
      </c>
      <c r="AU10" s="208">
        <f>IFERROR(Opv.kohd.[[#This Row],[Maahan-muuttajien koulutus 5]]/Opv.kohd.[[#This Row],[Maahan-muuttajien koulutus 4]],0)</f>
        <v>0</v>
      </c>
      <c r="AV10" s="208">
        <f>IFERROR(Opv.kohd.[[#This Row],[Nuorisotyöt. väh. ja osaamistarp. vast., muu kuin työvoima-koulutus 5]]/Opv.kohd.[[#This Row],[Nuorisotyöt. väh. ja osaamistarp. vast., muu kuin työvoima-koulutus 4]],0)</f>
        <v>0</v>
      </c>
      <c r="AW10" s="208">
        <f>IFERROR(Opv.kohd.[[#This Row],[Nuorisotyöt. väh. ja osaamistarp. vast., työvoima-koulutus 5]]/Opv.kohd.[[#This Row],[Nuorisotyöt. väh. ja osaamistarp. vast., työvoima-koulutus 4]],0)</f>
        <v>0</v>
      </c>
      <c r="AX10" s="208">
        <f>IFERROR(Opv.kohd.[[#This Row],[Yhteensä 5]]/Opv.kohd.[[#This Row],[Yhteensä 4]],0)</f>
        <v>0</v>
      </c>
      <c r="AY10" s="208">
        <f>IFERROR(Opv.kohd.[[#This Row],[Ensikertaisella suoritepäätöksellä jaetut tavoitteelliset opiskelijavuodet yhteensä 5]]/Opv.kohd.[[#This Row],[Ensikertaisella suoritepäätöksellä jaetut tavoitteelliset opiskelijavuodet yhteensä 4]],0)</f>
        <v>0</v>
      </c>
      <c r="AZ10" s="207">
        <f>Opv.kohd.[[#This Row],[Yhteensä 7a]]-Opv.kohd.[[#This Row],[Työvoima-koulutus 7a]]</f>
        <v>0</v>
      </c>
      <c r="BA10" s="207">
        <f>IFERROR(VLOOKUP(Opv.kohd.[[#This Row],[Y-tunnus]],#REF!,COLUMN(#REF!),FALSE),0)</f>
        <v>0</v>
      </c>
      <c r="BB10" s="207">
        <f>IFERROR(VLOOKUP(Opv.kohd.[[#This Row],[Y-tunnus]],#REF!,COLUMN(#REF!),FALSE),0)</f>
        <v>0</v>
      </c>
      <c r="BC10" s="207">
        <f>Opv.kohd.[[#This Row],[Muu kuin työvoima-koulutus 7c]]-Opv.kohd.[[#This Row],[Muu kuin työvoima-koulutus 7a]]</f>
        <v>0</v>
      </c>
      <c r="BD10" s="207">
        <f>Opv.kohd.[[#This Row],[Työvoima-koulutus 7c]]-Opv.kohd.[[#This Row],[Työvoima-koulutus 7a]]</f>
        <v>0</v>
      </c>
      <c r="BE10" s="207">
        <f>Opv.kohd.[[#This Row],[Yhteensä 7c]]-Opv.kohd.[[#This Row],[Yhteensä 7a]]</f>
        <v>0</v>
      </c>
      <c r="BF10" s="207">
        <f>Opv.kohd.[[#This Row],[Yhteensä 7c]]-Opv.kohd.[[#This Row],[Työvoima-koulutus 7c]]</f>
        <v>0</v>
      </c>
      <c r="BG10" s="207">
        <f>IFERROR(VLOOKUP(Opv.kohd.[[#This Row],[Y-tunnus]],#REF!,COLUMN(#REF!),FALSE),0)</f>
        <v>0</v>
      </c>
      <c r="BH10" s="207">
        <f>IFERROR(VLOOKUP(Opv.kohd.[[#This Row],[Y-tunnus]],#REF!,COLUMN(#REF!),FALSE),0)</f>
        <v>0</v>
      </c>
      <c r="BI10" s="207">
        <f>IFERROR(VLOOKUP(Opv.kohd.[[#This Row],[Y-tunnus]],#REF!,COLUMN(#REF!),FALSE),0)</f>
        <v>0</v>
      </c>
      <c r="BJ10" s="207">
        <f>IFERROR(VLOOKUP(Opv.kohd.[[#This Row],[Y-tunnus]],#REF!,COLUMN(#REF!),FALSE),0)</f>
        <v>0</v>
      </c>
      <c r="BK10" s="207">
        <f>Opv.kohd.[[#This Row],[Muu kuin työvoima-koulutus 7d]]+Opv.kohd.[[#This Row],[Työvoima-koulutus 7d]]</f>
        <v>0</v>
      </c>
      <c r="BL10" s="207">
        <f>Opv.kohd.[[#This Row],[Muu kuin työvoima-koulutus 7c]]-Opv.kohd.[[#This Row],[Muu kuin työvoima-koulutus 7d]]</f>
        <v>0</v>
      </c>
      <c r="BM10" s="207">
        <f>Opv.kohd.[[#This Row],[Työvoima-koulutus 7c]]-Opv.kohd.[[#This Row],[Työvoima-koulutus 7d]]</f>
        <v>0</v>
      </c>
      <c r="BN10" s="207">
        <f>Opv.kohd.[[#This Row],[Yhteensä 7c]]-Opv.kohd.[[#This Row],[Yhteensä 7d]]</f>
        <v>0</v>
      </c>
      <c r="BO10" s="207">
        <f>Opv.kohd.[[#This Row],[Muu kuin työvoima-koulutus 7e]]-(Opv.kohd.[[#This Row],[Järjestämisluvan mukaiset 4]]+Opv.kohd.[[#This Row],[Kohdentamat-tomat 4]]+Opv.kohd.[[#This Row],[Maahan-muuttajien koulutus 4]]+Opv.kohd.[[#This Row],[Nuorisotyöt. väh. ja osaamistarp. vast., muu kuin työvoima-koulutus 4]])</f>
        <v>0</v>
      </c>
      <c r="BP10" s="207">
        <f>Opv.kohd.[[#This Row],[Työvoima-koulutus 7e]]-(Opv.kohd.[[#This Row],[Työvoima-koulutus 4]]+Opv.kohd.[[#This Row],[Nuorisotyöt. väh. ja osaamistarp. vast., työvoima-koulutus 4]])</f>
        <v>0</v>
      </c>
      <c r="BQ10" s="207">
        <f>Opv.kohd.[[#This Row],[Yhteensä 7e]]-Opv.kohd.[[#This Row],[Ensikertaisella suoritepäätöksellä jaetut tavoitteelliset opiskelijavuodet yhteensä 4]]</f>
        <v>0</v>
      </c>
      <c r="BR10" s="263">
        <v>818</v>
      </c>
      <c r="BS10" s="263">
        <v>250</v>
      </c>
      <c r="BT10" s="263">
        <v>0</v>
      </c>
      <c r="BU10" s="263">
        <v>182</v>
      </c>
      <c r="BV10" s="263">
        <v>60</v>
      </c>
      <c r="BW10" s="263">
        <v>0</v>
      </c>
      <c r="BX10" s="263">
        <v>492</v>
      </c>
      <c r="BY10" s="263">
        <v>1310</v>
      </c>
      <c r="BZ10" s="207">
        <f t="shared" si="2"/>
        <v>818</v>
      </c>
      <c r="CA10" s="207">
        <f t="shared" si="3"/>
        <v>250</v>
      </c>
      <c r="CB10" s="207">
        <f t="shared" si="4"/>
        <v>0</v>
      </c>
      <c r="CC10" s="207">
        <f t="shared" si="5"/>
        <v>182</v>
      </c>
      <c r="CD10" s="207">
        <f t="shared" si="6"/>
        <v>60</v>
      </c>
      <c r="CE10" s="207">
        <f t="shared" si="7"/>
        <v>0</v>
      </c>
      <c r="CF10" s="207">
        <f t="shared" si="8"/>
        <v>492</v>
      </c>
      <c r="CG10" s="207">
        <f t="shared" si="9"/>
        <v>1310</v>
      </c>
      <c r="CH10" s="207">
        <f>Opv.kohd.[[#This Row],[Tavoitteelliset opiskelijavuodet yhteensä 9]]-Opv.kohd.[[#This Row],[Työvoima-koulutus 9]]-Opv.kohd.[[#This Row],[Nuorisotyöt. väh. ja osaamistarp. vast., työvoima-koulutus 9]]-Opv.kohd.[[#This Row],[Muu kuin työvoima-koulutus 7e]]</f>
        <v>1310</v>
      </c>
      <c r="CI10" s="207">
        <f>(Opv.kohd.[[#This Row],[Työvoima-koulutus 9]]+Opv.kohd.[[#This Row],[Nuorisotyöt. väh. ja osaamistarp. vast., työvoima-koulutus 9]])-Opv.kohd.[[#This Row],[Työvoima-koulutus 7e]]</f>
        <v>0</v>
      </c>
      <c r="CJ10" s="207">
        <f>Opv.kohd.[[#This Row],[Tavoitteelliset opiskelijavuodet yhteensä 9]]-Opv.kohd.[[#This Row],[Yhteensä 7e]]</f>
        <v>1310</v>
      </c>
      <c r="CK10" s="207">
        <f>Opv.kohd.[[#This Row],[Järjestämisluvan mukaiset 4]]+Opv.kohd.[[#This Row],[Järjestämisluvan mukaiset 13]]</f>
        <v>0</v>
      </c>
      <c r="CL10" s="207">
        <f>Opv.kohd.[[#This Row],[Kohdentamat-tomat 4]]+Opv.kohd.[[#This Row],[Kohdentamat-tomat 13]]</f>
        <v>0</v>
      </c>
      <c r="CM10" s="207">
        <f>Opv.kohd.[[#This Row],[Työvoima-koulutus 4]]+Opv.kohd.[[#This Row],[Työvoima-koulutus 13]]</f>
        <v>0</v>
      </c>
      <c r="CN10" s="207">
        <f>Opv.kohd.[[#This Row],[Maahan-muuttajien koulutus 4]]+Opv.kohd.[[#This Row],[Maahan-muuttajien koulutus 13]]</f>
        <v>0</v>
      </c>
      <c r="CO10" s="207">
        <f>Opv.kohd.[[#This Row],[Nuorisotyöt. väh. ja osaamistarp. vast., muu kuin työvoima-koulutus 4]]+Opv.kohd.[[#This Row],[Nuorisotyöt. väh. ja osaamistarp. vast., muu kuin työvoima-koulutus 13]]</f>
        <v>0</v>
      </c>
      <c r="CP10" s="207">
        <f>Opv.kohd.[[#This Row],[Nuorisotyöt. väh. ja osaamistarp. vast., työvoima-koulutus 4]]+Opv.kohd.[[#This Row],[Nuorisotyöt. väh. ja osaamistarp. vast., työvoima-koulutus 13]]</f>
        <v>0</v>
      </c>
      <c r="CQ10" s="207">
        <f>Opv.kohd.[[#This Row],[Yhteensä 4]]+Opv.kohd.[[#This Row],[Yhteensä 13]]</f>
        <v>0</v>
      </c>
      <c r="CR10" s="207">
        <f>Opv.kohd.[[#This Row],[Ensikertaisella suoritepäätöksellä jaetut tavoitteelliset opiskelijavuodet yhteensä 4]]+Opv.kohd.[[#This Row],[Tavoitteelliset opiskelijavuodet yhteensä 13]]</f>
        <v>0</v>
      </c>
      <c r="CS10" s="120">
        <v>0</v>
      </c>
      <c r="CT10" s="120">
        <v>0</v>
      </c>
      <c r="CU10" s="120">
        <v>0</v>
      </c>
      <c r="CV10" s="120">
        <v>0</v>
      </c>
      <c r="CW10" s="120">
        <v>0</v>
      </c>
      <c r="CX10" s="120">
        <v>0</v>
      </c>
      <c r="CY10" s="120">
        <v>0</v>
      </c>
      <c r="CZ10" s="120">
        <v>0</v>
      </c>
      <c r="DA10" s="209">
        <f>IFERROR(Opv.kohd.[[#This Row],[Järjestämisluvan mukaiset 13]]/Opv.kohd.[[#This Row],[Järjestämisluvan mukaiset 12]],0)</f>
        <v>0</v>
      </c>
      <c r="DB10" s="209">
        <f>IFERROR(Opv.kohd.[[#This Row],[Kohdentamat-tomat 13]]/Opv.kohd.[[#This Row],[Kohdentamat-tomat 12]],0)</f>
        <v>0</v>
      </c>
      <c r="DC10" s="209">
        <f>IFERROR(Opv.kohd.[[#This Row],[Työvoima-koulutus 13]]/Opv.kohd.[[#This Row],[Työvoima-koulutus 12]],0)</f>
        <v>0</v>
      </c>
      <c r="DD10" s="209">
        <f>IFERROR(Opv.kohd.[[#This Row],[Maahan-muuttajien koulutus 13]]/Opv.kohd.[[#This Row],[Maahan-muuttajien koulutus 12]],0)</f>
        <v>0</v>
      </c>
      <c r="DE10" s="209">
        <f>IFERROR(Opv.kohd.[[#This Row],[Nuorisotyöt. väh. ja osaamistarp. vast., muu kuin työvoima-koulutus 13]]/Opv.kohd.[[#This Row],[Nuorisotyöt. väh. ja osaamistarp. vast., muu kuin työvoima-koulutus 12]],0)</f>
        <v>0</v>
      </c>
      <c r="DF10" s="209">
        <f>IFERROR(Opv.kohd.[[#This Row],[Nuorisotyöt. väh. ja osaamistarp. vast., työvoima-koulutus 13]]/Opv.kohd.[[#This Row],[Nuorisotyöt. väh. ja osaamistarp. vast., työvoima-koulutus 12]],0)</f>
        <v>0</v>
      </c>
      <c r="DG10" s="209">
        <f>IFERROR(Opv.kohd.[[#This Row],[Yhteensä 13]]/Opv.kohd.[[#This Row],[Yhteensä 12]],0)</f>
        <v>0</v>
      </c>
      <c r="DH10" s="209">
        <f>IFERROR(Opv.kohd.[[#This Row],[Tavoitteelliset opiskelijavuodet yhteensä 13]]/Opv.kohd.[[#This Row],[Tavoitteelliset opiskelijavuodet yhteensä 12]],0)</f>
        <v>0</v>
      </c>
      <c r="DI10" s="207">
        <f>Opv.kohd.[[#This Row],[Järjestämisluvan mukaiset 12]]-Opv.kohd.[[#This Row],[Järjestämisluvan mukaiset 9]]</f>
        <v>-818</v>
      </c>
      <c r="DJ10" s="207">
        <f>Opv.kohd.[[#This Row],[Kohdentamat-tomat 12]]-Opv.kohd.[[#This Row],[Kohdentamat-tomat 9]]</f>
        <v>-250</v>
      </c>
      <c r="DK10" s="207">
        <f>Opv.kohd.[[#This Row],[Työvoima-koulutus 12]]-Opv.kohd.[[#This Row],[Työvoima-koulutus 9]]</f>
        <v>0</v>
      </c>
      <c r="DL10" s="207">
        <f>Opv.kohd.[[#This Row],[Maahan-muuttajien koulutus 12]]-Opv.kohd.[[#This Row],[Maahan-muuttajien koulutus 9]]</f>
        <v>-182</v>
      </c>
      <c r="DM10" s="207">
        <f>Opv.kohd.[[#This Row],[Nuorisotyöt. väh. ja osaamistarp. vast., muu kuin työvoima-koulutus 12]]-Opv.kohd.[[#This Row],[Nuorisotyöt. väh. ja osaamistarp. vast., muu kuin työvoima-koulutus 9]]</f>
        <v>-60</v>
      </c>
      <c r="DN10" s="207">
        <f>Opv.kohd.[[#This Row],[Nuorisotyöt. väh. ja osaamistarp. vast., työvoima-koulutus 12]]-Opv.kohd.[[#This Row],[Nuorisotyöt. väh. ja osaamistarp. vast., työvoima-koulutus 9]]</f>
        <v>0</v>
      </c>
      <c r="DO10" s="207">
        <f>Opv.kohd.[[#This Row],[Yhteensä 12]]-Opv.kohd.[[#This Row],[Yhteensä 9]]</f>
        <v>-492</v>
      </c>
      <c r="DP10" s="207">
        <f>Opv.kohd.[[#This Row],[Tavoitteelliset opiskelijavuodet yhteensä 12]]-Opv.kohd.[[#This Row],[Tavoitteelliset opiskelijavuodet yhteensä 9]]</f>
        <v>-1310</v>
      </c>
      <c r="DQ10" s="209">
        <f>IFERROR(Opv.kohd.[[#This Row],[Järjestämisluvan mukaiset 15]]/Opv.kohd.[[#This Row],[Järjestämisluvan mukaiset 9]],0)</f>
        <v>-1</v>
      </c>
      <c r="DR10" s="209">
        <f t="shared" si="10"/>
        <v>0</v>
      </c>
      <c r="DS10" s="209">
        <f t="shared" si="11"/>
        <v>0</v>
      </c>
      <c r="DT10" s="209">
        <f t="shared" si="12"/>
        <v>0</v>
      </c>
      <c r="DU10" s="209">
        <f t="shared" si="13"/>
        <v>0</v>
      </c>
      <c r="DV10" s="209">
        <f t="shared" si="14"/>
        <v>0</v>
      </c>
      <c r="DW10" s="209">
        <f t="shared" si="15"/>
        <v>0</v>
      </c>
      <c r="DX10" s="209">
        <f t="shared" si="16"/>
        <v>0</v>
      </c>
    </row>
    <row r="11" spans="1:128" x14ac:dyDescent="0.25">
      <c r="A11" s="204" t="e">
        <f>IF(INDEX(#REF!,ROW(11:11)-1,1)=0,"",INDEX(#REF!,ROW(11:11)-1,1))</f>
        <v>#REF!</v>
      </c>
      <c r="B11" s="205" t="str">
        <f>IFERROR(VLOOKUP(Opv.kohd.[[#This Row],[Y-tunnus]],'0 Järjestäjätiedot'!$A:$H,2,FALSE),"")</f>
        <v/>
      </c>
      <c r="C11" s="204" t="str">
        <f>IFERROR(VLOOKUP(Opv.kohd.[[#This Row],[Y-tunnus]],'0 Järjestäjätiedot'!$A:$H,COLUMN('0 Järjestäjätiedot'!D:D),FALSE),"")</f>
        <v/>
      </c>
      <c r="D11" s="204" t="str">
        <f>IFERROR(VLOOKUP(Opv.kohd.[[#This Row],[Y-tunnus]],'0 Järjestäjätiedot'!$A:$H,COLUMN('0 Järjestäjätiedot'!H:H),FALSE),"")</f>
        <v/>
      </c>
      <c r="E11" s="204">
        <f>IFERROR(VLOOKUP(Opv.kohd.[[#This Row],[Y-tunnus]],#REF!,COLUMN(#REF!),FALSE),0)</f>
        <v>0</v>
      </c>
      <c r="F11" s="204">
        <f>IFERROR(VLOOKUP(Opv.kohd.[[#This Row],[Y-tunnus]],#REF!,COLUMN(#REF!),FALSE),0)</f>
        <v>0</v>
      </c>
      <c r="G11" s="204">
        <f>IFERROR(VLOOKUP(Opv.kohd.[[#This Row],[Y-tunnus]],#REF!,COLUMN(#REF!),FALSE),0)</f>
        <v>0</v>
      </c>
      <c r="H11" s="204">
        <f>IFERROR(VLOOKUP(Opv.kohd.[[#This Row],[Y-tunnus]],#REF!,COLUMN(#REF!),FALSE),0)</f>
        <v>0</v>
      </c>
      <c r="I11" s="204">
        <f>IFERROR(VLOOKUP(Opv.kohd.[[#This Row],[Y-tunnus]],#REF!,COLUMN(#REF!),FALSE),0)</f>
        <v>0</v>
      </c>
      <c r="J11" s="204">
        <f>IFERROR(VLOOKUP(Opv.kohd.[[#This Row],[Y-tunnus]],#REF!,COLUMN(#REF!),FALSE),0)</f>
        <v>0</v>
      </c>
      <c r="K1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1" s="204">
        <f>Opv.kohd.[[#This Row],[Järjestämisluvan mukaiset 1]]+Opv.kohd.[[#This Row],[Yhteensä  1]]</f>
        <v>0</v>
      </c>
      <c r="M11" s="204">
        <f>IFERROR(VLOOKUP(Opv.kohd.[[#This Row],[Y-tunnus]],#REF!,COLUMN(#REF!),FALSE),0)</f>
        <v>0</v>
      </c>
      <c r="N11" s="204">
        <f>IFERROR(VLOOKUP(Opv.kohd.[[#This Row],[Y-tunnus]],#REF!,COLUMN(#REF!),FALSE),0)</f>
        <v>0</v>
      </c>
      <c r="O11" s="204">
        <f>IFERROR(VLOOKUP(Opv.kohd.[[#This Row],[Y-tunnus]],#REF!,COLUMN(#REF!),FALSE)+VLOOKUP(Opv.kohd.[[#This Row],[Y-tunnus]],#REF!,COLUMN(#REF!),FALSE),0)</f>
        <v>0</v>
      </c>
      <c r="P11" s="204">
        <f>Opv.kohd.[[#This Row],[Talousarvion perusteella kohdentamattomat]]+Opv.kohd.[[#This Row],[Talousarvion perusteella työvoimakoulutus 1]]+Opv.kohd.[[#This Row],[Lisätalousarvioiden perusteella]]</f>
        <v>0</v>
      </c>
      <c r="Q11" s="204">
        <f>IFERROR(VLOOKUP(Opv.kohd.[[#This Row],[Y-tunnus]],#REF!,COLUMN(#REF!),FALSE),0)</f>
        <v>0</v>
      </c>
      <c r="R11" s="210">
        <f>IFERROR(VLOOKUP(Opv.kohd.[[#This Row],[Y-tunnus]],#REF!,COLUMN(#REF!),FALSE)-(Opv.kohd.[[#This Row],[Kohdentamaton työvoima-koulutus 2]]+Opv.kohd.[[#This Row],[Maahan-muuttajien koulutus 2]]+Opv.kohd.[[#This Row],[Lisätalousarvioiden perusteella jaetut 2]]),0)</f>
        <v>0</v>
      </c>
      <c r="S11" s="210">
        <f>IFERROR(VLOOKUP(Opv.kohd.[[#This Row],[Y-tunnus]],#REF!,COLUMN(#REF!),FALSE)+VLOOKUP(Opv.kohd.[[#This Row],[Y-tunnus]],#REF!,COLUMN(#REF!),FALSE),0)</f>
        <v>0</v>
      </c>
      <c r="T11" s="210">
        <f>IFERROR(VLOOKUP(Opv.kohd.[[#This Row],[Y-tunnus]],#REF!,COLUMN(#REF!),FALSE)+VLOOKUP(Opv.kohd.[[#This Row],[Y-tunnus]],#REF!,COLUMN(#REF!),FALSE),0)</f>
        <v>0</v>
      </c>
      <c r="U1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1" s="210">
        <f>Opv.kohd.[[#This Row],[Kohdentamat-tomat 2]]+Opv.kohd.[[#This Row],[Kohdentamaton työvoima-koulutus 2]]+Opv.kohd.[[#This Row],[Maahan-muuttajien koulutus 2]]+Opv.kohd.[[#This Row],[Lisätalousarvioiden perusteella jaetut 2]]</f>
        <v>0</v>
      </c>
      <c r="W11" s="210">
        <f>Opv.kohd.[[#This Row],[Kohdentamat-tomat 2]]-(Opv.kohd.[[#This Row],[Järjestämisluvan mukaiset 1]]+Opv.kohd.[[#This Row],[Kohdentamat-tomat 1]]+Opv.kohd.[[#This Row],[Nuorisotyöt. väh. ja osaamistarp. vast., muu kuin työvoima-koulutus 1]]+Opv.kohd.[[#This Row],[Talousarvion perusteella kohdentamattomat]])</f>
        <v>0</v>
      </c>
      <c r="X11" s="210">
        <f>Opv.kohd.[[#This Row],[Kohdentamaton työvoima-koulutus 2]]-(Opv.kohd.[[#This Row],[Työvoima-koulutus 1]]+Opv.kohd.[[#This Row],[Nuorisotyöt. väh. ja osaamistarp. vast., työvoima-koulutus 1]]+Opv.kohd.[[#This Row],[Talousarvion perusteella työvoimakoulutus 1]])</f>
        <v>0</v>
      </c>
      <c r="Y11" s="210">
        <f>Opv.kohd.[[#This Row],[Maahan-muuttajien koulutus 2]]-Opv.kohd.[[#This Row],[Maahan-muuttajien koulutus 1]]</f>
        <v>0</v>
      </c>
      <c r="Z11" s="210">
        <f>Opv.kohd.[[#This Row],[Lisätalousarvioiden perusteella jaetut 2]]-Opv.kohd.[[#This Row],[Lisätalousarvioiden perusteella]]</f>
        <v>0</v>
      </c>
      <c r="AA11" s="210">
        <f>Opv.kohd.[[#This Row],[Toteutuneet opiskelijavuodet yhteensä 2]]-Opv.kohd.[[#This Row],[Vuoden 2018 tavoitteelliset opiskelijavuodet yhteensä 1]]</f>
        <v>0</v>
      </c>
      <c r="AB11" s="207">
        <f>IFERROR(VLOOKUP(Opv.kohd.[[#This Row],[Y-tunnus]],#REF!,3,FALSE),0)</f>
        <v>0</v>
      </c>
      <c r="AC11" s="207">
        <f>IFERROR(VLOOKUP(Opv.kohd.[[#This Row],[Y-tunnus]],#REF!,4,FALSE),0)</f>
        <v>0</v>
      </c>
      <c r="AD11" s="207">
        <f>IFERROR(VLOOKUP(Opv.kohd.[[#This Row],[Y-tunnus]],#REF!,5,FALSE),0)</f>
        <v>0</v>
      </c>
      <c r="AE11" s="207">
        <f>IFERROR(VLOOKUP(Opv.kohd.[[#This Row],[Y-tunnus]],#REF!,6,FALSE),0)</f>
        <v>0</v>
      </c>
      <c r="AF11" s="207">
        <f>IFERROR(VLOOKUP(Opv.kohd.[[#This Row],[Y-tunnus]],#REF!,7,FALSE),0)</f>
        <v>0</v>
      </c>
      <c r="AG11" s="207">
        <f>IFERROR(VLOOKUP(Opv.kohd.[[#This Row],[Y-tunnus]],#REF!,8,FALSE),0)</f>
        <v>0</v>
      </c>
      <c r="AH11" s="207">
        <f>IFERROR(VLOOKUP(Opv.kohd.[[#This Row],[Y-tunnus]],#REF!,9,FALSE),0)</f>
        <v>0</v>
      </c>
      <c r="AI11" s="207">
        <f>IFERROR(VLOOKUP(Opv.kohd.[[#This Row],[Y-tunnus]],#REF!,10,FALSE),0)</f>
        <v>0</v>
      </c>
      <c r="AJ11" s="204">
        <f>Opv.kohd.[[#This Row],[Järjestämisluvan mukaiset 4]]-Opv.kohd.[[#This Row],[Järjestämisluvan mukaiset 1]]</f>
        <v>0</v>
      </c>
      <c r="AK11" s="204">
        <f>Opv.kohd.[[#This Row],[Kohdentamat-tomat 4]]-Opv.kohd.[[#This Row],[Kohdentamat-tomat 1]]</f>
        <v>0</v>
      </c>
      <c r="AL11" s="204">
        <f>Opv.kohd.[[#This Row],[Työvoima-koulutus 4]]-Opv.kohd.[[#This Row],[Työvoima-koulutus 1]]</f>
        <v>0</v>
      </c>
      <c r="AM11" s="204">
        <f>Opv.kohd.[[#This Row],[Maahan-muuttajien koulutus 4]]-Opv.kohd.[[#This Row],[Maahan-muuttajien koulutus 1]]</f>
        <v>0</v>
      </c>
      <c r="AN11" s="204">
        <f>Opv.kohd.[[#This Row],[Nuorisotyöt. väh. ja osaamistarp. vast., muu kuin työvoima-koulutus 4]]-Opv.kohd.[[#This Row],[Nuorisotyöt. väh. ja osaamistarp. vast., muu kuin työvoima-koulutus 1]]</f>
        <v>0</v>
      </c>
      <c r="AO11" s="204">
        <f>Opv.kohd.[[#This Row],[Nuorisotyöt. väh. ja osaamistarp. vast., työvoima-koulutus 4]]-Opv.kohd.[[#This Row],[Nuorisotyöt. väh. ja osaamistarp. vast., työvoima-koulutus 1]]</f>
        <v>0</v>
      </c>
      <c r="AP11" s="204">
        <f>Opv.kohd.[[#This Row],[Yhteensä 4]]-Opv.kohd.[[#This Row],[Yhteensä  1]]</f>
        <v>0</v>
      </c>
      <c r="AQ11" s="204">
        <f>Opv.kohd.[[#This Row],[Ensikertaisella suoritepäätöksellä jaetut tavoitteelliset opiskelijavuodet yhteensä 4]]-Opv.kohd.[[#This Row],[Ensikertaisella suoritepäätöksellä jaetut tavoitteelliset opiskelijavuodet yhteensä 1]]</f>
        <v>0</v>
      </c>
      <c r="AR11" s="208">
        <f>IFERROR(Opv.kohd.[[#This Row],[Järjestämisluvan mukaiset 5]]/Opv.kohd.[[#This Row],[Järjestämisluvan mukaiset 4]],0)</f>
        <v>0</v>
      </c>
      <c r="AS11" s="208">
        <f>IFERROR(Opv.kohd.[[#This Row],[Kohdentamat-tomat 5]]/Opv.kohd.[[#This Row],[Kohdentamat-tomat 4]],0)</f>
        <v>0</v>
      </c>
      <c r="AT11" s="208">
        <f>IFERROR(Opv.kohd.[[#This Row],[Työvoima-koulutus 5]]/Opv.kohd.[[#This Row],[Työvoima-koulutus 4]],0)</f>
        <v>0</v>
      </c>
      <c r="AU11" s="208">
        <f>IFERROR(Opv.kohd.[[#This Row],[Maahan-muuttajien koulutus 5]]/Opv.kohd.[[#This Row],[Maahan-muuttajien koulutus 4]],0)</f>
        <v>0</v>
      </c>
      <c r="AV11" s="208">
        <f>IFERROR(Opv.kohd.[[#This Row],[Nuorisotyöt. väh. ja osaamistarp. vast., muu kuin työvoima-koulutus 5]]/Opv.kohd.[[#This Row],[Nuorisotyöt. väh. ja osaamistarp. vast., muu kuin työvoima-koulutus 4]],0)</f>
        <v>0</v>
      </c>
      <c r="AW11" s="208">
        <f>IFERROR(Opv.kohd.[[#This Row],[Nuorisotyöt. väh. ja osaamistarp. vast., työvoima-koulutus 5]]/Opv.kohd.[[#This Row],[Nuorisotyöt. väh. ja osaamistarp. vast., työvoima-koulutus 4]],0)</f>
        <v>0</v>
      </c>
      <c r="AX11" s="208">
        <f>IFERROR(Opv.kohd.[[#This Row],[Yhteensä 5]]/Opv.kohd.[[#This Row],[Yhteensä 4]],0)</f>
        <v>0</v>
      </c>
      <c r="AY11" s="208">
        <f>IFERROR(Opv.kohd.[[#This Row],[Ensikertaisella suoritepäätöksellä jaetut tavoitteelliset opiskelijavuodet yhteensä 5]]/Opv.kohd.[[#This Row],[Ensikertaisella suoritepäätöksellä jaetut tavoitteelliset opiskelijavuodet yhteensä 4]],0)</f>
        <v>0</v>
      </c>
      <c r="AZ11" s="207">
        <f>Opv.kohd.[[#This Row],[Yhteensä 7a]]-Opv.kohd.[[#This Row],[Työvoima-koulutus 7a]]</f>
        <v>0</v>
      </c>
      <c r="BA11" s="207">
        <f>IFERROR(VLOOKUP(Opv.kohd.[[#This Row],[Y-tunnus]],#REF!,COLUMN(#REF!),FALSE),0)</f>
        <v>0</v>
      </c>
      <c r="BB11" s="207">
        <f>IFERROR(VLOOKUP(Opv.kohd.[[#This Row],[Y-tunnus]],#REF!,COLUMN(#REF!),FALSE),0)</f>
        <v>0</v>
      </c>
      <c r="BC11" s="207">
        <f>Opv.kohd.[[#This Row],[Muu kuin työvoima-koulutus 7c]]-Opv.kohd.[[#This Row],[Muu kuin työvoima-koulutus 7a]]</f>
        <v>0</v>
      </c>
      <c r="BD11" s="207">
        <f>Opv.kohd.[[#This Row],[Työvoima-koulutus 7c]]-Opv.kohd.[[#This Row],[Työvoima-koulutus 7a]]</f>
        <v>0</v>
      </c>
      <c r="BE11" s="207">
        <f>Opv.kohd.[[#This Row],[Yhteensä 7c]]-Opv.kohd.[[#This Row],[Yhteensä 7a]]</f>
        <v>0</v>
      </c>
      <c r="BF11" s="207">
        <f>Opv.kohd.[[#This Row],[Yhteensä 7c]]-Opv.kohd.[[#This Row],[Työvoima-koulutus 7c]]</f>
        <v>0</v>
      </c>
      <c r="BG11" s="207">
        <f>IFERROR(VLOOKUP(Opv.kohd.[[#This Row],[Y-tunnus]],#REF!,COLUMN(#REF!),FALSE),0)</f>
        <v>0</v>
      </c>
      <c r="BH11" s="207">
        <f>IFERROR(VLOOKUP(Opv.kohd.[[#This Row],[Y-tunnus]],#REF!,COLUMN(#REF!),FALSE),0)</f>
        <v>0</v>
      </c>
      <c r="BI11" s="207">
        <f>IFERROR(VLOOKUP(Opv.kohd.[[#This Row],[Y-tunnus]],#REF!,COLUMN(#REF!),FALSE),0)</f>
        <v>0</v>
      </c>
      <c r="BJ11" s="207">
        <f>IFERROR(VLOOKUP(Opv.kohd.[[#This Row],[Y-tunnus]],#REF!,COLUMN(#REF!),FALSE),0)</f>
        <v>0</v>
      </c>
      <c r="BK11" s="207">
        <f>Opv.kohd.[[#This Row],[Muu kuin työvoima-koulutus 7d]]+Opv.kohd.[[#This Row],[Työvoima-koulutus 7d]]</f>
        <v>0</v>
      </c>
      <c r="BL11" s="207">
        <f>Opv.kohd.[[#This Row],[Muu kuin työvoima-koulutus 7c]]-Opv.kohd.[[#This Row],[Muu kuin työvoima-koulutus 7d]]</f>
        <v>0</v>
      </c>
      <c r="BM11" s="207">
        <f>Opv.kohd.[[#This Row],[Työvoima-koulutus 7c]]-Opv.kohd.[[#This Row],[Työvoima-koulutus 7d]]</f>
        <v>0</v>
      </c>
      <c r="BN11" s="207">
        <f>Opv.kohd.[[#This Row],[Yhteensä 7c]]-Opv.kohd.[[#This Row],[Yhteensä 7d]]</f>
        <v>0</v>
      </c>
      <c r="BO11" s="207">
        <f>Opv.kohd.[[#This Row],[Muu kuin työvoima-koulutus 7e]]-(Opv.kohd.[[#This Row],[Järjestämisluvan mukaiset 4]]+Opv.kohd.[[#This Row],[Kohdentamat-tomat 4]]+Opv.kohd.[[#This Row],[Maahan-muuttajien koulutus 4]]+Opv.kohd.[[#This Row],[Nuorisotyöt. väh. ja osaamistarp. vast., muu kuin työvoima-koulutus 4]])</f>
        <v>0</v>
      </c>
      <c r="BP11" s="207">
        <f>Opv.kohd.[[#This Row],[Työvoima-koulutus 7e]]-(Opv.kohd.[[#This Row],[Työvoima-koulutus 4]]+Opv.kohd.[[#This Row],[Nuorisotyöt. väh. ja osaamistarp. vast., työvoima-koulutus 4]])</f>
        <v>0</v>
      </c>
      <c r="BQ11" s="207">
        <f>Opv.kohd.[[#This Row],[Yhteensä 7e]]-Opv.kohd.[[#This Row],[Ensikertaisella suoritepäätöksellä jaetut tavoitteelliset opiskelijavuodet yhteensä 4]]</f>
        <v>0</v>
      </c>
      <c r="BR11" s="263">
        <v>986</v>
      </c>
      <c r="BS11" s="263">
        <v>120</v>
      </c>
      <c r="BT11" s="263">
        <v>0</v>
      </c>
      <c r="BU11" s="263">
        <v>0</v>
      </c>
      <c r="BV11" s="263">
        <v>0</v>
      </c>
      <c r="BW11" s="263">
        <v>0</v>
      </c>
      <c r="BX11" s="263">
        <v>120</v>
      </c>
      <c r="BY11" s="263">
        <v>1106</v>
      </c>
      <c r="BZ11" s="207">
        <f t="shared" si="2"/>
        <v>986</v>
      </c>
      <c r="CA11" s="207">
        <f t="shared" si="3"/>
        <v>120</v>
      </c>
      <c r="CB11" s="207">
        <f t="shared" si="4"/>
        <v>0</v>
      </c>
      <c r="CC11" s="207">
        <f t="shared" si="5"/>
        <v>0</v>
      </c>
      <c r="CD11" s="207">
        <f t="shared" si="6"/>
        <v>0</v>
      </c>
      <c r="CE11" s="207">
        <f t="shared" si="7"/>
        <v>0</v>
      </c>
      <c r="CF11" s="207">
        <f t="shared" si="8"/>
        <v>120</v>
      </c>
      <c r="CG11" s="207">
        <f t="shared" si="9"/>
        <v>1106</v>
      </c>
      <c r="CH11" s="207">
        <f>Opv.kohd.[[#This Row],[Tavoitteelliset opiskelijavuodet yhteensä 9]]-Opv.kohd.[[#This Row],[Työvoima-koulutus 9]]-Opv.kohd.[[#This Row],[Nuorisotyöt. väh. ja osaamistarp. vast., työvoima-koulutus 9]]-Opv.kohd.[[#This Row],[Muu kuin työvoima-koulutus 7e]]</f>
        <v>1106</v>
      </c>
      <c r="CI11" s="207">
        <f>(Opv.kohd.[[#This Row],[Työvoima-koulutus 9]]+Opv.kohd.[[#This Row],[Nuorisotyöt. väh. ja osaamistarp. vast., työvoima-koulutus 9]])-Opv.kohd.[[#This Row],[Työvoima-koulutus 7e]]</f>
        <v>0</v>
      </c>
      <c r="CJ11" s="207">
        <f>Opv.kohd.[[#This Row],[Tavoitteelliset opiskelijavuodet yhteensä 9]]-Opv.kohd.[[#This Row],[Yhteensä 7e]]</f>
        <v>1106</v>
      </c>
      <c r="CK11" s="207">
        <f>Opv.kohd.[[#This Row],[Järjestämisluvan mukaiset 4]]+Opv.kohd.[[#This Row],[Järjestämisluvan mukaiset 13]]</f>
        <v>0</v>
      </c>
      <c r="CL11" s="207">
        <f>Opv.kohd.[[#This Row],[Kohdentamat-tomat 4]]+Opv.kohd.[[#This Row],[Kohdentamat-tomat 13]]</f>
        <v>0</v>
      </c>
      <c r="CM11" s="207">
        <f>Opv.kohd.[[#This Row],[Työvoima-koulutus 4]]+Opv.kohd.[[#This Row],[Työvoima-koulutus 13]]</f>
        <v>0</v>
      </c>
      <c r="CN11" s="207">
        <f>Opv.kohd.[[#This Row],[Maahan-muuttajien koulutus 4]]+Opv.kohd.[[#This Row],[Maahan-muuttajien koulutus 13]]</f>
        <v>0</v>
      </c>
      <c r="CO11" s="207">
        <f>Opv.kohd.[[#This Row],[Nuorisotyöt. väh. ja osaamistarp. vast., muu kuin työvoima-koulutus 4]]+Opv.kohd.[[#This Row],[Nuorisotyöt. väh. ja osaamistarp. vast., muu kuin työvoima-koulutus 13]]</f>
        <v>0</v>
      </c>
      <c r="CP11" s="207">
        <f>Opv.kohd.[[#This Row],[Nuorisotyöt. väh. ja osaamistarp. vast., työvoima-koulutus 4]]+Opv.kohd.[[#This Row],[Nuorisotyöt. väh. ja osaamistarp. vast., työvoima-koulutus 13]]</f>
        <v>0</v>
      </c>
      <c r="CQ11" s="207">
        <f>Opv.kohd.[[#This Row],[Yhteensä 4]]+Opv.kohd.[[#This Row],[Yhteensä 13]]</f>
        <v>0</v>
      </c>
      <c r="CR11" s="207">
        <f>Opv.kohd.[[#This Row],[Ensikertaisella suoritepäätöksellä jaetut tavoitteelliset opiskelijavuodet yhteensä 4]]+Opv.kohd.[[#This Row],[Tavoitteelliset opiskelijavuodet yhteensä 13]]</f>
        <v>0</v>
      </c>
      <c r="CS11" s="120">
        <v>0</v>
      </c>
      <c r="CT11" s="120">
        <v>0</v>
      </c>
      <c r="CU11" s="120">
        <v>0</v>
      </c>
      <c r="CV11" s="120">
        <v>0</v>
      </c>
      <c r="CW11" s="120">
        <v>0</v>
      </c>
      <c r="CX11" s="120">
        <v>0</v>
      </c>
      <c r="CY11" s="120">
        <v>0</v>
      </c>
      <c r="CZ11" s="120">
        <v>0</v>
      </c>
      <c r="DA11" s="209">
        <f>IFERROR(Opv.kohd.[[#This Row],[Järjestämisluvan mukaiset 13]]/Opv.kohd.[[#This Row],[Järjestämisluvan mukaiset 12]],0)</f>
        <v>0</v>
      </c>
      <c r="DB11" s="209">
        <f>IFERROR(Opv.kohd.[[#This Row],[Kohdentamat-tomat 13]]/Opv.kohd.[[#This Row],[Kohdentamat-tomat 12]],0)</f>
        <v>0</v>
      </c>
      <c r="DC11" s="209">
        <f>IFERROR(Opv.kohd.[[#This Row],[Työvoima-koulutus 13]]/Opv.kohd.[[#This Row],[Työvoima-koulutus 12]],0)</f>
        <v>0</v>
      </c>
      <c r="DD11" s="209">
        <f>IFERROR(Opv.kohd.[[#This Row],[Maahan-muuttajien koulutus 13]]/Opv.kohd.[[#This Row],[Maahan-muuttajien koulutus 12]],0)</f>
        <v>0</v>
      </c>
      <c r="DE11" s="209">
        <f>IFERROR(Opv.kohd.[[#This Row],[Nuorisotyöt. väh. ja osaamistarp. vast., muu kuin työvoima-koulutus 13]]/Opv.kohd.[[#This Row],[Nuorisotyöt. väh. ja osaamistarp. vast., muu kuin työvoima-koulutus 12]],0)</f>
        <v>0</v>
      </c>
      <c r="DF11" s="209">
        <f>IFERROR(Opv.kohd.[[#This Row],[Nuorisotyöt. väh. ja osaamistarp. vast., työvoima-koulutus 13]]/Opv.kohd.[[#This Row],[Nuorisotyöt. väh. ja osaamistarp. vast., työvoima-koulutus 12]],0)</f>
        <v>0</v>
      </c>
      <c r="DG11" s="209">
        <f>IFERROR(Opv.kohd.[[#This Row],[Yhteensä 13]]/Opv.kohd.[[#This Row],[Yhteensä 12]],0)</f>
        <v>0</v>
      </c>
      <c r="DH11" s="209">
        <f>IFERROR(Opv.kohd.[[#This Row],[Tavoitteelliset opiskelijavuodet yhteensä 13]]/Opv.kohd.[[#This Row],[Tavoitteelliset opiskelijavuodet yhteensä 12]],0)</f>
        <v>0</v>
      </c>
      <c r="DI11" s="207">
        <f>Opv.kohd.[[#This Row],[Järjestämisluvan mukaiset 12]]-Opv.kohd.[[#This Row],[Järjestämisluvan mukaiset 9]]</f>
        <v>-986</v>
      </c>
      <c r="DJ11" s="207">
        <f>Opv.kohd.[[#This Row],[Kohdentamat-tomat 12]]-Opv.kohd.[[#This Row],[Kohdentamat-tomat 9]]</f>
        <v>-120</v>
      </c>
      <c r="DK11" s="207">
        <f>Opv.kohd.[[#This Row],[Työvoima-koulutus 12]]-Opv.kohd.[[#This Row],[Työvoima-koulutus 9]]</f>
        <v>0</v>
      </c>
      <c r="DL11" s="207">
        <f>Opv.kohd.[[#This Row],[Maahan-muuttajien koulutus 12]]-Opv.kohd.[[#This Row],[Maahan-muuttajien koulutus 9]]</f>
        <v>0</v>
      </c>
      <c r="DM11" s="207">
        <f>Opv.kohd.[[#This Row],[Nuorisotyöt. väh. ja osaamistarp. vast., muu kuin työvoima-koulutus 12]]-Opv.kohd.[[#This Row],[Nuorisotyöt. väh. ja osaamistarp. vast., muu kuin työvoima-koulutus 9]]</f>
        <v>0</v>
      </c>
      <c r="DN11" s="207">
        <f>Opv.kohd.[[#This Row],[Nuorisotyöt. väh. ja osaamistarp. vast., työvoima-koulutus 12]]-Opv.kohd.[[#This Row],[Nuorisotyöt. väh. ja osaamistarp. vast., työvoima-koulutus 9]]</f>
        <v>0</v>
      </c>
      <c r="DO11" s="207">
        <f>Opv.kohd.[[#This Row],[Yhteensä 12]]-Opv.kohd.[[#This Row],[Yhteensä 9]]</f>
        <v>-120</v>
      </c>
      <c r="DP11" s="207">
        <f>Opv.kohd.[[#This Row],[Tavoitteelliset opiskelijavuodet yhteensä 12]]-Opv.kohd.[[#This Row],[Tavoitteelliset opiskelijavuodet yhteensä 9]]</f>
        <v>-1106</v>
      </c>
      <c r="DQ11" s="209">
        <f>IFERROR(Opv.kohd.[[#This Row],[Järjestämisluvan mukaiset 15]]/Opv.kohd.[[#This Row],[Järjestämisluvan mukaiset 9]],0)</f>
        <v>-1</v>
      </c>
      <c r="DR11" s="209">
        <f t="shared" si="10"/>
        <v>0</v>
      </c>
      <c r="DS11" s="209">
        <f t="shared" si="11"/>
        <v>0</v>
      </c>
      <c r="DT11" s="209">
        <f t="shared" si="12"/>
        <v>0</v>
      </c>
      <c r="DU11" s="209">
        <f t="shared" si="13"/>
        <v>0</v>
      </c>
      <c r="DV11" s="209">
        <f t="shared" si="14"/>
        <v>0</v>
      </c>
      <c r="DW11" s="209">
        <f t="shared" si="15"/>
        <v>0</v>
      </c>
      <c r="DX11" s="209">
        <f t="shared" si="16"/>
        <v>0</v>
      </c>
    </row>
    <row r="12" spans="1:128" x14ac:dyDescent="0.25">
      <c r="A12" s="204" t="e">
        <f>IF(INDEX(#REF!,ROW(12:12)-1,1)=0,"",INDEX(#REF!,ROW(12:12)-1,1))</f>
        <v>#REF!</v>
      </c>
      <c r="B12" s="205" t="str">
        <f>IFERROR(VLOOKUP(Opv.kohd.[[#This Row],[Y-tunnus]],'0 Järjestäjätiedot'!$A:$H,2,FALSE),"")</f>
        <v/>
      </c>
      <c r="C12" s="204" t="str">
        <f>IFERROR(VLOOKUP(Opv.kohd.[[#This Row],[Y-tunnus]],'0 Järjestäjätiedot'!$A:$H,COLUMN('0 Järjestäjätiedot'!D:D),FALSE),"")</f>
        <v/>
      </c>
      <c r="D12" s="204" t="str">
        <f>IFERROR(VLOOKUP(Opv.kohd.[[#This Row],[Y-tunnus]],'0 Järjestäjätiedot'!$A:$H,COLUMN('0 Järjestäjätiedot'!H:H),FALSE),"")</f>
        <v/>
      </c>
      <c r="E12" s="204">
        <f>IFERROR(VLOOKUP(Opv.kohd.[[#This Row],[Y-tunnus]],#REF!,COLUMN(#REF!),FALSE),0)</f>
        <v>0</v>
      </c>
      <c r="F12" s="204">
        <f>IFERROR(VLOOKUP(Opv.kohd.[[#This Row],[Y-tunnus]],#REF!,COLUMN(#REF!),FALSE),0)</f>
        <v>0</v>
      </c>
      <c r="G12" s="204">
        <f>IFERROR(VLOOKUP(Opv.kohd.[[#This Row],[Y-tunnus]],#REF!,COLUMN(#REF!),FALSE),0)</f>
        <v>0</v>
      </c>
      <c r="H12" s="204">
        <f>IFERROR(VLOOKUP(Opv.kohd.[[#This Row],[Y-tunnus]],#REF!,COLUMN(#REF!),FALSE),0)</f>
        <v>0</v>
      </c>
      <c r="I12" s="204">
        <f>IFERROR(VLOOKUP(Opv.kohd.[[#This Row],[Y-tunnus]],#REF!,COLUMN(#REF!),FALSE),0)</f>
        <v>0</v>
      </c>
      <c r="J12" s="204">
        <f>IFERROR(VLOOKUP(Opv.kohd.[[#This Row],[Y-tunnus]],#REF!,COLUMN(#REF!),FALSE),0)</f>
        <v>0</v>
      </c>
      <c r="K1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2" s="204">
        <f>Opv.kohd.[[#This Row],[Järjestämisluvan mukaiset 1]]+Opv.kohd.[[#This Row],[Yhteensä  1]]</f>
        <v>0</v>
      </c>
      <c r="M12" s="204">
        <f>IFERROR(VLOOKUP(Opv.kohd.[[#This Row],[Y-tunnus]],#REF!,COLUMN(#REF!),FALSE),0)</f>
        <v>0</v>
      </c>
      <c r="N12" s="204">
        <f>IFERROR(VLOOKUP(Opv.kohd.[[#This Row],[Y-tunnus]],#REF!,COLUMN(#REF!),FALSE),0)</f>
        <v>0</v>
      </c>
      <c r="O12" s="204">
        <f>IFERROR(VLOOKUP(Opv.kohd.[[#This Row],[Y-tunnus]],#REF!,COLUMN(#REF!),FALSE)+VLOOKUP(Opv.kohd.[[#This Row],[Y-tunnus]],#REF!,COLUMN(#REF!),FALSE),0)</f>
        <v>0</v>
      </c>
      <c r="P12" s="204">
        <f>Opv.kohd.[[#This Row],[Talousarvion perusteella kohdentamattomat]]+Opv.kohd.[[#This Row],[Talousarvion perusteella työvoimakoulutus 1]]+Opv.kohd.[[#This Row],[Lisätalousarvioiden perusteella]]</f>
        <v>0</v>
      </c>
      <c r="Q12" s="204">
        <f>IFERROR(VLOOKUP(Opv.kohd.[[#This Row],[Y-tunnus]],#REF!,COLUMN(#REF!),FALSE),0)</f>
        <v>0</v>
      </c>
      <c r="R12" s="210">
        <f>IFERROR(VLOOKUP(Opv.kohd.[[#This Row],[Y-tunnus]],#REF!,COLUMN(#REF!),FALSE)-(Opv.kohd.[[#This Row],[Kohdentamaton työvoima-koulutus 2]]+Opv.kohd.[[#This Row],[Maahan-muuttajien koulutus 2]]+Opv.kohd.[[#This Row],[Lisätalousarvioiden perusteella jaetut 2]]),0)</f>
        <v>0</v>
      </c>
      <c r="S12" s="210">
        <f>IFERROR(VLOOKUP(Opv.kohd.[[#This Row],[Y-tunnus]],#REF!,COLUMN(#REF!),FALSE)+VLOOKUP(Opv.kohd.[[#This Row],[Y-tunnus]],#REF!,COLUMN(#REF!),FALSE),0)</f>
        <v>0</v>
      </c>
      <c r="T12" s="210">
        <f>IFERROR(VLOOKUP(Opv.kohd.[[#This Row],[Y-tunnus]],#REF!,COLUMN(#REF!),FALSE)+VLOOKUP(Opv.kohd.[[#This Row],[Y-tunnus]],#REF!,COLUMN(#REF!),FALSE),0)</f>
        <v>0</v>
      </c>
      <c r="U1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2" s="210">
        <f>Opv.kohd.[[#This Row],[Kohdentamat-tomat 2]]+Opv.kohd.[[#This Row],[Kohdentamaton työvoima-koulutus 2]]+Opv.kohd.[[#This Row],[Maahan-muuttajien koulutus 2]]+Opv.kohd.[[#This Row],[Lisätalousarvioiden perusteella jaetut 2]]</f>
        <v>0</v>
      </c>
      <c r="W12" s="210">
        <f>Opv.kohd.[[#This Row],[Kohdentamat-tomat 2]]-(Opv.kohd.[[#This Row],[Järjestämisluvan mukaiset 1]]+Opv.kohd.[[#This Row],[Kohdentamat-tomat 1]]+Opv.kohd.[[#This Row],[Nuorisotyöt. väh. ja osaamistarp. vast., muu kuin työvoima-koulutus 1]]+Opv.kohd.[[#This Row],[Talousarvion perusteella kohdentamattomat]])</f>
        <v>0</v>
      </c>
      <c r="X12" s="210">
        <f>Opv.kohd.[[#This Row],[Kohdentamaton työvoima-koulutus 2]]-(Opv.kohd.[[#This Row],[Työvoima-koulutus 1]]+Opv.kohd.[[#This Row],[Nuorisotyöt. väh. ja osaamistarp. vast., työvoima-koulutus 1]]+Opv.kohd.[[#This Row],[Talousarvion perusteella työvoimakoulutus 1]])</f>
        <v>0</v>
      </c>
      <c r="Y12" s="210">
        <f>Opv.kohd.[[#This Row],[Maahan-muuttajien koulutus 2]]-Opv.kohd.[[#This Row],[Maahan-muuttajien koulutus 1]]</f>
        <v>0</v>
      </c>
      <c r="Z12" s="210">
        <f>Opv.kohd.[[#This Row],[Lisätalousarvioiden perusteella jaetut 2]]-Opv.kohd.[[#This Row],[Lisätalousarvioiden perusteella]]</f>
        <v>0</v>
      </c>
      <c r="AA12" s="210">
        <f>Opv.kohd.[[#This Row],[Toteutuneet opiskelijavuodet yhteensä 2]]-Opv.kohd.[[#This Row],[Vuoden 2018 tavoitteelliset opiskelijavuodet yhteensä 1]]</f>
        <v>0</v>
      </c>
      <c r="AB12" s="207">
        <f>IFERROR(VLOOKUP(Opv.kohd.[[#This Row],[Y-tunnus]],#REF!,3,FALSE),0)</f>
        <v>0</v>
      </c>
      <c r="AC12" s="207">
        <f>IFERROR(VLOOKUP(Opv.kohd.[[#This Row],[Y-tunnus]],#REF!,4,FALSE),0)</f>
        <v>0</v>
      </c>
      <c r="AD12" s="207">
        <f>IFERROR(VLOOKUP(Opv.kohd.[[#This Row],[Y-tunnus]],#REF!,5,FALSE),0)</f>
        <v>0</v>
      </c>
      <c r="AE12" s="207">
        <f>IFERROR(VLOOKUP(Opv.kohd.[[#This Row],[Y-tunnus]],#REF!,6,FALSE),0)</f>
        <v>0</v>
      </c>
      <c r="AF12" s="207">
        <f>IFERROR(VLOOKUP(Opv.kohd.[[#This Row],[Y-tunnus]],#REF!,7,FALSE),0)</f>
        <v>0</v>
      </c>
      <c r="AG12" s="207">
        <f>IFERROR(VLOOKUP(Opv.kohd.[[#This Row],[Y-tunnus]],#REF!,8,FALSE),0)</f>
        <v>0</v>
      </c>
      <c r="AH12" s="207">
        <f>IFERROR(VLOOKUP(Opv.kohd.[[#This Row],[Y-tunnus]],#REF!,9,FALSE),0)</f>
        <v>0</v>
      </c>
      <c r="AI12" s="207">
        <f>IFERROR(VLOOKUP(Opv.kohd.[[#This Row],[Y-tunnus]],#REF!,10,FALSE),0)</f>
        <v>0</v>
      </c>
      <c r="AJ12" s="204">
        <f>Opv.kohd.[[#This Row],[Järjestämisluvan mukaiset 4]]-Opv.kohd.[[#This Row],[Järjestämisluvan mukaiset 1]]</f>
        <v>0</v>
      </c>
      <c r="AK12" s="204">
        <f>Opv.kohd.[[#This Row],[Kohdentamat-tomat 4]]-Opv.kohd.[[#This Row],[Kohdentamat-tomat 1]]</f>
        <v>0</v>
      </c>
      <c r="AL12" s="204">
        <f>Opv.kohd.[[#This Row],[Työvoima-koulutus 4]]-Opv.kohd.[[#This Row],[Työvoima-koulutus 1]]</f>
        <v>0</v>
      </c>
      <c r="AM12" s="204">
        <f>Opv.kohd.[[#This Row],[Maahan-muuttajien koulutus 4]]-Opv.kohd.[[#This Row],[Maahan-muuttajien koulutus 1]]</f>
        <v>0</v>
      </c>
      <c r="AN12" s="204">
        <f>Opv.kohd.[[#This Row],[Nuorisotyöt. väh. ja osaamistarp. vast., muu kuin työvoima-koulutus 4]]-Opv.kohd.[[#This Row],[Nuorisotyöt. väh. ja osaamistarp. vast., muu kuin työvoima-koulutus 1]]</f>
        <v>0</v>
      </c>
      <c r="AO12" s="204">
        <f>Opv.kohd.[[#This Row],[Nuorisotyöt. väh. ja osaamistarp. vast., työvoima-koulutus 4]]-Opv.kohd.[[#This Row],[Nuorisotyöt. väh. ja osaamistarp. vast., työvoima-koulutus 1]]</f>
        <v>0</v>
      </c>
      <c r="AP12" s="204">
        <f>Opv.kohd.[[#This Row],[Yhteensä 4]]-Opv.kohd.[[#This Row],[Yhteensä  1]]</f>
        <v>0</v>
      </c>
      <c r="AQ12" s="204">
        <f>Opv.kohd.[[#This Row],[Ensikertaisella suoritepäätöksellä jaetut tavoitteelliset opiskelijavuodet yhteensä 4]]-Opv.kohd.[[#This Row],[Ensikertaisella suoritepäätöksellä jaetut tavoitteelliset opiskelijavuodet yhteensä 1]]</f>
        <v>0</v>
      </c>
      <c r="AR12" s="208">
        <f>IFERROR(Opv.kohd.[[#This Row],[Järjestämisluvan mukaiset 5]]/Opv.kohd.[[#This Row],[Järjestämisluvan mukaiset 4]],0)</f>
        <v>0</v>
      </c>
      <c r="AS12" s="208">
        <f>IFERROR(Opv.kohd.[[#This Row],[Kohdentamat-tomat 5]]/Opv.kohd.[[#This Row],[Kohdentamat-tomat 4]],0)</f>
        <v>0</v>
      </c>
      <c r="AT12" s="208">
        <f>IFERROR(Opv.kohd.[[#This Row],[Työvoima-koulutus 5]]/Opv.kohd.[[#This Row],[Työvoima-koulutus 4]],0)</f>
        <v>0</v>
      </c>
      <c r="AU12" s="208">
        <f>IFERROR(Opv.kohd.[[#This Row],[Maahan-muuttajien koulutus 5]]/Opv.kohd.[[#This Row],[Maahan-muuttajien koulutus 4]],0)</f>
        <v>0</v>
      </c>
      <c r="AV12" s="208">
        <f>IFERROR(Opv.kohd.[[#This Row],[Nuorisotyöt. väh. ja osaamistarp. vast., muu kuin työvoima-koulutus 5]]/Opv.kohd.[[#This Row],[Nuorisotyöt. väh. ja osaamistarp. vast., muu kuin työvoima-koulutus 4]],0)</f>
        <v>0</v>
      </c>
      <c r="AW12" s="208">
        <f>IFERROR(Opv.kohd.[[#This Row],[Nuorisotyöt. väh. ja osaamistarp. vast., työvoima-koulutus 5]]/Opv.kohd.[[#This Row],[Nuorisotyöt. väh. ja osaamistarp. vast., työvoima-koulutus 4]],0)</f>
        <v>0</v>
      </c>
      <c r="AX12" s="208">
        <f>IFERROR(Opv.kohd.[[#This Row],[Yhteensä 5]]/Opv.kohd.[[#This Row],[Yhteensä 4]],0)</f>
        <v>0</v>
      </c>
      <c r="AY12" s="208">
        <f>IFERROR(Opv.kohd.[[#This Row],[Ensikertaisella suoritepäätöksellä jaetut tavoitteelliset opiskelijavuodet yhteensä 5]]/Opv.kohd.[[#This Row],[Ensikertaisella suoritepäätöksellä jaetut tavoitteelliset opiskelijavuodet yhteensä 4]],0)</f>
        <v>0</v>
      </c>
      <c r="AZ12" s="207">
        <f>Opv.kohd.[[#This Row],[Yhteensä 7a]]-Opv.kohd.[[#This Row],[Työvoima-koulutus 7a]]</f>
        <v>0</v>
      </c>
      <c r="BA12" s="207">
        <f>IFERROR(VLOOKUP(Opv.kohd.[[#This Row],[Y-tunnus]],#REF!,COLUMN(#REF!),FALSE),0)</f>
        <v>0</v>
      </c>
      <c r="BB12" s="207">
        <f>IFERROR(VLOOKUP(Opv.kohd.[[#This Row],[Y-tunnus]],#REF!,COLUMN(#REF!),FALSE),0)</f>
        <v>0</v>
      </c>
      <c r="BC12" s="207">
        <f>Opv.kohd.[[#This Row],[Muu kuin työvoima-koulutus 7c]]-Opv.kohd.[[#This Row],[Muu kuin työvoima-koulutus 7a]]</f>
        <v>0</v>
      </c>
      <c r="BD12" s="207">
        <f>Opv.kohd.[[#This Row],[Työvoima-koulutus 7c]]-Opv.kohd.[[#This Row],[Työvoima-koulutus 7a]]</f>
        <v>0</v>
      </c>
      <c r="BE12" s="207">
        <f>Opv.kohd.[[#This Row],[Yhteensä 7c]]-Opv.kohd.[[#This Row],[Yhteensä 7a]]</f>
        <v>0</v>
      </c>
      <c r="BF12" s="207">
        <f>Opv.kohd.[[#This Row],[Yhteensä 7c]]-Opv.kohd.[[#This Row],[Työvoima-koulutus 7c]]</f>
        <v>0</v>
      </c>
      <c r="BG12" s="207">
        <f>IFERROR(VLOOKUP(Opv.kohd.[[#This Row],[Y-tunnus]],#REF!,COLUMN(#REF!),FALSE),0)</f>
        <v>0</v>
      </c>
      <c r="BH12" s="207">
        <f>IFERROR(VLOOKUP(Opv.kohd.[[#This Row],[Y-tunnus]],#REF!,COLUMN(#REF!),FALSE),0)</f>
        <v>0</v>
      </c>
      <c r="BI12" s="207">
        <f>IFERROR(VLOOKUP(Opv.kohd.[[#This Row],[Y-tunnus]],#REF!,COLUMN(#REF!),FALSE),0)</f>
        <v>0</v>
      </c>
      <c r="BJ12" s="207">
        <f>IFERROR(VLOOKUP(Opv.kohd.[[#This Row],[Y-tunnus]],#REF!,COLUMN(#REF!),FALSE),0)</f>
        <v>0</v>
      </c>
      <c r="BK12" s="207">
        <f>Opv.kohd.[[#This Row],[Muu kuin työvoima-koulutus 7d]]+Opv.kohd.[[#This Row],[Työvoima-koulutus 7d]]</f>
        <v>0</v>
      </c>
      <c r="BL12" s="207">
        <f>Opv.kohd.[[#This Row],[Muu kuin työvoima-koulutus 7c]]-Opv.kohd.[[#This Row],[Muu kuin työvoima-koulutus 7d]]</f>
        <v>0</v>
      </c>
      <c r="BM12" s="207">
        <f>Opv.kohd.[[#This Row],[Työvoima-koulutus 7c]]-Opv.kohd.[[#This Row],[Työvoima-koulutus 7d]]</f>
        <v>0</v>
      </c>
      <c r="BN12" s="207">
        <f>Opv.kohd.[[#This Row],[Yhteensä 7c]]-Opv.kohd.[[#This Row],[Yhteensä 7d]]</f>
        <v>0</v>
      </c>
      <c r="BO12" s="207">
        <f>Opv.kohd.[[#This Row],[Muu kuin työvoima-koulutus 7e]]-(Opv.kohd.[[#This Row],[Järjestämisluvan mukaiset 4]]+Opv.kohd.[[#This Row],[Kohdentamat-tomat 4]]+Opv.kohd.[[#This Row],[Maahan-muuttajien koulutus 4]]+Opv.kohd.[[#This Row],[Nuorisotyöt. väh. ja osaamistarp. vast., muu kuin työvoima-koulutus 4]])</f>
        <v>0</v>
      </c>
      <c r="BP12" s="207">
        <f>Opv.kohd.[[#This Row],[Työvoima-koulutus 7e]]-(Opv.kohd.[[#This Row],[Työvoima-koulutus 4]]+Opv.kohd.[[#This Row],[Nuorisotyöt. väh. ja osaamistarp. vast., työvoima-koulutus 4]])</f>
        <v>0</v>
      </c>
      <c r="BQ12" s="207">
        <f>Opv.kohd.[[#This Row],[Yhteensä 7e]]-Opv.kohd.[[#This Row],[Ensikertaisella suoritepäätöksellä jaetut tavoitteelliset opiskelijavuodet yhteensä 4]]</f>
        <v>0</v>
      </c>
      <c r="BR12" s="263">
        <v>68</v>
      </c>
      <c r="BS12" s="263">
        <v>132</v>
      </c>
      <c r="BT12" s="263">
        <v>0</v>
      </c>
      <c r="BU12" s="263">
        <v>0</v>
      </c>
      <c r="BV12" s="263">
        <v>0</v>
      </c>
      <c r="BW12" s="263">
        <v>0</v>
      </c>
      <c r="BX12" s="263">
        <v>132</v>
      </c>
      <c r="BY12" s="263">
        <v>200</v>
      </c>
      <c r="BZ12" s="207">
        <f t="shared" si="2"/>
        <v>68</v>
      </c>
      <c r="CA12" s="207">
        <f t="shared" si="3"/>
        <v>132</v>
      </c>
      <c r="CB12" s="207">
        <f t="shared" si="4"/>
        <v>0</v>
      </c>
      <c r="CC12" s="207">
        <f t="shared" si="5"/>
        <v>0</v>
      </c>
      <c r="CD12" s="207">
        <f t="shared" si="6"/>
        <v>0</v>
      </c>
      <c r="CE12" s="207">
        <f t="shared" si="7"/>
        <v>0</v>
      </c>
      <c r="CF12" s="207">
        <f t="shared" si="8"/>
        <v>132</v>
      </c>
      <c r="CG12" s="207">
        <f t="shared" si="9"/>
        <v>200</v>
      </c>
      <c r="CH12" s="207">
        <f>Opv.kohd.[[#This Row],[Tavoitteelliset opiskelijavuodet yhteensä 9]]-Opv.kohd.[[#This Row],[Työvoima-koulutus 9]]-Opv.kohd.[[#This Row],[Nuorisotyöt. väh. ja osaamistarp. vast., työvoima-koulutus 9]]-Opv.kohd.[[#This Row],[Muu kuin työvoima-koulutus 7e]]</f>
        <v>200</v>
      </c>
      <c r="CI12" s="207">
        <f>(Opv.kohd.[[#This Row],[Työvoima-koulutus 9]]+Opv.kohd.[[#This Row],[Nuorisotyöt. väh. ja osaamistarp. vast., työvoima-koulutus 9]])-Opv.kohd.[[#This Row],[Työvoima-koulutus 7e]]</f>
        <v>0</v>
      </c>
      <c r="CJ12" s="207">
        <f>Opv.kohd.[[#This Row],[Tavoitteelliset opiskelijavuodet yhteensä 9]]-Opv.kohd.[[#This Row],[Yhteensä 7e]]</f>
        <v>200</v>
      </c>
      <c r="CK12" s="207">
        <f>Opv.kohd.[[#This Row],[Järjestämisluvan mukaiset 4]]+Opv.kohd.[[#This Row],[Järjestämisluvan mukaiset 13]]</f>
        <v>0</v>
      </c>
      <c r="CL12" s="207">
        <f>Opv.kohd.[[#This Row],[Kohdentamat-tomat 4]]+Opv.kohd.[[#This Row],[Kohdentamat-tomat 13]]</f>
        <v>0</v>
      </c>
      <c r="CM12" s="207">
        <f>Opv.kohd.[[#This Row],[Työvoima-koulutus 4]]+Opv.kohd.[[#This Row],[Työvoima-koulutus 13]]</f>
        <v>0</v>
      </c>
      <c r="CN12" s="207">
        <f>Opv.kohd.[[#This Row],[Maahan-muuttajien koulutus 4]]+Opv.kohd.[[#This Row],[Maahan-muuttajien koulutus 13]]</f>
        <v>0</v>
      </c>
      <c r="CO12" s="207">
        <f>Opv.kohd.[[#This Row],[Nuorisotyöt. väh. ja osaamistarp. vast., muu kuin työvoima-koulutus 4]]+Opv.kohd.[[#This Row],[Nuorisotyöt. väh. ja osaamistarp. vast., muu kuin työvoima-koulutus 13]]</f>
        <v>0</v>
      </c>
      <c r="CP12" s="207">
        <f>Opv.kohd.[[#This Row],[Nuorisotyöt. väh. ja osaamistarp. vast., työvoima-koulutus 4]]+Opv.kohd.[[#This Row],[Nuorisotyöt. väh. ja osaamistarp. vast., työvoima-koulutus 13]]</f>
        <v>0</v>
      </c>
      <c r="CQ12" s="207">
        <f>Opv.kohd.[[#This Row],[Yhteensä 4]]+Opv.kohd.[[#This Row],[Yhteensä 13]]</f>
        <v>0</v>
      </c>
      <c r="CR12" s="207">
        <f>Opv.kohd.[[#This Row],[Ensikertaisella suoritepäätöksellä jaetut tavoitteelliset opiskelijavuodet yhteensä 4]]+Opv.kohd.[[#This Row],[Tavoitteelliset opiskelijavuodet yhteensä 13]]</f>
        <v>0</v>
      </c>
      <c r="CS12" s="120">
        <v>0</v>
      </c>
      <c r="CT12" s="120">
        <v>0</v>
      </c>
      <c r="CU12" s="120">
        <v>0</v>
      </c>
      <c r="CV12" s="120">
        <v>0</v>
      </c>
      <c r="CW12" s="120">
        <v>0</v>
      </c>
      <c r="CX12" s="120">
        <v>0</v>
      </c>
      <c r="CY12" s="120">
        <v>0</v>
      </c>
      <c r="CZ12" s="120">
        <v>0</v>
      </c>
      <c r="DA12" s="209">
        <f>IFERROR(Opv.kohd.[[#This Row],[Järjestämisluvan mukaiset 13]]/Opv.kohd.[[#This Row],[Järjestämisluvan mukaiset 12]],0)</f>
        <v>0</v>
      </c>
      <c r="DB12" s="209">
        <f>IFERROR(Opv.kohd.[[#This Row],[Kohdentamat-tomat 13]]/Opv.kohd.[[#This Row],[Kohdentamat-tomat 12]],0)</f>
        <v>0</v>
      </c>
      <c r="DC12" s="209">
        <f>IFERROR(Opv.kohd.[[#This Row],[Työvoima-koulutus 13]]/Opv.kohd.[[#This Row],[Työvoima-koulutus 12]],0)</f>
        <v>0</v>
      </c>
      <c r="DD12" s="209">
        <f>IFERROR(Opv.kohd.[[#This Row],[Maahan-muuttajien koulutus 13]]/Opv.kohd.[[#This Row],[Maahan-muuttajien koulutus 12]],0)</f>
        <v>0</v>
      </c>
      <c r="DE12" s="209">
        <f>IFERROR(Opv.kohd.[[#This Row],[Nuorisotyöt. väh. ja osaamistarp. vast., muu kuin työvoima-koulutus 13]]/Opv.kohd.[[#This Row],[Nuorisotyöt. väh. ja osaamistarp. vast., muu kuin työvoima-koulutus 12]],0)</f>
        <v>0</v>
      </c>
      <c r="DF12" s="209">
        <f>IFERROR(Opv.kohd.[[#This Row],[Nuorisotyöt. väh. ja osaamistarp. vast., työvoima-koulutus 13]]/Opv.kohd.[[#This Row],[Nuorisotyöt. väh. ja osaamistarp. vast., työvoima-koulutus 12]],0)</f>
        <v>0</v>
      </c>
      <c r="DG12" s="209">
        <f>IFERROR(Opv.kohd.[[#This Row],[Yhteensä 13]]/Opv.kohd.[[#This Row],[Yhteensä 12]],0)</f>
        <v>0</v>
      </c>
      <c r="DH12" s="209">
        <f>IFERROR(Opv.kohd.[[#This Row],[Tavoitteelliset opiskelijavuodet yhteensä 13]]/Opv.kohd.[[#This Row],[Tavoitteelliset opiskelijavuodet yhteensä 12]],0)</f>
        <v>0</v>
      </c>
      <c r="DI12" s="207">
        <f>Opv.kohd.[[#This Row],[Järjestämisluvan mukaiset 12]]-Opv.kohd.[[#This Row],[Järjestämisluvan mukaiset 9]]</f>
        <v>-68</v>
      </c>
      <c r="DJ12" s="207">
        <f>Opv.kohd.[[#This Row],[Kohdentamat-tomat 12]]-Opv.kohd.[[#This Row],[Kohdentamat-tomat 9]]</f>
        <v>-132</v>
      </c>
      <c r="DK12" s="207">
        <f>Opv.kohd.[[#This Row],[Työvoima-koulutus 12]]-Opv.kohd.[[#This Row],[Työvoima-koulutus 9]]</f>
        <v>0</v>
      </c>
      <c r="DL12" s="207">
        <f>Opv.kohd.[[#This Row],[Maahan-muuttajien koulutus 12]]-Opv.kohd.[[#This Row],[Maahan-muuttajien koulutus 9]]</f>
        <v>0</v>
      </c>
      <c r="DM12" s="207">
        <f>Opv.kohd.[[#This Row],[Nuorisotyöt. väh. ja osaamistarp. vast., muu kuin työvoima-koulutus 12]]-Opv.kohd.[[#This Row],[Nuorisotyöt. väh. ja osaamistarp. vast., muu kuin työvoima-koulutus 9]]</f>
        <v>0</v>
      </c>
      <c r="DN12" s="207">
        <f>Opv.kohd.[[#This Row],[Nuorisotyöt. väh. ja osaamistarp. vast., työvoima-koulutus 12]]-Opv.kohd.[[#This Row],[Nuorisotyöt. väh. ja osaamistarp. vast., työvoima-koulutus 9]]</f>
        <v>0</v>
      </c>
      <c r="DO12" s="207">
        <f>Opv.kohd.[[#This Row],[Yhteensä 12]]-Opv.kohd.[[#This Row],[Yhteensä 9]]</f>
        <v>-132</v>
      </c>
      <c r="DP12" s="207">
        <f>Opv.kohd.[[#This Row],[Tavoitteelliset opiskelijavuodet yhteensä 12]]-Opv.kohd.[[#This Row],[Tavoitteelliset opiskelijavuodet yhteensä 9]]</f>
        <v>-200</v>
      </c>
      <c r="DQ12" s="209">
        <f>IFERROR(Opv.kohd.[[#This Row],[Järjestämisluvan mukaiset 15]]/Opv.kohd.[[#This Row],[Järjestämisluvan mukaiset 9]],0)</f>
        <v>-1</v>
      </c>
      <c r="DR12" s="209">
        <f t="shared" si="10"/>
        <v>0</v>
      </c>
      <c r="DS12" s="209">
        <f t="shared" si="11"/>
        <v>0</v>
      </c>
      <c r="DT12" s="209">
        <f t="shared" si="12"/>
        <v>0</v>
      </c>
      <c r="DU12" s="209">
        <f t="shared" si="13"/>
        <v>0</v>
      </c>
      <c r="DV12" s="209">
        <f t="shared" si="14"/>
        <v>0</v>
      </c>
      <c r="DW12" s="209">
        <f t="shared" si="15"/>
        <v>0</v>
      </c>
      <c r="DX12" s="209">
        <f t="shared" si="16"/>
        <v>0</v>
      </c>
    </row>
    <row r="13" spans="1:128" x14ac:dyDescent="0.25">
      <c r="A13" s="204" t="e">
        <f>IF(INDEX(#REF!,ROW(13:13)-1,1)=0,"",INDEX(#REF!,ROW(13:13)-1,1))</f>
        <v>#REF!</v>
      </c>
      <c r="B13" s="205" t="str">
        <f>IFERROR(VLOOKUP(Opv.kohd.[[#This Row],[Y-tunnus]],'0 Järjestäjätiedot'!$A:$H,2,FALSE),"")</f>
        <v/>
      </c>
      <c r="C13" s="204" t="str">
        <f>IFERROR(VLOOKUP(Opv.kohd.[[#This Row],[Y-tunnus]],'0 Järjestäjätiedot'!$A:$H,COLUMN('0 Järjestäjätiedot'!D:D),FALSE),"")</f>
        <v/>
      </c>
      <c r="D13" s="204" t="str">
        <f>IFERROR(VLOOKUP(Opv.kohd.[[#This Row],[Y-tunnus]],'0 Järjestäjätiedot'!$A:$H,COLUMN('0 Järjestäjätiedot'!H:H),FALSE),"")</f>
        <v/>
      </c>
      <c r="E13" s="204">
        <f>IFERROR(VLOOKUP(Opv.kohd.[[#This Row],[Y-tunnus]],#REF!,COLUMN(#REF!),FALSE),0)</f>
        <v>0</v>
      </c>
      <c r="F13" s="204">
        <f>IFERROR(VLOOKUP(Opv.kohd.[[#This Row],[Y-tunnus]],#REF!,COLUMN(#REF!),FALSE),0)</f>
        <v>0</v>
      </c>
      <c r="G13" s="204">
        <f>IFERROR(VLOOKUP(Opv.kohd.[[#This Row],[Y-tunnus]],#REF!,COLUMN(#REF!),FALSE),0)</f>
        <v>0</v>
      </c>
      <c r="H13" s="204">
        <f>IFERROR(VLOOKUP(Opv.kohd.[[#This Row],[Y-tunnus]],#REF!,COLUMN(#REF!),FALSE),0)</f>
        <v>0</v>
      </c>
      <c r="I13" s="204">
        <f>IFERROR(VLOOKUP(Opv.kohd.[[#This Row],[Y-tunnus]],#REF!,COLUMN(#REF!),FALSE),0)</f>
        <v>0</v>
      </c>
      <c r="J13" s="204">
        <f>IFERROR(VLOOKUP(Opv.kohd.[[#This Row],[Y-tunnus]],#REF!,COLUMN(#REF!),FALSE),0)</f>
        <v>0</v>
      </c>
      <c r="K1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3" s="204">
        <f>Opv.kohd.[[#This Row],[Järjestämisluvan mukaiset 1]]+Opv.kohd.[[#This Row],[Yhteensä  1]]</f>
        <v>0</v>
      </c>
      <c r="M13" s="204">
        <f>IFERROR(VLOOKUP(Opv.kohd.[[#This Row],[Y-tunnus]],#REF!,COLUMN(#REF!),FALSE),0)</f>
        <v>0</v>
      </c>
      <c r="N13" s="204">
        <f>IFERROR(VLOOKUP(Opv.kohd.[[#This Row],[Y-tunnus]],#REF!,COLUMN(#REF!),FALSE),0)</f>
        <v>0</v>
      </c>
      <c r="O13" s="204">
        <f>IFERROR(VLOOKUP(Opv.kohd.[[#This Row],[Y-tunnus]],#REF!,COLUMN(#REF!),FALSE)+VLOOKUP(Opv.kohd.[[#This Row],[Y-tunnus]],#REF!,COLUMN(#REF!),FALSE),0)</f>
        <v>0</v>
      </c>
      <c r="P13" s="204">
        <f>Opv.kohd.[[#This Row],[Talousarvion perusteella kohdentamattomat]]+Opv.kohd.[[#This Row],[Talousarvion perusteella työvoimakoulutus 1]]+Opv.kohd.[[#This Row],[Lisätalousarvioiden perusteella]]</f>
        <v>0</v>
      </c>
      <c r="Q13" s="204">
        <f>IFERROR(VLOOKUP(Opv.kohd.[[#This Row],[Y-tunnus]],#REF!,COLUMN(#REF!),FALSE),0)</f>
        <v>0</v>
      </c>
      <c r="R13" s="210">
        <f>IFERROR(VLOOKUP(Opv.kohd.[[#This Row],[Y-tunnus]],#REF!,COLUMN(#REF!),FALSE)-(Opv.kohd.[[#This Row],[Kohdentamaton työvoima-koulutus 2]]+Opv.kohd.[[#This Row],[Maahan-muuttajien koulutus 2]]+Opv.kohd.[[#This Row],[Lisätalousarvioiden perusteella jaetut 2]]),0)</f>
        <v>0</v>
      </c>
      <c r="S13" s="210">
        <f>IFERROR(VLOOKUP(Opv.kohd.[[#This Row],[Y-tunnus]],#REF!,COLUMN(#REF!),FALSE)+VLOOKUP(Opv.kohd.[[#This Row],[Y-tunnus]],#REF!,COLUMN(#REF!),FALSE),0)</f>
        <v>0</v>
      </c>
      <c r="T13" s="210">
        <f>IFERROR(VLOOKUP(Opv.kohd.[[#This Row],[Y-tunnus]],#REF!,COLUMN(#REF!),FALSE)+VLOOKUP(Opv.kohd.[[#This Row],[Y-tunnus]],#REF!,COLUMN(#REF!),FALSE),0)</f>
        <v>0</v>
      </c>
      <c r="U1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3" s="210">
        <f>Opv.kohd.[[#This Row],[Kohdentamat-tomat 2]]+Opv.kohd.[[#This Row],[Kohdentamaton työvoima-koulutus 2]]+Opv.kohd.[[#This Row],[Maahan-muuttajien koulutus 2]]+Opv.kohd.[[#This Row],[Lisätalousarvioiden perusteella jaetut 2]]</f>
        <v>0</v>
      </c>
      <c r="W13" s="210">
        <f>Opv.kohd.[[#This Row],[Kohdentamat-tomat 2]]-(Opv.kohd.[[#This Row],[Järjestämisluvan mukaiset 1]]+Opv.kohd.[[#This Row],[Kohdentamat-tomat 1]]+Opv.kohd.[[#This Row],[Nuorisotyöt. väh. ja osaamistarp. vast., muu kuin työvoima-koulutus 1]]+Opv.kohd.[[#This Row],[Talousarvion perusteella kohdentamattomat]])</f>
        <v>0</v>
      </c>
      <c r="X13" s="210">
        <f>Opv.kohd.[[#This Row],[Kohdentamaton työvoima-koulutus 2]]-(Opv.kohd.[[#This Row],[Työvoima-koulutus 1]]+Opv.kohd.[[#This Row],[Nuorisotyöt. väh. ja osaamistarp. vast., työvoima-koulutus 1]]+Opv.kohd.[[#This Row],[Talousarvion perusteella työvoimakoulutus 1]])</f>
        <v>0</v>
      </c>
      <c r="Y13" s="210">
        <f>Opv.kohd.[[#This Row],[Maahan-muuttajien koulutus 2]]-Opv.kohd.[[#This Row],[Maahan-muuttajien koulutus 1]]</f>
        <v>0</v>
      </c>
      <c r="Z13" s="210">
        <f>Opv.kohd.[[#This Row],[Lisätalousarvioiden perusteella jaetut 2]]-Opv.kohd.[[#This Row],[Lisätalousarvioiden perusteella]]</f>
        <v>0</v>
      </c>
      <c r="AA13" s="210">
        <f>Opv.kohd.[[#This Row],[Toteutuneet opiskelijavuodet yhteensä 2]]-Opv.kohd.[[#This Row],[Vuoden 2018 tavoitteelliset opiskelijavuodet yhteensä 1]]</f>
        <v>0</v>
      </c>
      <c r="AB13" s="207">
        <f>IFERROR(VLOOKUP(Opv.kohd.[[#This Row],[Y-tunnus]],#REF!,3,FALSE),0)</f>
        <v>0</v>
      </c>
      <c r="AC13" s="207">
        <f>IFERROR(VLOOKUP(Opv.kohd.[[#This Row],[Y-tunnus]],#REF!,4,FALSE),0)</f>
        <v>0</v>
      </c>
      <c r="AD13" s="207">
        <f>IFERROR(VLOOKUP(Opv.kohd.[[#This Row],[Y-tunnus]],#REF!,5,FALSE),0)</f>
        <v>0</v>
      </c>
      <c r="AE13" s="207">
        <f>IFERROR(VLOOKUP(Opv.kohd.[[#This Row],[Y-tunnus]],#REF!,6,FALSE),0)</f>
        <v>0</v>
      </c>
      <c r="AF13" s="207">
        <f>IFERROR(VLOOKUP(Opv.kohd.[[#This Row],[Y-tunnus]],#REF!,7,FALSE),0)</f>
        <v>0</v>
      </c>
      <c r="AG13" s="207">
        <f>IFERROR(VLOOKUP(Opv.kohd.[[#This Row],[Y-tunnus]],#REF!,8,FALSE),0)</f>
        <v>0</v>
      </c>
      <c r="AH13" s="207">
        <f>IFERROR(VLOOKUP(Opv.kohd.[[#This Row],[Y-tunnus]],#REF!,9,FALSE),0)</f>
        <v>0</v>
      </c>
      <c r="AI13" s="207">
        <f>IFERROR(VLOOKUP(Opv.kohd.[[#This Row],[Y-tunnus]],#REF!,10,FALSE),0)</f>
        <v>0</v>
      </c>
      <c r="AJ13" s="204">
        <f>Opv.kohd.[[#This Row],[Järjestämisluvan mukaiset 4]]-Opv.kohd.[[#This Row],[Järjestämisluvan mukaiset 1]]</f>
        <v>0</v>
      </c>
      <c r="AK13" s="204">
        <f>Opv.kohd.[[#This Row],[Kohdentamat-tomat 4]]-Opv.kohd.[[#This Row],[Kohdentamat-tomat 1]]</f>
        <v>0</v>
      </c>
      <c r="AL13" s="204">
        <f>Opv.kohd.[[#This Row],[Työvoima-koulutus 4]]-Opv.kohd.[[#This Row],[Työvoima-koulutus 1]]</f>
        <v>0</v>
      </c>
      <c r="AM13" s="204">
        <f>Opv.kohd.[[#This Row],[Maahan-muuttajien koulutus 4]]-Opv.kohd.[[#This Row],[Maahan-muuttajien koulutus 1]]</f>
        <v>0</v>
      </c>
      <c r="AN13" s="204">
        <f>Opv.kohd.[[#This Row],[Nuorisotyöt. väh. ja osaamistarp. vast., muu kuin työvoima-koulutus 4]]-Opv.kohd.[[#This Row],[Nuorisotyöt. väh. ja osaamistarp. vast., muu kuin työvoima-koulutus 1]]</f>
        <v>0</v>
      </c>
      <c r="AO13" s="204">
        <f>Opv.kohd.[[#This Row],[Nuorisotyöt. väh. ja osaamistarp. vast., työvoima-koulutus 4]]-Opv.kohd.[[#This Row],[Nuorisotyöt. väh. ja osaamistarp. vast., työvoima-koulutus 1]]</f>
        <v>0</v>
      </c>
      <c r="AP13" s="204">
        <f>Opv.kohd.[[#This Row],[Yhteensä 4]]-Opv.kohd.[[#This Row],[Yhteensä  1]]</f>
        <v>0</v>
      </c>
      <c r="AQ13" s="204">
        <f>Opv.kohd.[[#This Row],[Ensikertaisella suoritepäätöksellä jaetut tavoitteelliset opiskelijavuodet yhteensä 4]]-Opv.kohd.[[#This Row],[Ensikertaisella suoritepäätöksellä jaetut tavoitteelliset opiskelijavuodet yhteensä 1]]</f>
        <v>0</v>
      </c>
      <c r="AR13" s="208">
        <f>IFERROR(Opv.kohd.[[#This Row],[Järjestämisluvan mukaiset 5]]/Opv.kohd.[[#This Row],[Järjestämisluvan mukaiset 4]],0)</f>
        <v>0</v>
      </c>
      <c r="AS13" s="208">
        <f>IFERROR(Opv.kohd.[[#This Row],[Kohdentamat-tomat 5]]/Opv.kohd.[[#This Row],[Kohdentamat-tomat 4]],0)</f>
        <v>0</v>
      </c>
      <c r="AT13" s="208">
        <f>IFERROR(Opv.kohd.[[#This Row],[Työvoima-koulutus 5]]/Opv.kohd.[[#This Row],[Työvoima-koulutus 4]],0)</f>
        <v>0</v>
      </c>
      <c r="AU13" s="208">
        <f>IFERROR(Opv.kohd.[[#This Row],[Maahan-muuttajien koulutus 5]]/Opv.kohd.[[#This Row],[Maahan-muuttajien koulutus 4]],0)</f>
        <v>0</v>
      </c>
      <c r="AV13" s="208">
        <f>IFERROR(Opv.kohd.[[#This Row],[Nuorisotyöt. väh. ja osaamistarp. vast., muu kuin työvoima-koulutus 5]]/Opv.kohd.[[#This Row],[Nuorisotyöt. väh. ja osaamistarp. vast., muu kuin työvoima-koulutus 4]],0)</f>
        <v>0</v>
      </c>
      <c r="AW13" s="208">
        <f>IFERROR(Opv.kohd.[[#This Row],[Nuorisotyöt. väh. ja osaamistarp. vast., työvoima-koulutus 5]]/Opv.kohd.[[#This Row],[Nuorisotyöt. väh. ja osaamistarp. vast., työvoima-koulutus 4]],0)</f>
        <v>0</v>
      </c>
      <c r="AX13" s="208">
        <f>IFERROR(Opv.kohd.[[#This Row],[Yhteensä 5]]/Opv.kohd.[[#This Row],[Yhteensä 4]],0)</f>
        <v>0</v>
      </c>
      <c r="AY13" s="208">
        <f>IFERROR(Opv.kohd.[[#This Row],[Ensikertaisella suoritepäätöksellä jaetut tavoitteelliset opiskelijavuodet yhteensä 5]]/Opv.kohd.[[#This Row],[Ensikertaisella suoritepäätöksellä jaetut tavoitteelliset opiskelijavuodet yhteensä 4]],0)</f>
        <v>0</v>
      </c>
      <c r="AZ13" s="207">
        <f>Opv.kohd.[[#This Row],[Yhteensä 7a]]-Opv.kohd.[[#This Row],[Työvoima-koulutus 7a]]</f>
        <v>0</v>
      </c>
      <c r="BA13" s="207">
        <f>IFERROR(VLOOKUP(Opv.kohd.[[#This Row],[Y-tunnus]],#REF!,COLUMN(#REF!),FALSE),0)</f>
        <v>0</v>
      </c>
      <c r="BB13" s="207">
        <f>IFERROR(VLOOKUP(Opv.kohd.[[#This Row],[Y-tunnus]],#REF!,COLUMN(#REF!),FALSE),0)</f>
        <v>0</v>
      </c>
      <c r="BC13" s="207">
        <f>Opv.kohd.[[#This Row],[Muu kuin työvoima-koulutus 7c]]-Opv.kohd.[[#This Row],[Muu kuin työvoima-koulutus 7a]]</f>
        <v>0</v>
      </c>
      <c r="BD13" s="207">
        <f>Opv.kohd.[[#This Row],[Työvoima-koulutus 7c]]-Opv.kohd.[[#This Row],[Työvoima-koulutus 7a]]</f>
        <v>0</v>
      </c>
      <c r="BE13" s="207">
        <f>Opv.kohd.[[#This Row],[Yhteensä 7c]]-Opv.kohd.[[#This Row],[Yhteensä 7a]]</f>
        <v>0</v>
      </c>
      <c r="BF13" s="207">
        <f>Opv.kohd.[[#This Row],[Yhteensä 7c]]-Opv.kohd.[[#This Row],[Työvoima-koulutus 7c]]</f>
        <v>0</v>
      </c>
      <c r="BG13" s="207">
        <f>IFERROR(VLOOKUP(Opv.kohd.[[#This Row],[Y-tunnus]],#REF!,COLUMN(#REF!),FALSE),0)</f>
        <v>0</v>
      </c>
      <c r="BH13" s="207">
        <f>IFERROR(VLOOKUP(Opv.kohd.[[#This Row],[Y-tunnus]],#REF!,COLUMN(#REF!),FALSE),0)</f>
        <v>0</v>
      </c>
      <c r="BI13" s="207">
        <f>IFERROR(VLOOKUP(Opv.kohd.[[#This Row],[Y-tunnus]],#REF!,COLUMN(#REF!),FALSE),0)</f>
        <v>0</v>
      </c>
      <c r="BJ13" s="207">
        <f>IFERROR(VLOOKUP(Opv.kohd.[[#This Row],[Y-tunnus]],#REF!,COLUMN(#REF!),FALSE),0)</f>
        <v>0</v>
      </c>
      <c r="BK13" s="207">
        <f>Opv.kohd.[[#This Row],[Muu kuin työvoima-koulutus 7d]]+Opv.kohd.[[#This Row],[Työvoima-koulutus 7d]]</f>
        <v>0</v>
      </c>
      <c r="BL13" s="207">
        <f>Opv.kohd.[[#This Row],[Muu kuin työvoima-koulutus 7c]]-Opv.kohd.[[#This Row],[Muu kuin työvoima-koulutus 7d]]</f>
        <v>0</v>
      </c>
      <c r="BM13" s="207">
        <f>Opv.kohd.[[#This Row],[Työvoima-koulutus 7c]]-Opv.kohd.[[#This Row],[Työvoima-koulutus 7d]]</f>
        <v>0</v>
      </c>
      <c r="BN13" s="207">
        <f>Opv.kohd.[[#This Row],[Yhteensä 7c]]-Opv.kohd.[[#This Row],[Yhteensä 7d]]</f>
        <v>0</v>
      </c>
      <c r="BO13" s="207">
        <f>Opv.kohd.[[#This Row],[Muu kuin työvoima-koulutus 7e]]-(Opv.kohd.[[#This Row],[Järjestämisluvan mukaiset 4]]+Opv.kohd.[[#This Row],[Kohdentamat-tomat 4]]+Opv.kohd.[[#This Row],[Maahan-muuttajien koulutus 4]]+Opv.kohd.[[#This Row],[Nuorisotyöt. väh. ja osaamistarp. vast., muu kuin työvoima-koulutus 4]])</f>
        <v>0</v>
      </c>
      <c r="BP13" s="207">
        <f>Opv.kohd.[[#This Row],[Työvoima-koulutus 7e]]-(Opv.kohd.[[#This Row],[Työvoima-koulutus 4]]+Opv.kohd.[[#This Row],[Nuorisotyöt. väh. ja osaamistarp. vast., työvoima-koulutus 4]])</f>
        <v>0</v>
      </c>
      <c r="BQ13" s="207">
        <f>Opv.kohd.[[#This Row],[Yhteensä 7e]]-Opv.kohd.[[#This Row],[Ensikertaisella suoritepäätöksellä jaetut tavoitteelliset opiskelijavuodet yhteensä 4]]</f>
        <v>0</v>
      </c>
      <c r="BR13" s="263">
        <v>1592</v>
      </c>
      <c r="BS13" s="263">
        <v>100</v>
      </c>
      <c r="BT13" s="263">
        <v>30</v>
      </c>
      <c r="BU13" s="263">
        <v>40</v>
      </c>
      <c r="BV13" s="263">
        <v>20</v>
      </c>
      <c r="BW13" s="263">
        <v>0</v>
      </c>
      <c r="BX13" s="263">
        <v>190</v>
      </c>
      <c r="BY13" s="263">
        <v>1782</v>
      </c>
      <c r="BZ13" s="207">
        <f t="shared" si="2"/>
        <v>1592</v>
      </c>
      <c r="CA13" s="207">
        <f t="shared" si="3"/>
        <v>100</v>
      </c>
      <c r="CB13" s="207">
        <f t="shared" si="4"/>
        <v>30</v>
      </c>
      <c r="CC13" s="207">
        <f t="shared" si="5"/>
        <v>40</v>
      </c>
      <c r="CD13" s="207">
        <f t="shared" si="6"/>
        <v>20</v>
      </c>
      <c r="CE13" s="207">
        <f t="shared" si="7"/>
        <v>0</v>
      </c>
      <c r="CF13" s="207">
        <f t="shared" si="8"/>
        <v>190</v>
      </c>
      <c r="CG13" s="207">
        <f t="shared" si="9"/>
        <v>1782</v>
      </c>
      <c r="CH13" s="207">
        <f>Opv.kohd.[[#This Row],[Tavoitteelliset opiskelijavuodet yhteensä 9]]-Opv.kohd.[[#This Row],[Työvoima-koulutus 9]]-Opv.kohd.[[#This Row],[Nuorisotyöt. väh. ja osaamistarp. vast., työvoima-koulutus 9]]-Opv.kohd.[[#This Row],[Muu kuin työvoima-koulutus 7e]]</f>
        <v>1752</v>
      </c>
      <c r="CI13" s="207">
        <f>(Opv.kohd.[[#This Row],[Työvoima-koulutus 9]]+Opv.kohd.[[#This Row],[Nuorisotyöt. väh. ja osaamistarp. vast., työvoima-koulutus 9]])-Opv.kohd.[[#This Row],[Työvoima-koulutus 7e]]</f>
        <v>30</v>
      </c>
      <c r="CJ13" s="207">
        <f>Opv.kohd.[[#This Row],[Tavoitteelliset opiskelijavuodet yhteensä 9]]-Opv.kohd.[[#This Row],[Yhteensä 7e]]</f>
        <v>1782</v>
      </c>
      <c r="CK13" s="207">
        <f>Opv.kohd.[[#This Row],[Järjestämisluvan mukaiset 4]]+Opv.kohd.[[#This Row],[Järjestämisluvan mukaiset 13]]</f>
        <v>0</v>
      </c>
      <c r="CL13" s="207">
        <f>Opv.kohd.[[#This Row],[Kohdentamat-tomat 4]]+Opv.kohd.[[#This Row],[Kohdentamat-tomat 13]]</f>
        <v>0</v>
      </c>
      <c r="CM13" s="207">
        <f>Opv.kohd.[[#This Row],[Työvoima-koulutus 4]]+Opv.kohd.[[#This Row],[Työvoima-koulutus 13]]</f>
        <v>0</v>
      </c>
      <c r="CN13" s="207">
        <f>Opv.kohd.[[#This Row],[Maahan-muuttajien koulutus 4]]+Opv.kohd.[[#This Row],[Maahan-muuttajien koulutus 13]]</f>
        <v>0</v>
      </c>
      <c r="CO13" s="207">
        <f>Opv.kohd.[[#This Row],[Nuorisotyöt. väh. ja osaamistarp. vast., muu kuin työvoima-koulutus 4]]+Opv.kohd.[[#This Row],[Nuorisotyöt. väh. ja osaamistarp. vast., muu kuin työvoima-koulutus 13]]</f>
        <v>0</v>
      </c>
      <c r="CP13" s="207">
        <f>Opv.kohd.[[#This Row],[Nuorisotyöt. väh. ja osaamistarp. vast., työvoima-koulutus 4]]+Opv.kohd.[[#This Row],[Nuorisotyöt. väh. ja osaamistarp. vast., työvoima-koulutus 13]]</f>
        <v>0</v>
      </c>
      <c r="CQ13" s="207">
        <f>Opv.kohd.[[#This Row],[Yhteensä 4]]+Opv.kohd.[[#This Row],[Yhteensä 13]]</f>
        <v>0</v>
      </c>
      <c r="CR13" s="207">
        <f>Opv.kohd.[[#This Row],[Ensikertaisella suoritepäätöksellä jaetut tavoitteelliset opiskelijavuodet yhteensä 4]]+Opv.kohd.[[#This Row],[Tavoitteelliset opiskelijavuodet yhteensä 13]]</f>
        <v>0</v>
      </c>
      <c r="CS13" s="120">
        <v>0</v>
      </c>
      <c r="CT13" s="120">
        <v>0</v>
      </c>
      <c r="CU13" s="120">
        <v>0</v>
      </c>
      <c r="CV13" s="120">
        <v>0</v>
      </c>
      <c r="CW13" s="120">
        <v>0</v>
      </c>
      <c r="CX13" s="120">
        <v>0</v>
      </c>
      <c r="CY13" s="120">
        <v>0</v>
      </c>
      <c r="CZ13" s="120">
        <v>0</v>
      </c>
      <c r="DA13" s="209">
        <f>IFERROR(Opv.kohd.[[#This Row],[Järjestämisluvan mukaiset 13]]/Opv.kohd.[[#This Row],[Järjestämisluvan mukaiset 12]],0)</f>
        <v>0</v>
      </c>
      <c r="DB13" s="209">
        <f>IFERROR(Opv.kohd.[[#This Row],[Kohdentamat-tomat 13]]/Opv.kohd.[[#This Row],[Kohdentamat-tomat 12]],0)</f>
        <v>0</v>
      </c>
      <c r="DC13" s="209">
        <f>IFERROR(Opv.kohd.[[#This Row],[Työvoima-koulutus 13]]/Opv.kohd.[[#This Row],[Työvoima-koulutus 12]],0)</f>
        <v>0</v>
      </c>
      <c r="DD13" s="209">
        <f>IFERROR(Opv.kohd.[[#This Row],[Maahan-muuttajien koulutus 13]]/Opv.kohd.[[#This Row],[Maahan-muuttajien koulutus 12]],0)</f>
        <v>0</v>
      </c>
      <c r="DE13" s="209">
        <f>IFERROR(Opv.kohd.[[#This Row],[Nuorisotyöt. väh. ja osaamistarp. vast., muu kuin työvoima-koulutus 13]]/Opv.kohd.[[#This Row],[Nuorisotyöt. väh. ja osaamistarp. vast., muu kuin työvoima-koulutus 12]],0)</f>
        <v>0</v>
      </c>
      <c r="DF13" s="209">
        <f>IFERROR(Opv.kohd.[[#This Row],[Nuorisotyöt. väh. ja osaamistarp. vast., työvoima-koulutus 13]]/Opv.kohd.[[#This Row],[Nuorisotyöt. väh. ja osaamistarp. vast., työvoima-koulutus 12]],0)</f>
        <v>0</v>
      </c>
      <c r="DG13" s="209">
        <f>IFERROR(Opv.kohd.[[#This Row],[Yhteensä 13]]/Opv.kohd.[[#This Row],[Yhteensä 12]],0)</f>
        <v>0</v>
      </c>
      <c r="DH13" s="209">
        <f>IFERROR(Opv.kohd.[[#This Row],[Tavoitteelliset opiskelijavuodet yhteensä 13]]/Opv.kohd.[[#This Row],[Tavoitteelliset opiskelijavuodet yhteensä 12]],0)</f>
        <v>0</v>
      </c>
      <c r="DI13" s="207">
        <f>Opv.kohd.[[#This Row],[Järjestämisluvan mukaiset 12]]-Opv.kohd.[[#This Row],[Järjestämisluvan mukaiset 9]]</f>
        <v>-1592</v>
      </c>
      <c r="DJ13" s="207">
        <f>Opv.kohd.[[#This Row],[Kohdentamat-tomat 12]]-Opv.kohd.[[#This Row],[Kohdentamat-tomat 9]]</f>
        <v>-100</v>
      </c>
      <c r="DK13" s="207">
        <f>Opv.kohd.[[#This Row],[Työvoima-koulutus 12]]-Opv.kohd.[[#This Row],[Työvoima-koulutus 9]]</f>
        <v>-30</v>
      </c>
      <c r="DL13" s="207">
        <f>Opv.kohd.[[#This Row],[Maahan-muuttajien koulutus 12]]-Opv.kohd.[[#This Row],[Maahan-muuttajien koulutus 9]]</f>
        <v>-40</v>
      </c>
      <c r="DM13" s="207">
        <f>Opv.kohd.[[#This Row],[Nuorisotyöt. väh. ja osaamistarp. vast., muu kuin työvoima-koulutus 12]]-Opv.kohd.[[#This Row],[Nuorisotyöt. väh. ja osaamistarp. vast., muu kuin työvoima-koulutus 9]]</f>
        <v>-20</v>
      </c>
      <c r="DN13" s="207">
        <f>Opv.kohd.[[#This Row],[Nuorisotyöt. väh. ja osaamistarp. vast., työvoima-koulutus 12]]-Opv.kohd.[[#This Row],[Nuorisotyöt. väh. ja osaamistarp. vast., työvoima-koulutus 9]]</f>
        <v>0</v>
      </c>
      <c r="DO13" s="207">
        <f>Opv.kohd.[[#This Row],[Yhteensä 12]]-Opv.kohd.[[#This Row],[Yhteensä 9]]</f>
        <v>-190</v>
      </c>
      <c r="DP13" s="207">
        <f>Opv.kohd.[[#This Row],[Tavoitteelliset opiskelijavuodet yhteensä 12]]-Opv.kohd.[[#This Row],[Tavoitteelliset opiskelijavuodet yhteensä 9]]</f>
        <v>-1782</v>
      </c>
      <c r="DQ13" s="209">
        <f>IFERROR(Opv.kohd.[[#This Row],[Järjestämisluvan mukaiset 15]]/Opv.kohd.[[#This Row],[Järjestämisluvan mukaiset 9]],0)</f>
        <v>-1</v>
      </c>
      <c r="DR13" s="209">
        <f t="shared" si="10"/>
        <v>0</v>
      </c>
      <c r="DS13" s="209">
        <f t="shared" si="11"/>
        <v>0</v>
      </c>
      <c r="DT13" s="209">
        <f t="shared" si="12"/>
        <v>0</v>
      </c>
      <c r="DU13" s="209">
        <f t="shared" si="13"/>
        <v>0</v>
      </c>
      <c r="DV13" s="209">
        <f t="shared" si="14"/>
        <v>0</v>
      </c>
      <c r="DW13" s="209">
        <f t="shared" si="15"/>
        <v>0</v>
      </c>
      <c r="DX13" s="209">
        <f t="shared" si="16"/>
        <v>0</v>
      </c>
    </row>
    <row r="14" spans="1:128" x14ac:dyDescent="0.25">
      <c r="A14" s="204" t="e">
        <f>IF(INDEX(#REF!,ROW(14:14)-1,1)=0,"",INDEX(#REF!,ROW(14:14)-1,1))</f>
        <v>#REF!</v>
      </c>
      <c r="B14" s="205" t="str">
        <f>IFERROR(VLOOKUP(Opv.kohd.[[#This Row],[Y-tunnus]],'0 Järjestäjätiedot'!$A:$H,2,FALSE),"")</f>
        <v/>
      </c>
      <c r="C14" s="204" t="str">
        <f>IFERROR(VLOOKUP(Opv.kohd.[[#This Row],[Y-tunnus]],'0 Järjestäjätiedot'!$A:$H,COLUMN('0 Järjestäjätiedot'!D:D),FALSE),"")</f>
        <v/>
      </c>
      <c r="D14" s="204" t="str">
        <f>IFERROR(VLOOKUP(Opv.kohd.[[#This Row],[Y-tunnus]],'0 Järjestäjätiedot'!$A:$H,COLUMN('0 Järjestäjätiedot'!H:H),FALSE),"")</f>
        <v/>
      </c>
      <c r="E14" s="204">
        <f>IFERROR(VLOOKUP(Opv.kohd.[[#This Row],[Y-tunnus]],#REF!,COLUMN(#REF!),FALSE),0)</f>
        <v>0</v>
      </c>
      <c r="F14" s="204">
        <f>IFERROR(VLOOKUP(Opv.kohd.[[#This Row],[Y-tunnus]],#REF!,COLUMN(#REF!),FALSE),0)</f>
        <v>0</v>
      </c>
      <c r="G14" s="204">
        <f>IFERROR(VLOOKUP(Opv.kohd.[[#This Row],[Y-tunnus]],#REF!,COLUMN(#REF!),FALSE),0)</f>
        <v>0</v>
      </c>
      <c r="H14" s="204">
        <f>IFERROR(VLOOKUP(Opv.kohd.[[#This Row],[Y-tunnus]],#REF!,COLUMN(#REF!),FALSE),0)</f>
        <v>0</v>
      </c>
      <c r="I14" s="204">
        <f>IFERROR(VLOOKUP(Opv.kohd.[[#This Row],[Y-tunnus]],#REF!,COLUMN(#REF!),FALSE),0)</f>
        <v>0</v>
      </c>
      <c r="J14" s="204">
        <f>IFERROR(VLOOKUP(Opv.kohd.[[#This Row],[Y-tunnus]],#REF!,COLUMN(#REF!),FALSE),0)</f>
        <v>0</v>
      </c>
      <c r="K1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4" s="204">
        <f>Opv.kohd.[[#This Row],[Järjestämisluvan mukaiset 1]]+Opv.kohd.[[#This Row],[Yhteensä  1]]</f>
        <v>0</v>
      </c>
      <c r="M14" s="204">
        <f>IFERROR(VLOOKUP(Opv.kohd.[[#This Row],[Y-tunnus]],#REF!,COLUMN(#REF!),FALSE),0)</f>
        <v>0</v>
      </c>
      <c r="N14" s="204">
        <f>IFERROR(VLOOKUP(Opv.kohd.[[#This Row],[Y-tunnus]],#REF!,COLUMN(#REF!),FALSE),0)</f>
        <v>0</v>
      </c>
      <c r="O14" s="204">
        <f>IFERROR(VLOOKUP(Opv.kohd.[[#This Row],[Y-tunnus]],#REF!,COLUMN(#REF!),FALSE)+VLOOKUP(Opv.kohd.[[#This Row],[Y-tunnus]],#REF!,COLUMN(#REF!),FALSE),0)</f>
        <v>0</v>
      </c>
      <c r="P14" s="204">
        <f>Opv.kohd.[[#This Row],[Talousarvion perusteella kohdentamattomat]]+Opv.kohd.[[#This Row],[Talousarvion perusteella työvoimakoulutus 1]]+Opv.kohd.[[#This Row],[Lisätalousarvioiden perusteella]]</f>
        <v>0</v>
      </c>
      <c r="Q14" s="204">
        <f>IFERROR(VLOOKUP(Opv.kohd.[[#This Row],[Y-tunnus]],#REF!,COLUMN(#REF!),FALSE),0)</f>
        <v>0</v>
      </c>
      <c r="R14" s="210">
        <f>IFERROR(VLOOKUP(Opv.kohd.[[#This Row],[Y-tunnus]],#REF!,COLUMN(#REF!),FALSE)-(Opv.kohd.[[#This Row],[Kohdentamaton työvoima-koulutus 2]]+Opv.kohd.[[#This Row],[Maahan-muuttajien koulutus 2]]+Opv.kohd.[[#This Row],[Lisätalousarvioiden perusteella jaetut 2]]),0)</f>
        <v>0</v>
      </c>
      <c r="S14" s="210">
        <f>IFERROR(VLOOKUP(Opv.kohd.[[#This Row],[Y-tunnus]],#REF!,COLUMN(#REF!),FALSE)+VLOOKUP(Opv.kohd.[[#This Row],[Y-tunnus]],#REF!,COLUMN(#REF!),FALSE),0)</f>
        <v>0</v>
      </c>
      <c r="T14" s="210">
        <f>IFERROR(VLOOKUP(Opv.kohd.[[#This Row],[Y-tunnus]],#REF!,COLUMN(#REF!),FALSE)+VLOOKUP(Opv.kohd.[[#This Row],[Y-tunnus]],#REF!,COLUMN(#REF!),FALSE),0)</f>
        <v>0</v>
      </c>
      <c r="U1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4" s="210">
        <f>Opv.kohd.[[#This Row],[Kohdentamat-tomat 2]]+Opv.kohd.[[#This Row],[Kohdentamaton työvoima-koulutus 2]]+Opv.kohd.[[#This Row],[Maahan-muuttajien koulutus 2]]+Opv.kohd.[[#This Row],[Lisätalousarvioiden perusteella jaetut 2]]</f>
        <v>0</v>
      </c>
      <c r="W14" s="210">
        <f>Opv.kohd.[[#This Row],[Kohdentamat-tomat 2]]-(Opv.kohd.[[#This Row],[Järjestämisluvan mukaiset 1]]+Opv.kohd.[[#This Row],[Kohdentamat-tomat 1]]+Opv.kohd.[[#This Row],[Nuorisotyöt. väh. ja osaamistarp. vast., muu kuin työvoima-koulutus 1]]+Opv.kohd.[[#This Row],[Talousarvion perusteella kohdentamattomat]])</f>
        <v>0</v>
      </c>
      <c r="X14" s="210">
        <f>Opv.kohd.[[#This Row],[Kohdentamaton työvoima-koulutus 2]]-(Opv.kohd.[[#This Row],[Työvoima-koulutus 1]]+Opv.kohd.[[#This Row],[Nuorisotyöt. väh. ja osaamistarp. vast., työvoima-koulutus 1]]+Opv.kohd.[[#This Row],[Talousarvion perusteella työvoimakoulutus 1]])</f>
        <v>0</v>
      </c>
      <c r="Y14" s="210">
        <f>Opv.kohd.[[#This Row],[Maahan-muuttajien koulutus 2]]-Opv.kohd.[[#This Row],[Maahan-muuttajien koulutus 1]]</f>
        <v>0</v>
      </c>
      <c r="Z14" s="210">
        <f>Opv.kohd.[[#This Row],[Lisätalousarvioiden perusteella jaetut 2]]-Opv.kohd.[[#This Row],[Lisätalousarvioiden perusteella]]</f>
        <v>0</v>
      </c>
      <c r="AA14" s="210">
        <f>Opv.kohd.[[#This Row],[Toteutuneet opiskelijavuodet yhteensä 2]]-Opv.kohd.[[#This Row],[Vuoden 2018 tavoitteelliset opiskelijavuodet yhteensä 1]]</f>
        <v>0</v>
      </c>
      <c r="AB14" s="207">
        <f>IFERROR(VLOOKUP(Opv.kohd.[[#This Row],[Y-tunnus]],#REF!,3,FALSE),0)</f>
        <v>0</v>
      </c>
      <c r="AC14" s="207">
        <f>IFERROR(VLOOKUP(Opv.kohd.[[#This Row],[Y-tunnus]],#REF!,4,FALSE),0)</f>
        <v>0</v>
      </c>
      <c r="AD14" s="207">
        <f>IFERROR(VLOOKUP(Opv.kohd.[[#This Row],[Y-tunnus]],#REF!,5,FALSE),0)</f>
        <v>0</v>
      </c>
      <c r="AE14" s="207">
        <f>IFERROR(VLOOKUP(Opv.kohd.[[#This Row],[Y-tunnus]],#REF!,6,FALSE),0)</f>
        <v>0</v>
      </c>
      <c r="AF14" s="207">
        <f>IFERROR(VLOOKUP(Opv.kohd.[[#This Row],[Y-tunnus]],#REF!,7,FALSE),0)</f>
        <v>0</v>
      </c>
      <c r="AG14" s="207">
        <f>IFERROR(VLOOKUP(Opv.kohd.[[#This Row],[Y-tunnus]],#REF!,8,FALSE),0)</f>
        <v>0</v>
      </c>
      <c r="AH14" s="207">
        <f>IFERROR(VLOOKUP(Opv.kohd.[[#This Row],[Y-tunnus]],#REF!,9,FALSE),0)</f>
        <v>0</v>
      </c>
      <c r="AI14" s="207">
        <f>IFERROR(VLOOKUP(Opv.kohd.[[#This Row],[Y-tunnus]],#REF!,10,FALSE),0)</f>
        <v>0</v>
      </c>
      <c r="AJ14" s="204">
        <f>Opv.kohd.[[#This Row],[Järjestämisluvan mukaiset 4]]-Opv.kohd.[[#This Row],[Järjestämisluvan mukaiset 1]]</f>
        <v>0</v>
      </c>
      <c r="AK14" s="204">
        <f>Opv.kohd.[[#This Row],[Kohdentamat-tomat 4]]-Opv.kohd.[[#This Row],[Kohdentamat-tomat 1]]</f>
        <v>0</v>
      </c>
      <c r="AL14" s="204">
        <f>Opv.kohd.[[#This Row],[Työvoima-koulutus 4]]-Opv.kohd.[[#This Row],[Työvoima-koulutus 1]]</f>
        <v>0</v>
      </c>
      <c r="AM14" s="204">
        <f>Opv.kohd.[[#This Row],[Maahan-muuttajien koulutus 4]]-Opv.kohd.[[#This Row],[Maahan-muuttajien koulutus 1]]</f>
        <v>0</v>
      </c>
      <c r="AN14" s="204">
        <f>Opv.kohd.[[#This Row],[Nuorisotyöt. väh. ja osaamistarp. vast., muu kuin työvoima-koulutus 4]]-Opv.kohd.[[#This Row],[Nuorisotyöt. väh. ja osaamistarp. vast., muu kuin työvoima-koulutus 1]]</f>
        <v>0</v>
      </c>
      <c r="AO14" s="204">
        <f>Opv.kohd.[[#This Row],[Nuorisotyöt. väh. ja osaamistarp. vast., työvoima-koulutus 4]]-Opv.kohd.[[#This Row],[Nuorisotyöt. väh. ja osaamistarp. vast., työvoima-koulutus 1]]</f>
        <v>0</v>
      </c>
      <c r="AP14" s="204">
        <f>Opv.kohd.[[#This Row],[Yhteensä 4]]-Opv.kohd.[[#This Row],[Yhteensä  1]]</f>
        <v>0</v>
      </c>
      <c r="AQ14" s="204">
        <f>Opv.kohd.[[#This Row],[Ensikertaisella suoritepäätöksellä jaetut tavoitteelliset opiskelijavuodet yhteensä 4]]-Opv.kohd.[[#This Row],[Ensikertaisella suoritepäätöksellä jaetut tavoitteelliset opiskelijavuodet yhteensä 1]]</f>
        <v>0</v>
      </c>
      <c r="AR14" s="208">
        <f>IFERROR(Opv.kohd.[[#This Row],[Järjestämisluvan mukaiset 5]]/Opv.kohd.[[#This Row],[Järjestämisluvan mukaiset 4]],0)</f>
        <v>0</v>
      </c>
      <c r="AS14" s="208">
        <f>IFERROR(Opv.kohd.[[#This Row],[Kohdentamat-tomat 5]]/Opv.kohd.[[#This Row],[Kohdentamat-tomat 4]],0)</f>
        <v>0</v>
      </c>
      <c r="AT14" s="208">
        <f>IFERROR(Opv.kohd.[[#This Row],[Työvoima-koulutus 5]]/Opv.kohd.[[#This Row],[Työvoima-koulutus 4]],0)</f>
        <v>0</v>
      </c>
      <c r="AU14" s="208">
        <f>IFERROR(Opv.kohd.[[#This Row],[Maahan-muuttajien koulutus 5]]/Opv.kohd.[[#This Row],[Maahan-muuttajien koulutus 4]],0)</f>
        <v>0</v>
      </c>
      <c r="AV14" s="208">
        <f>IFERROR(Opv.kohd.[[#This Row],[Nuorisotyöt. väh. ja osaamistarp. vast., muu kuin työvoima-koulutus 5]]/Opv.kohd.[[#This Row],[Nuorisotyöt. väh. ja osaamistarp. vast., muu kuin työvoima-koulutus 4]],0)</f>
        <v>0</v>
      </c>
      <c r="AW14" s="208">
        <f>IFERROR(Opv.kohd.[[#This Row],[Nuorisotyöt. väh. ja osaamistarp. vast., työvoima-koulutus 5]]/Opv.kohd.[[#This Row],[Nuorisotyöt. väh. ja osaamistarp. vast., työvoima-koulutus 4]],0)</f>
        <v>0</v>
      </c>
      <c r="AX14" s="208">
        <f>IFERROR(Opv.kohd.[[#This Row],[Yhteensä 5]]/Opv.kohd.[[#This Row],[Yhteensä 4]],0)</f>
        <v>0</v>
      </c>
      <c r="AY14" s="208">
        <f>IFERROR(Opv.kohd.[[#This Row],[Ensikertaisella suoritepäätöksellä jaetut tavoitteelliset opiskelijavuodet yhteensä 5]]/Opv.kohd.[[#This Row],[Ensikertaisella suoritepäätöksellä jaetut tavoitteelliset opiskelijavuodet yhteensä 4]],0)</f>
        <v>0</v>
      </c>
      <c r="AZ14" s="207">
        <f>Opv.kohd.[[#This Row],[Yhteensä 7a]]-Opv.kohd.[[#This Row],[Työvoima-koulutus 7a]]</f>
        <v>0</v>
      </c>
      <c r="BA14" s="207">
        <f>IFERROR(VLOOKUP(Opv.kohd.[[#This Row],[Y-tunnus]],#REF!,COLUMN(#REF!),FALSE),0)</f>
        <v>0</v>
      </c>
      <c r="BB14" s="207">
        <f>IFERROR(VLOOKUP(Opv.kohd.[[#This Row],[Y-tunnus]],#REF!,COLUMN(#REF!),FALSE),0)</f>
        <v>0</v>
      </c>
      <c r="BC14" s="207">
        <f>Opv.kohd.[[#This Row],[Muu kuin työvoima-koulutus 7c]]-Opv.kohd.[[#This Row],[Muu kuin työvoima-koulutus 7a]]</f>
        <v>0</v>
      </c>
      <c r="BD14" s="207">
        <f>Opv.kohd.[[#This Row],[Työvoima-koulutus 7c]]-Opv.kohd.[[#This Row],[Työvoima-koulutus 7a]]</f>
        <v>0</v>
      </c>
      <c r="BE14" s="207">
        <f>Opv.kohd.[[#This Row],[Yhteensä 7c]]-Opv.kohd.[[#This Row],[Yhteensä 7a]]</f>
        <v>0</v>
      </c>
      <c r="BF14" s="207">
        <f>Opv.kohd.[[#This Row],[Yhteensä 7c]]-Opv.kohd.[[#This Row],[Työvoima-koulutus 7c]]</f>
        <v>0</v>
      </c>
      <c r="BG14" s="207">
        <f>IFERROR(VLOOKUP(Opv.kohd.[[#This Row],[Y-tunnus]],#REF!,COLUMN(#REF!),FALSE),0)</f>
        <v>0</v>
      </c>
      <c r="BH14" s="207">
        <f>IFERROR(VLOOKUP(Opv.kohd.[[#This Row],[Y-tunnus]],#REF!,COLUMN(#REF!),FALSE),0)</f>
        <v>0</v>
      </c>
      <c r="BI14" s="207">
        <f>IFERROR(VLOOKUP(Opv.kohd.[[#This Row],[Y-tunnus]],#REF!,COLUMN(#REF!),FALSE),0)</f>
        <v>0</v>
      </c>
      <c r="BJ14" s="207">
        <f>IFERROR(VLOOKUP(Opv.kohd.[[#This Row],[Y-tunnus]],#REF!,COLUMN(#REF!),FALSE),0)</f>
        <v>0</v>
      </c>
      <c r="BK14" s="207">
        <f>Opv.kohd.[[#This Row],[Muu kuin työvoima-koulutus 7d]]+Opv.kohd.[[#This Row],[Työvoima-koulutus 7d]]</f>
        <v>0</v>
      </c>
      <c r="BL14" s="207">
        <f>Opv.kohd.[[#This Row],[Muu kuin työvoima-koulutus 7c]]-Opv.kohd.[[#This Row],[Muu kuin työvoima-koulutus 7d]]</f>
        <v>0</v>
      </c>
      <c r="BM14" s="207">
        <f>Opv.kohd.[[#This Row],[Työvoima-koulutus 7c]]-Opv.kohd.[[#This Row],[Työvoima-koulutus 7d]]</f>
        <v>0</v>
      </c>
      <c r="BN14" s="207">
        <f>Opv.kohd.[[#This Row],[Yhteensä 7c]]-Opv.kohd.[[#This Row],[Yhteensä 7d]]</f>
        <v>0</v>
      </c>
      <c r="BO14" s="207">
        <f>Opv.kohd.[[#This Row],[Muu kuin työvoima-koulutus 7e]]-(Opv.kohd.[[#This Row],[Järjestämisluvan mukaiset 4]]+Opv.kohd.[[#This Row],[Kohdentamat-tomat 4]]+Opv.kohd.[[#This Row],[Maahan-muuttajien koulutus 4]]+Opv.kohd.[[#This Row],[Nuorisotyöt. väh. ja osaamistarp. vast., muu kuin työvoima-koulutus 4]])</f>
        <v>0</v>
      </c>
      <c r="BP14" s="207">
        <f>Opv.kohd.[[#This Row],[Työvoima-koulutus 7e]]-(Opv.kohd.[[#This Row],[Työvoima-koulutus 4]]+Opv.kohd.[[#This Row],[Nuorisotyöt. väh. ja osaamistarp. vast., työvoima-koulutus 4]])</f>
        <v>0</v>
      </c>
      <c r="BQ14" s="207">
        <f>Opv.kohd.[[#This Row],[Yhteensä 7e]]-Opv.kohd.[[#This Row],[Ensikertaisella suoritepäätöksellä jaetut tavoitteelliset opiskelijavuodet yhteensä 4]]</f>
        <v>0</v>
      </c>
      <c r="BR14" s="263">
        <v>2494</v>
      </c>
      <c r="BS14" s="263">
        <v>145</v>
      </c>
      <c r="BT14" s="263">
        <v>300</v>
      </c>
      <c r="BU14" s="263">
        <v>75</v>
      </c>
      <c r="BV14" s="263">
        <v>10</v>
      </c>
      <c r="BW14" s="263">
        <v>15</v>
      </c>
      <c r="BX14" s="263">
        <v>545</v>
      </c>
      <c r="BY14" s="263">
        <v>3039</v>
      </c>
      <c r="BZ14" s="207">
        <f t="shared" si="2"/>
        <v>2494</v>
      </c>
      <c r="CA14" s="207">
        <f t="shared" si="3"/>
        <v>145</v>
      </c>
      <c r="CB14" s="207">
        <f t="shared" si="4"/>
        <v>300</v>
      </c>
      <c r="CC14" s="207">
        <f t="shared" si="5"/>
        <v>75</v>
      </c>
      <c r="CD14" s="207">
        <f t="shared" si="6"/>
        <v>10</v>
      </c>
      <c r="CE14" s="207">
        <f t="shared" si="7"/>
        <v>15</v>
      </c>
      <c r="CF14" s="207">
        <f t="shared" si="8"/>
        <v>545</v>
      </c>
      <c r="CG14" s="207">
        <f t="shared" si="9"/>
        <v>3039</v>
      </c>
      <c r="CH14" s="207">
        <f>Opv.kohd.[[#This Row],[Tavoitteelliset opiskelijavuodet yhteensä 9]]-Opv.kohd.[[#This Row],[Työvoima-koulutus 9]]-Opv.kohd.[[#This Row],[Nuorisotyöt. väh. ja osaamistarp. vast., työvoima-koulutus 9]]-Opv.kohd.[[#This Row],[Muu kuin työvoima-koulutus 7e]]</f>
        <v>2724</v>
      </c>
      <c r="CI14" s="207">
        <f>(Opv.kohd.[[#This Row],[Työvoima-koulutus 9]]+Opv.kohd.[[#This Row],[Nuorisotyöt. väh. ja osaamistarp. vast., työvoima-koulutus 9]])-Opv.kohd.[[#This Row],[Työvoima-koulutus 7e]]</f>
        <v>315</v>
      </c>
      <c r="CJ14" s="207">
        <f>Opv.kohd.[[#This Row],[Tavoitteelliset opiskelijavuodet yhteensä 9]]-Opv.kohd.[[#This Row],[Yhteensä 7e]]</f>
        <v>3039</v>
      </c>
      <c r="CK14" s="207">
        <f>Opv.kohd.[[#This Row],[Järjestämisluvan mukaiset 4]]+Opv.kohd.[[#This Row],[Järjestämisluvan mukaiset 13]]</f>
        <v>0</v>
      </c>
      <c r="CL14" s="207">
        <f>Opv.kohd.[[#This Row],[Kohdentamat-tomat 4]]+Opv.kohd.[[#This Row],[Kohdentamat-tomat 13]]</f>
        <v>0</v>
      </c>
      <c r="CM14" s="207">
        <f>Opv.kohd.[[#This Row],[Työvoima-koulutus 4]]+Opv.kohd.[[#This Row],[Työvoima-koulutus 13]]</f>
        <v>0</v>
      </c>
      <c r="CN14" s="207">
        <f>Opv.kohd.[[#This Row],[Maahan-muuttajien koulutus 4]]+Opv.kohd.[[#This Row],[Maahan-muuttajien koulutus 13]]</f>
        <v>0</v>
      </c>
      <c r="CO14" s="207">
        <f>Opv.kohd.[[#This Row],[Nuorisotyöt. väh. ja osaamistarp. vast., muu kuin työvoima-koulutus 4]]+Opv.kohd.[[#This Row],[Nuorisotyöt. väh. ja osaamistarp. vast., muu kuin työvoima-koulutus 13]]</f>
        <v>0</v>
      </c>
      <c r="CP14" s="207">
        <f>Opv.kohd.[[#This Row],[Nuorisotyöt. väh. ja osaamistarp. vast., työvoima-koulutus 4]]+Opv.kohd.[[#This Row],[Nuorisotyöt. väh. ja osaamistarp. vast., työvoima-koulutus 13]]</f>
        <v>0</v>
      </c>
      <c r="CQ14" s="207">
        <f>Opv.kohd.[[#This Row],[Yhteensä 4]]+Opv.kohd.[[#This Row],[Yhteensä 13]]</f>
        <v>0</v>
      </c>
      <c r="CR14" s="207">
        <f>Opv.kohd.[[#This Row],[Ensikertaisella suoritepäätöksellä jaetut tavoitteelliset opiskelijavuodet yhteensä 4]]+Opv.kohd.[[#This Row],[Tavoitteelliset opiskelijavuodet yhteensä 13]]</f>
        <v>0</v>
      </c>
      <c r="CS14" s="120">
        <v>0</v>
      </c>
      <c r="CT14" s="120">
        <v>0</v>
      </c>
      <c r="CU14" s="120">
        <v>0</v>
      </c>
      <c r="CV14" s="120">
        <v>0</v>
      </c>
      <c r="CW14" s="120">
        <v>0</v>
      </c>
      <c r="CX14" s="120">
        <v>0</v>
      </c>
      <c r="CY14" s="120">
        <v>0</v>
      </c>
      <c r="CZ14" s="120">
        <v>0</v>
      </c>
      <c r="DA14" s="209">
        <f>IFERROR(Opv.kohd.[[#This Row],[Järjestämisluvan mukaiset 13]]/Opv.kohd.[[#This Row],[Järjestämisluvan mukaiset 12]],0)</f>
        <v>0</v>
      </c>
      <c r="DB14" s="209">
        <f>IFERROR(Opv.kohd.[[#This Row],[Kohdentamat-tomat 13]]/Opv.kohd.[[#This Row],[Kohdentamat-tomat 12]],0)</f>
        <v>0</v>
      </c>
      <c r="DC14" s="209">
        <f>IFERROR(Opv.kohd.[[#This Row],[Työvoima-koulutus 13]]/Opv.kohd.[[#This Row],[Työvoima-koulutus 12]],0)</f>
        <v>0</v>
      </c>
      <c r="DD14" s="209">
        <f>IFERROR(Opv.kohd.[[#This Row],[Maahan-muuttajien koulutus 13]]/Opv.kohd.[[#This Row],[Maahan-muuttajien koulutus 12]],0)</f>
        <v>0</v>
      </c>
      <c r="DE14" s="209">
        <f>IFERROR(Opv.kohd.[[#This Row],[Nuorisotyöt. väh. ja osaamistarp. vast., muu kuin työvoima-koulutus 13]]/Opv.kohd.[[#This Row],[Nuorisotyöt. väh. ja osaamistarp. vast., muu kuin työvoima-koulutus 12]],0)</f>
        <v>0</v>
      </c>
      <c r="DF14" s="209">
        <f>IFERROR(Opv.kohd.[[#This Row],[Nuorisotyöt. väh. ja osaamistarp. vast., työvoima-koulutus 13]]/Opv.kohd.[[#This Row],[Nuorisotyöt. väh. ja osaamistarp. vast., työvoima-koulutus 12]],0)</f>
        <v>0</v>
      </c>
      <c r="DG14" s="209">
        <f>IFERROR(Opv.kohd.[[#This Row],[Yhteensä 13]]/Opv.kohd.[[#This Row],[Yhteensä 12]],0)</f>
        <v>0</v>
      </c>
      <c r="DH14" s="209">
        <f>IFERROR(Opv.kohd.[[#This Row],[Tavoitteelliset opiskelijavuodet yhteensä 13]]/Opv.kohd.[[#This Row],[Tavoitteelliset opiskelijavuodet yhteensä 12]],0)</f>
        <v>0</v>
      </c>
      <c r="DI14" s="207">
        <f>Opv.kohd.[[#This Row],[Järjestämisluvan mukaiset 12]]-Opv.kohd.[[#This Row],[Järjestämisluvan mukaiset 9]]</f>
        <v>-2494</v>
      </c>
      <c r="DJ14" s="207">
        <f>Opv.kohd.[[#This Row],[Kohdentamat-tomat 12]]-Opv.kohd.[[#This Row],[Kohdentamat-tomat 9]]</f>
        <v>-145</v>
      </c>
      <c r="DK14" s="207">
        <f>Opv.kohd.[[#This Row],[Työvoima-koulutus 12]]-Opv.kohd.[[#This Row],[Työvoima-koulutus 9]]</f>
        <v>-300</v>
      </c>
      <c r="DL14" s="207">
        <f>Opv.kohd.[[#This Row],[Maahan-muuttajien koulutus 12]]-Opv.kohd.[[#This Row],[Maahan-muuttajien koulutus 9]]</f>
        <v>-75</v>
      </c>
      <c r="DM14" s="207">
        <f>Opv.kohd.[[#This Row],[Nuorisotyöt. väh. ja osaamistarp. vast., muu kuin työvoima-koulutus 12]]-Opv.kohd.[[#This Row],[Nuorisotyöt. väh. ja osaamistarp. vast., muu kuin työvoima-koulutus 9]]</f>
        <v>-10</v>
      </c>
      <c r="DN14" s="207">
        <f>Opv.kohd.[[#This Row],[Nuorisotyöt. väh. ja osaamistarp. vast., työvoima-koulutus 12]]-Opv.kohd.[[#This Row],[Nuorisotyöt. väh. ja osaamistarp. vast., työvoima-koulutus 9]]</f>
        <v>-15</v>
      </c>
      <c r="DO14" s="207">
        <f>Opv.kohd.[[#This Row],[Yhteensä 12]]-Opv.kohd.[[#This Row],[Yhteensä 9]]</f>
        <v>-545</v>
      </c>
      <c r="DP14" s="207">
        <f>Opv.kohd.[[#This Row],[Tavoitteelliset opiskelijavuodet yhteensä 12]]-Opv.kohd.[[#This Row],[Tavoitteelliset opiskelijavuodet yhteensä 9]]</f>
        <v>-3039</v>
      </c>
      <c r="DQ14" s="209">
        <f>IFERROR(Opv.kohd.[[#This Row],[Järjestämisluvan mukaiset 15]]/Opv.kohd.[[#This Row],[Järjestämisluvan mukaiset 9]],0)</f>
        <v>-1</v>
      </c>
      <c r="DR14" s="209">
        <f t="shared" si="10"/>
        <v>0</v>
      </c>
      <c r="DS14" s="209">
        <f t="shared" si="11"/>
        <v>0</v>
      </c>
      <c r="DT14" s="209">
        <f t="shared" si="12"/>
        <v>0</v>
      </c>
      <c r="DU14" s="209">
        <f t="shared" si="13"/>
        <v>0</v>
      </c>
      <c r="DV14" s="209">
        <f t="shared" si="14"/>
        <v>0</v>
      </c>
      <c r="DW14" s="209">
        <f t="shared" si="15"/>
        <v>0</v>
      </c>
      <c r="DX14" s="209">
        <f t="shared" si="16"/>
        <v>0</v>
      </c>
    </row>
    <row r="15" spans="1:128" x14ac:dyDescent="0.25">
      <c r="A15" s="204" t="e">
        <f>IF(INDEX(#REF!,ROW(15:15)-1,1)=0,"",INDEX(#REF!,ROW(15:15)-1,1))</f>
        <v>#REF!</v>
      </c>
      <c r="B15" s="205" t="str">
        <f>IFERROR(VLOOKUP(Opv.kohd.[[#This Row],[Y-tunnus]],'0 Järjestäjätiedot'!$A:$H,2,FALSE),"")</f>
        <v/>
      </c>
      <c r="C15" s="204" t="str">
        <f>IFERROR(VLOOKUP(Opv.kohd.[[#This Row],[Y-tunnus]],'0 Järjestäjätiedot'!$A:$H,COLUMN('0 Järjestäjätiedot'!D:D),FALSE),"")</f>
        <v/>
      </c>
      <c r="D15" s="204" t="str">
        <f>IFERROR(VLOOKUP(Opv.kohd.[[#This Row],[Y-tunnus]],'0 Järjestäjätiedot'!$A:$H,COLUMN('0 Järjestäjätiedot'!H:H),FALSE),"")</f>
        <v/>
      </c>
      <c r="E15" s="204">
        <f>IFERROR(VLOOKUP(Opv.kohd.[[#This Row],[Y-tunnus]],#REF!,COLUMN(#REF!),FALSE),0)</f>
        <v>0</v>
      </c>
      <c r="F15" s="204">
        <f>IFERROR(VLOOKUP(Opv.kohd.[[#This Row],[Y-tunnus]],#REF!,COLUMN(#REF!),FALSE),0)</f>
        <v>0</v>
      </c>
      <c r="G15" s="204">
        <f>IFERROR(VLOOKUP(Opv.kohd.[[#This Row],[Y-tunnus]],#REF!,COLUMN(#REF!),FALSE),0)</f>
        <v>0</v>
      </c>
      <c r="H15" s="204">
        <f>IFERROR(VLOOKUP(Opv.kohd.[[#This Row],[Y-tunnus]],#REF!,COLUMN(#REF!),FALSE),0)</f>
        <v>0</v>
      </c>
      <c r="I15" s="204">
        <f>IFERROR(VLOOKUP(Opv.kohd.[[#This Row],[Y-tunnus]],#REF!,COLUMN(#REF!),FALSE),0)</f>
        <v>0</v>
      </c>
      <c r="J15" s="204">
        <f>IFERROR(VLOOKUP(Opv.kohd.[[#This Row],[Y-tunnus]],#REF!,COLUMN(#REF!),FALSE),0)</f>
        <v>0</v>
      </c>
      <c r="K1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5" s="204">
        <f>Opv.kohd.[[#This Row],[Järjestämisluvan mukaiset 1]]+Opv.kohd.[[#This Row],[Yhteensä  1]]</f>
        <v>0</v>
      </c>
      <c r="M15" s="204">
        <f>IFERROR(VLOOKUP(Opv.kohd.[[#This Row],[Y-tunnus]],#REF!,COLUMN(#REF!),FALSE),0)</f>
        <v>0</v>
      </c>
      <c r="N15" s="204">
        <f>IFERROR(VLOOKUP(Opv.kohd.[[#This Row],[Y-tunnus]],#REF!,COLUMN(#REF!),FALSE),0)</f>
        <v>0</v>
      </c>
      <c r="O15" s="204">
        <f>IFERROR(VLOOKUP(Opv.kohd.[[#This Row],[Y-tunnus]],#REF!,COLUMN(#REF!),FALSE)+VLOOKUP(Opv.kohd.[[#This Row],[Y-tunnus]],#REF!,COLUMN(#REF!),FALSE),0)</f>
        <v>0</v>
      </c>
      <c r="P15" s="204">
        <f>Opv.kohd.[[#This Row],[Talousarvion perusteella kohdentamattomat]]+Opv.kohd.[[#This Row],[Talousarvion perusteella työvoimakoulutus 1]]+Opv.kohd.[[#This Row],[Lisätalousarvioiden perusteella]]</f>
        <v>0</v>
      </c>
      <c r="Q15" s="204">
        <f>IFERROR(VLOOKUP(Opv.kohd.[[#This Row],[Y-tunnus]],#REF!,COLUMN(#REF!),FALSE),0)</f>
        <v>0</v>
      </c>
      <c r="R15" s="210">
        <f>IFERROR(VLOOKUP(Opv.kohd.[[#This Row],[Y-tunnus]],#REF!,COLUMN(#REF!),FALSE)-(Opv.kohd.[[#This Row],[Kohdentamaton työvoima-koulutus 2]]+Opv.kohd.[[#This Row],[Maahan-muuttajien koulutus 2]]+Opv.kohd.[[#This Row],[Lisätalousarvioiden perusteella jaetut 2]]),0)</f>
        <v>0</v>
      </c>
      <c r="S15" s="210">
        <f>IFERROR(VLOOKUP(Opv.kohd.[[#This Row],[Y-tunnus]],#REF!,COLUMN(#REF!),FALSE)+VLOOKUP(Opv.kohd.[[#This Row],[Y-tunnus]],#REF!,COLUMN(#REF!),FALSE),0)</f>
        <v>0</v>
      </c>
      <c r="T15" s="210">
        <f>IFERROR(VLOOKUP(Opv.kohd.[[#This Row],[Y-tunnus]],#REF!,COLUMN(#REF!),FALSE)+VLOOKUP(Opv.kohd.[[#This Row],[Y-tunnus]],#REF!,COLUMN(#REF!),FALSE),0)</f>
        <v>0</v>
      </c>
      <c r="U1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5" s="210">
        <f>Opv.kohd.[[#This Row],[Kohdentamat-tomat 2]]+Opv.kohd.[[#This Row],[Kohdentamaton työvoima-koulutus 2]]+Opv.kohd.[[#This Row],[Maahan-muuttajien koulutus 2]]+Opv.kohd.[[#This Row],[Lisätalousarvioiden perusteella jaetut 2]]</f>
        <v>0</v>
      </c>
      <c r="W15" s="210">
        <f>Opv.kohd.[[#This Row],[Kohdentamat-tomat 2]]-(Opv.kohd.[[#This Row],[Järjestämisluvan mukaiset 1]]+Opv.kohd.[[#This Row],[Kohdentamat-tomat 1]]+Opv.kohd.[[#This Row],[Nuorisotyöt. väh. ja osaamistarp. vast., muu kuin työvoima-koulutus 1]]+Opv.kohd.[[#This Row],[Talousarvion perusteella kohdentamattomat]])</f>
        <v>0</v>
      </c>
      <c r="X15" s="210">
        <f>Opv.kohd.[[#This Row],[Kohdentamaton työvoima-koulutus 2]]-(Opv.kohd.[[#This Row],[Työvoima-koulutus 1]]+Opv.kohd.[[#This Row],[Nuorisotyöt. väh. ja osaamistarp. vast., työvoima-koulutus 1]]+Opv.kohd.[[#This Row],[Talousarvion perusteella työvoimakoulutus 1]])</f>
        <v>0</v>
      </c>
      <c r="Y15" s="210">
        <f>Opv.kohd.[[#This Row],[Maahan-muuttajien koulutus 2]]-Opv.kohd.[[#This Row],[Maahan-muuttajien koulutus 1]]</f>
        <v>0</v>
      </c>
      <c r="Z15" s="210">
        <f>Opv.kohd.[[#This Row],[Lisätalousarvioiden perusteella jaetut 2]]-Opv.kohd.[[#This Row],[Lisätalousarvioiden perusteella]]</f>
        <v>0</v>
      </c>
      <c r="AA15" s="210">
        <f>Opv.kohd.[[#This Row],[Toteutuneet opiskelijavuodet yhteensä 2]]-Opv.kohd.[[#This Row],[Vuoden 2018 tavoitteelliset opiskelijavuodet yhteensä 1]]</f>
        <v>0</v>
      </c>
      <c r="AB15" s="207">
        <f>IFERROR(VLOOKUP(Opv.kohd.[[#This Row],[Y-tunnus]],#REF!,3,FALSE),0)</f>
        <v>0</v>
      </c>
      <c r="AC15" s="207">
        <f>IFERROR(VLOOKUP(Opv.kohd.[[#This Row],[Y-tunnus]],#REF!,4,FALSE),0)</f>
        <v>0</v>
      </c>
      <c r="AD15" s="207">
        <f>IFERROR(VLOOKUP(Opv.kohd.[[#This Row],[Y-tunnus]],#REF!,5,FALSE),0)</f>
        <v>0</v>
      </c>
      <c r="AE15" s="207">
        <f>IFERROR(VLOOKUP(Opv.kohd.[[#This Row],[Y-tunnus]],#REF!,6,FALSE),0)</f>
        <v>0</v>
      </c>
      <c r="AF15" s="207">
        <f>IFERROR(VLOOKUP(Opv.kohd.[[#This Row],[Y-tunnus]],#REF!,7,FALSE),0)</f>
        <v>0</v>
      </c>
      <c r="AG15" s="207">
        <f>IFERROR(VLOOKUP(Opv.kohd.[[#This Row],[Y-tunnus]],#REF!,8,FALSE),0)</f>
        <v>0</v>
      </c>
      <c r="AH15" s="207">
        <f>IFERROR(VLOOKUP(Opv.kohd.[[#This Row],[Y-tunnus]],#REF!,9,FALSE),0)</f>
        <v>0</v>
      </c>
      <c r="AI15" s="207">
        <f>IFERROR(VLOOKUP(Opv.kohd.[[#This Row],[Y-tunnus]],#REF!,10,FALSE),0)</f>
        <v>0</v>
      </c>
      <c r="AJ15" s="204">
        <f>Opv.kohd.[[#This Row],[Järjestämisluvan mukaiset 4]]-Opv.kohd.[[#This Row],[Järjestämisluvan mukaiset 1]]</f>
        <v>0</v>
      </c>
      <c r="AK15" s="204">
        <f>Opv.kohd.[[#This Row],[Kohdentamat-tomat 4]]-Opv.kohd.[[#This Row],[Kohdentamat-tomat 1]]</f>
        <v>0</v>
      </c>
      <c r="AL15" s="204">
        <f>Opv.kohd.[[#This Row],[Työvoima-koulutus 4]]-Opv.kohd.[[#This Row],[Työvoima-koulutus 1]]</f>
        <v>0</v>
      </c>
      <c r="AM15" s="204">
        <f>Opv.kohd.[[#This Row],[Maahan-muuttajien koulutus 4]]-Opv.kohd.[[#This Row],[Maahan-muuttajien koulutus 1]]</f>
        <v>0</v>
      </c>
      <c r="AN15" s="204">
        <f>Opv.kohd.[[#This Row],[Nuorisotyöt. väh. ja osaamistarp. vast., muu kuin työvoima-koulutus 4]]-Opv.kohd.[[#This Row],[Nuorisotyöt. väh. ja osaamistarp. vast., muu kuin työvoima-koulutus 1]]</f>
        <v>0</v>
      </c>
      <c r="AO15" s="204">
        <f>Opv.kohd.[[#This Row],[Nuorisotyöt. väh. ja osaamistarp. vast., työvoima-koulutus 4]]-Opv.kohd.[[#This Row],[Nuorisotyöt. väh. ja osaamistarp. vast., työvoima-koulutus 1]]</f>
        <v>0</v>
      </c>
      <c r="AP15" s="204">
        <f>Opv.kohd.[[#This Row],[Yhteensä 4]]-Opv.kohd.[[#This Row],[Yhteensä  1]]</f>
        <v>0</v>
      </c>
      <c r="AQ15" s="204">
        <f>Opv.kohd.[[#This Row],[Ensikertaisella suoritepäätöksellä jaetut tavoitteelliset opiskelijavuodet yhteensä 4]]-Opv.kohd.[[#This Row],[Ensikertaisella suoritepäätöksellä jaetut tavoitteelliset opiskelijavuodet yhteensä 1]]</f>
        <v>0</v>
      </c>
      <c r="AR15" s="208">
        <f>IFERROR(Opv.kohd.[[#This Row],[Järjestämisluvan mukaiset 5]]/Opv.kohd.[[#This Row],[Järjestämisluvan mukaiset 4]],0)</f>
        <v>0</v>
      </c>
      <c r="AS15" s="208">
        <f>IFERROR(Opv.kohd.[[#This Row],[Kohdentamat-tomat 5]]/Opv.kohd.[[#This Row],[Kohdentamat-tomat 4]],0)</f>
        <v>0</v>
      </c>
      <c r="AT15" s="208">
        <f>IFERROR(Opv.kohd.[[#This Row],[Työvoima-koulutus 5]]/Opv.kohd.[[#This Row],[Työvoima-koulutus 4]],0)</f>
        <v>0</v>
      </c>
      <c r="AU15" s="208">
        <f>IFERROR(Opv.kohd.[[#This Row],[Maahan-muuttajien koulutus 5]]/Opv.kohd.[[#This Row],[Maahan-muuttajien koulutus 4]],0)</f>
        <v>0</v>
      </c>
      <c r="AV15" s="208">
        <f>IFERROR(Opv.kohd.[[#This Row],[Nuorisotyöt. väh. ja osaamistarp. vast., muu kuin työvoima-koulutus 5]]/Opv.kohd.[[#This Row],[Nuorisotyöt. väh. ja osaamistarp. vast., muu kuin työvoima-koulutus 4]],0)</f>
        <v>0</v>
      </c>
      <c r="AW15" s="208">
        <f>IFERROR(Opv.kohd.[[#This Row],[Nuorisotyöt. väh. ja osaamistarp. vast., työvoima-koulutus 5]]/Opv.kohd.[[#This Row],[Nuorisotyöt. väh. ja osaamistarp. vast., työvoima-koulutus 4]],0)</f>
        <v>0</v>
      </c>
      <c r="AX15" s="208">
        <f>IFERROR(Opv.kohd.[[#This Row],[Yhteensä 5]]/Opv.kohd.[[#This Row],[Yhteensä 4]],0)</f>
        <v>0</v>
      </c>
      <c r="AY15" s="208">
        <f>IFERROR(Opv.kohd.[[#This Row],[Ensikertaisella suoritepäätöksellä jaetut tavoitteelliset opiskelijavuodet yhteensä 5]]/Opv.kohd.[[#This Row],[Ensikertaisella suoritepäätöksellä jaetut tavoitteelliset opiskelijavuodet yhteensä 4]],0)</f>
        <v>0</v>
      </c>
      <c r="AZ15" s="207">
        <f>Opv.kohd.[[#This Row],[Yhteensä 7a]]-Opv.kohd.[[#This Row],[Työvoima-koulutus 7a]]</f>
        <v>0</v>
      </c>
      <c r="BA15" s="207">
        <f>IFERROR(VLOOKUP(Opv.kohd.[[#This Row],[Y-tunnus]],#REF!,COLUMN(#REF!),FALSE),0)</f>
        <v>0</v>
      </c>
      <c r="BB15" s="207">
        <f>IFERROR(VLOOKUP(Opv.kohd.[[#This Row],[Y-tunnus]],#REF!,COLUMN(#REF!),FALSE),0)</f>
        <v>0</v>
      </c>
      <c r="BC15" s="207">
        <f>Opv.kohd.[[#This Row],[Muu kuin työvoima-koulutus 7c]]-Opv.kohd.[[#This Row],[Muu kuin työvoima-koulutus 7a]]</f>
        <v>0</v>
      </c>
      <c r="BD15" s="207">
        <f>Opv.kohd.[[#This Row],[Työvoima-koulutus 7c]]-Opv.kohd.[[#This Row],[Työvoima-koulutus 7a]]</f>
        <v>0</v>
      </c>
      <c r="BE15" s="207">
        <f>Opv.kohd.[[#This Row],[Yhteensä 7c]]-Opv.kohd.[[#This Row],[Yhteensä 7a]]</f>
        <v>0</v>
      </c>
      <c r="BF15" s="207">
        <f>Opv.kohd.[[#This Row],[Yhteensä 7c]]-Opv.kohd.[[#This Row],[Työvoima-koulutus 7c]]</f>
        <v>0</v>
      </c>
      <c r="BG15" s="207">
        <f>IFERROR(VLOOKUP(Opv.kohd.[[#This Row],[Y-tunnus]],#REF!,COLUMN(#REF!),FALSE),0)</f>
        <v>0</v>
      </c>
      <c r="BH15" s="207">
        <f>IFERROR(VLOOKUP(Opv.kohd.[[#This Row],[Y-tunnus]],#REF!,COLUMN(#REF!),FALSE),0)</f>
        <v>0</v>
      </c>
      <c r="BI15" s="207">
        <f>IFERROR(VLOOKUP(Opv.kohd.[[#This Row],[Y-tunnus]],#REF!,COLUMN(#REF!),FALSE),0)</f>
        <v>0</v>
      </c>
      <c r="BJ15" s="207">
        <f>IFERROR(VLOOKUP(Opv.kohd.[[#This Row],[Y-tunnus]],#REF!,COLUMN(#REF!),FALSE),0)</f>
        <v>0</v>
      </c>
      <c r="BK15" s="207">
        <f>Opv.kohd.[[#This Row],[Muu kuin työvoima-koulutus 7d]]+Opv.kohd.[[#This Row],[Työvoima-koulutus 7d]]</f>
        <v>0</v>
      </c>
      <c r="BL15" s="207">
        <f>Opv.kohd.[[#This Row],[Muu kuin työvoima-koulutus 7c]]-Opv.kohd.[[#This Row],[Muu kuin työvoima-koulutus 7d]]</f>
        <v>0</v>
      </c>
      <c r="BM15" s="207">
        <f>Opv.kohd.[[#This Row],[Työvoima-koulutus 7c]]-Opv.kohd.[[#This Row],[Työvoima-koulutus 7d]]</f>
        <v>0</v>
      </c>
      <c r="BN15" s="207">
        <f>Opv.kohd.[[#This Row],[Yhteensä 7c]]-Opv.kohd.[[#This Row],[Yhteensä 7d]]</f>
        <v>0</v>
      </c>
      <c r="BO15" s="207">
        <f>Opv.kohd.[[#This Row],[Muu kuin työvoima-koulutus 7e]]-(Opv.kohd.[[#This Row],[Järjestämisluvan mukaiset 4]]+Opv.kohd.[[#This Row],[Kohdentamat-tomat 4]]+Opv.kohd.[[#This Row],[Maahan-muuttajien koulutus 4]]+Opv.kohd.[[#This Row],[Nuorisotyöt. väh. ja osaamistarp. vast., muu kuin työvoima-koulutus 4]])</f>
        <v>0</v>
      </c>
      <c r="BP15" s="207">
        <f>Opv.kohd.[[#This Row],[Työvoima-koulutus 7e]]-(Opv.kohd.[[#This Row],[Työvoima-koulutus 4]]+Opv.kohd.[[#This Row],[Nuorisotyöt. väh. ja osaamistarp. vast., työvoima-koulutus 4]])</f>
        <v>0</v>
      </c>
      <c r="BQ15" s="207">
        <f>Opv.kohd.[[#This Row],[Yhteensä 7e]]-Opv.kohd.[[#This Row],[Ensikertaisella suoritepäätöksellä jaetut tavoitteelliset opiskelijavuodet yhteensä 4]]</f>
        <v>0</v>
      </c>
      <c r="BR15" s="263">
        <v>0</v>
      </c>
      <c r="BS15" s="263">
        <v>0</v>
      </c>
      <c r="BT15" s="263">
        <v>0</v>
      </c>
      <c r="BU15" s="263">
        <v>0</v>
      </c>
      <c r="BV15" s="263">
        <v>0</v>
      </c>
      <c r="BW15" s="263">
        <v>0</v>
      </c>
      <c r="BX15" s="263">
        <v>0</v>
      </c>
      <c r="BY15" s="263">
        <v>0</v>
      </c>
      <c r="BZ15" s="207">
        <f t="shared" si="2"/>
        <v>0</v>
      </c>
      <c r="CA15" s="207">
        <f t="shared" si="3"/>
        <v>0</v>
      </c>
      <c r="CB15" s="207">
        <f t="shared" si="4"/>
        <v>0</v>
      </c>
      <c r="CC15" s="207">
        <f t="shared" si="5"/>
        <v>0</v>
      </c>
      <c r="CD15" s="207">
        <f t="shared" si="6"/>
        <v>0</v>
      </c>
      <c r="CE15" s="207">
        <f t="shared" si="7"/>
        <v>0</v>
      </c>
      <c r="CF15" s="207">
        <f t="shared" si="8"/>
        <v>0</v>
      </c>
      <c r="CG15" s="207">
        <f t="shared" si="9"/>
        <v>0</v>
      </c>
      <c r="CH15" s="207">
        <f>Opv.kohd.[[#This Row],[Tavoitteelliset opiskelijavuodet yhteensä 9]]-Opv.kohd.[[#This Row],[Työvoima-koulutus 9]]-Opv.kohd.[[#This Row],[Nuorisotyöt. väh. ja osaamistarp. vast., työvoima-koulutus 9]]-Opv.kohd.[[#This Row],[Muu kuin työvoima-koulutus 7e]]</f>
        <v>0</v>
      </c>
      <c r="CI15" s="207">
        <f>(Opv.kohd.[[#This Row],[Työvoima-koulutus 9]]+Opv.kohd.[[#This Row],[Nuorisotyöt. väh. ja osaamistarp. vast., työvoima-koulutus 9]])-Opv.kohd.[[#This Row],[Työvoima-koulutus 7e]]</f>
        <v>0</v>
      </c>
      <c r="CJ15" s="207">
        <f>Opv.kohd.[[#This Row],[Tavoitteelliset opiskelijavuodet yhteensä 9]]-Opv.kohd.[[#This Row],[Yhteensä 7e]]</f>
        <v>0</v>
      </c>
      <c r="CK15" s="207">
        <f>Opv.kohd.[[#This Row],[Järjestämisluvan mukaiset 4]]+Opv.kohd.[[#This Row],[Järjestämisluvan mukaiset 13]]</f>
        <v>0</v>
      </c>
      <c r="CL15" s="207">
        <f>Opv.kohd.[[#This Row],[Kohdentamat-tomat 4]]+Opv.kohd.[[#This Row],[Kohdentamat-tomat 13]]</f>
        <v>0</v>
      </c>
      <c r="CM15" s="207">
        <f>Opv.kohd.[[#This Row],[Työvoima-koulutus 4]]+Opv.kohd.[[#This Row],[Työvoima-koulutus 13]]</f>
        <v>0</v>
      </c>
      <c r="CN15" s="207">
        <f>Opv.kohd.[[#This Row],[Maahan-muuttajien koulutus 4]]+Opv.kohd.[[#This Row],[Maahan-muuttajien koulutus 13]]</f>
        <v>0</v>
      </c>
      <c r="CO15" s="207">
        <f>Opv.kohd.[[#This Row],[Nuorisotyöt. väh. ja osaamistarp. vast., muu kuin työvoima-koulutus 4]]+Opv.kohd.[[#This Row],[Nuorisotyöt. väh. ja osaamistarp. vast., muu kuin työvoima-koulutus 13]]</f>
        <v>0</v>
      </c>
      <c r="CP15" s="207">
        <f>Opv.kohd.[[#This Row],[Nuorisotyöt. väh. ja osaamistarp. vast., työvoima-koulutus 4]]+Opv.kohd.[[#This Row],[Nuorisotyöt. väh. ja osaamistarp. vast., työvoima-koulutus 13]]</f>
        <v>0</v>
      </c>
      <c r="CQ15" s="207">
        <f>Opv.kohd.[[#This Row],[Yhteensä 4]]+Opv.kohd.[[#This Row],[Yhteensä 13]]</f>
        <v>0</v>
      </c>
      <c r="CR15" s="207">
        <f>Opv.kohd.[[#This Row],[Ensikertaisella suoritepäätöksellä jaetut tavoitteelliset opiskelijavuodet yhteensä 4]]+Opv.kohd.[[#This Row],[Tavoitteelliset opiskelijavuodet yhteensä 13]]</f>
        <v>0</v>
      </c>
      <c r="CS15" s="120">
        <v>0</v>
      </c>
      <c r="CT15" s="120">
        <v>0</v>
      </c>
      <c r="CU15" s="120">
        <v>0</v>
      </c>
      <c r="CV15" s="120">
        <v>0</v>
      </c>
      <c r="CW15" s="120">
        <v>0</v>
      </c>
      <c r="CX15" s="120">
        <v>0</v>
      </c>
      <c r="CY15" s="120">
        <v>0</v>
      </c>
      <c r="CZ15" s="120">
        <v>0</v>
      </c>
      <c r="DA15" s="209">
        <f>IFERROR(Opv.kohd.[[#This Row],[Järjestämisluvan mukaiset 13]]/Opv.kohd.[[#This Row],[Järjestämisluvan mukaiset 12]],0)</f>
        <v>0</v>
      </c>
      <c r="DB15" s="209">
        <f>IFERROR(Opv.kohd.[[#This Row],[Kohdentamat-tomat 13]]/Opv.kohd.[[#This Row],[Kohdentamat-tomat 12]],0)</f>
        <v>0</v>
      </c>
      <c r="DC15" s="209">
        <f>IFERROR(Opv.kohd.[[#This Row],[Työvoima-koulutus 13]]/Opv.kohd.[[#This Row],[Työvoima-koulutus 12]],0)</f>
        <v>0</v>
      </c>
      <c r="DD15" s="209">
        <f>IFERROR(Opv.kohd.[[#This Row],[Maahan-muuttajien koulutus 13]]/Opv.kohd.[[#This Row],[Maahan-muuttajien koulutus 12]],0)</f>
        <v>0</v>
      </c>
      <c r="DE15" s="209">
        <f>IFERROR(Opv.kohd.[[#This Row],[Nuorisotyöt. väh. ja osaamistarp. vast., muu kuin työvoima-koulutus 13]]/Opv.kohd.[[#This Row],[Nuorisotyöt. väh. ja osaamistarp. vast., muu kuin työvoima-koulutus 12]],0)</f>
        <v>0</v>
      </c>
      <c r="DF15" s="209">
        <f>IFERROR(Opv.kohd.[[#This Row],[Nuorisotyöt. väh. ja osaamistarp. vast., työvoima-koulutus 13]]/Opv.kohd.[[#This Row],[Nuorisotyöt. väh. ja osaamistarp. vast., työvoima-koulutus 12]],0)</f>
        <v>0</v>
      </c>
      <c r="DG15" s="209">
        <f>IFERROR(Opv.kohd.[[#This Row],[Yhteensä 13]]/Opv.kohd.[[#This Row],[Yhteensä 12]],0)</f>
        <v>0</v>
      </c>
      <c r="DH15" s="209">
        <f>IFERROR(Opv.kohd.[[#This Row],[Tavoitteelliset opiskelijavuodet yhteensä 13]]/Opv.kohd.[[#This Row],[Tavoitteelliset opiskelijavuodet yhteensä 12]],0)</f>
        <v>0</v>
      </c>
      <c r="DI15" s="207">
        <f>Opv.kohd.[[#This Row],[Järjestämisluvan mukaiset 12]]-Opv.kohd.[[#This Row],[Järjestämisluvan mukaiset 9]]</f>
        <v>0</v>
      </c>
      <c r="DJ15" s="207">
        <f>Opv.kohd.[[#This Row],[Kohdentamat-tomat 12]]-Opv.kohd.[[#This Row],[Kohdentamat-tomat 9]]</f>
        <v>0</v>
      </c>
      <c r="DK15" s="207">
        <f>Opv.kohd.[[#This Row],[Työvoima-koulutus 12]]-Opv.kohd.[[#This Row],[Työvoima-koulutus 9]]</f>
        <v>0</v>
      </c>
      <c r="DL15" s="207">
        <f>Opv.kohd.[[#This Row],[Maahan-muuttajien koulutus 12]]-Opv.kohd.[[#This Row],[Maahan-muuttajien koulutus 9]]</f>
        <v>0</v>
      </c>
      <c r="DM15" s="207">
        <f>Opv.kohd.[[#This Row],[Nuorisotyöt. väh. ja osaamistarp. vast., muu kuin työvoima-koulutus 12]]-Opv.kohd.[[#This Row],[Nuorisotyöt. väh. ja osaamistarp. vast., muu kuin työvoima-koulutus 9]]</f>
        <v>0</v>
      </c>
      <c r="DN15" s="207">
        <f>Opv.kohd.[[#This Row],[Nuorisotyöt. väh. ja osaamistarp. vast., työvoima-koulutus 12]]-Opv.kohd.[[#This Row],[Nuorisotyöt. väh. ja osaamistarp. vast., työvoima-koulutus 9]]</f>
        <v>0</v>
      </c>
      <c r="DO15" s="207">
        <f>Opv.kohd.[[#This Row],[Yhteensä 12]]-Opv.kohd.[[#This Row],[Yhteensä 9]]</f>
        <v>0</v>
      </c>
      <c r="DP15" s="207">
        <f>Opv.kohd.[[#This Row],[Tavoitteelliset opiskelijavuodet yhteensä 12]]-Opv.kohd.[[#This Row],[Tavoitteelliset opiskelijavuodet yhteensä 9]]</f>
        <v>0</v>
      </c>
      <c r="DQ15" s="209">
        <f>IFERROR(Opv.kohd.[[#This Row],[Järjestämisluvan mukaiset 15]]/Opv.kohd.[[#This Row],[Järjestämisluvan mukaiset 9]],0)</f>
        <v>0</v>
      </c>
      <c r="DR15" s="209">
        <f t="shared" si="10"/>
        <v>0</v>
      </c>
      <c r="DS15" s="209">
        <f t="shared" si="11"/>
        <v>0</v>
      </c>
      <c r="DT15" s="209">
        <f t="shared" si="12"/>
        <v>0</v>
      </c>
      <c r="DU15" s="209">
        <f t="shared" si="13"/>
        <v>0</v>
      </c>
      <c r="DV15" s="209">
        <f t="shared" si="14"/>
        <v>0</v>
      </c>
      <c r="DW15" s="209">
        <f t="shared" si="15"/>
        <v>0</v>
      </c>
      <c r="DX15" s="209">
        <f t="shared" si="16"/>
        <v>0</v>
      </c>
    </row>
    <row r="16" spans="1:128" x14ac:dyDescent="0.25">
      <c r="A16" s="204" t="e">
        <f>IF(INDEX(#REF!,ROW(16:16)-1,1)=0,"",INDEX(#REF!,ROW(16:16)-1,1))</f>
        <v>#REF!</v>
      </c>
      <c r="B16" s="205" t="str">
        <f>IFERROR(VLOOKUP(Opv.kohd.[[#This Row],[Y-tunnus]],'0 Järjestäjätiedot'!$A:$H,2,FALSE),"")</f>
        <v/>
      </c>
      <c r="C16" s="204" t="str">
        <f>IFERROR(VLOOKUP(Opv.kohd.[[#This Row],[Y-tunnus]],'0 Järjestäjätiedot'!$A:$H,COLUMN('0 Järjestäjätiedot'!D:D),FALSE),"")</f>
        <v/>
      </c>
      <c r="D16" s="204" t="str">
        <f>IFERROR(VLOOKUP(Opv.kohd.[[#This Row],[Y-tunnus]],'0 Järjestäjätiedot'!$A:$H,COLUMN('0 Järjestäjätiedot'!H:H),FALSE),"")</f>
        <v/>
      </c>
      <c r="E16" s="204">
        <f>IFERROR(VLOOKUP(Opv.kohd.[[#This Row],[Y-tunnus]],#REF!,COLUMN(#REF!),FALSE),0)</f>
        <v>0</v>
      </c>
      <c r="F16" s="204">
        <f>IFERROR(VLOOKUP(Opv.kohd.[[#This Row],[Y-tunnus]],#REF!,COLUMN(#REF!),FALSE),0)</f>
        <v>0</v>
      </c>
      <c r="G16" s="204">
        <f>IFERROR(VLOOKUP(Opv.kohd.[[#This Row],[Y-tunnus]],#REF!,COLUMN(#REF!),FALSE),0)</f>
        <v>0</v>
      </c>
      <c r="H16" s="204">
        <f>IFERROR(VLOOKUP(Opv.kohd.[[#This Row],[Y-tunnus]],#REF!,COLUMN(#REF!),FALSE),0)</f>
        <v>0</v>
      </c>
      <c r="I16" s="204">
        <f>IFERROR(VLOOKUP(Opv.kohd.[[#This Row],[Y-tunnus]],#REF!,COLUMN(#REF!),FALSE),0)</f>
        <v>0</v>
      </c>
      <c r="J16" s="204">
        <f>IFERROR(VLOOKUP(Opv.kohd.[[#This Row],[Y-tunnus]],#REF!,COLUMN(#REF!),FALSE),0)</f>
        <v>0</v>
      </c>
      <c r="K1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6" s="204">
        <f>Opv.kohd.[[#This Row],[Järjestämisluvan mukaiset 1]]+Opv.kohd.[[#This Row],[Yhteensä  1]]</f>
        <v>0</v>
      </c>
      <c r="M16" s="204">
        <f>IFERROR(VLOOKUP(Opv.kohd.[[#This Row],[Y-tunnus]],#REF!,COLUMN(#REF!),FALSE),0)</f>
        <v>0</v>
      </c>
      <c r="N16" s="204">
        <f>IFERROR(VLOOKUP(Opv.kohd.[[#This Row],[Y-tunnus]],#REF!,COLUMN(#REF!),FALSE),0)</f>
        <v>0</v>
      </c>
      <c r="O16" s="204">
        <f>IFERROR(VLOOKUP(Opv.kohd.[[#This Row],[Y-tunnus]],#REF!,COLUMN(#REF!),FALSE)+VLOOKUP(Opv.kohd.[[#This Row],[Y-tunnus]],#REF!,COLUMN(#REF!),FALSE),0)</f>
        <v>0</v>
      </c>
      <c r="P16" s="204">
        <f>Opv.kohd.[[#This Row],[Talousarvion perusteella kohdentamattomat]]+Opv.kohd.[[#This Row],[Talousarvion perusteella työvoimakoulutus 1]]+Opv.kohd.[[#This Row],[Lisätalousarvioiden perusteella]]</f>
        <v>0</v>
      </c>
      <c r="Q16" s="204">
        <f>IFERROR(VLOOKUP(Opv.kohd.[[#This Row],[Y-tunnus]],#REF!,COLUMN(#REF!),FALSE),0)</f>
        <v>0</v>
      </c>
      <c r="R16" s="210">
        <f>IFERROR(VLOOKUP(Opv.kohd.[[#This Row],[Y-tunnus]],#REF!,COLUMN(#REF!),FALSE)-(Opv.kohd.[[#This Row],[Kohdentamaton työvoima-koulutus 2]]+Opv.kohd.[[#This Row],[Maahan-muuttajien koulutus 2]]+Opv.kohd.[[#This Row],[Lisätalousarvioiden perusteella jaetut 2]]),0)</f>
        <v>0</v>
      </c>
      <c r="S16" s="210">
        <f>IFERROR(VLOOKUP(Opv.kohd.[[#This Row],[Y-tunnus]],#REF!,COLUMN(#REF!),FALSE)+VLOOKUP(Opv.kohd.[[#This Row],[Y-tunnus]],#REF!,COLUMN(#REF!),FALSE),0)</f>
        <v>0</v>
      </c>
      <c r="T16" s="210">
        <f>IFERROR(VLOOKUP(Opv.kohd.[[#This Row],[Y-tunnus]],#REF!,COLUMN(#REF!),FALSE)+VLOOKUP(Opv.kohd.[[#This Row],[Y-tunnus]],#REF!,COLUMN(#REF!),FALSE),0)</f>
        <v>0</v>
      </c>
      <c r="U1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6" s="210">
        <f>Opv.kohd.[[#This Row],[Kohdentamat-tomat 2]]+Opv.kohd.[[#This Row],[Kohdentamaton työvoima-koulutus 2]]+Opv.kohd.[[#This Row],[Maahan-muuttajien koulutus 2]]+Opv.kohd.[[#This Row],[Lisätalousarvioiden perusteella jaetut 2]]</f>
        <v>0</v>
      </c>
      <c r="W16" s="210">
        <f>Opv.kohd.[[#This Row],[Kohdentamat-tomat 2]]-(Opv.kohd.[[#This Row],[Järjestämisluvan mukaiset 1]]+Opv.kohd.[[#This Row],[Kohdentamat-tomat 1]]+Opv.kohd.[[#This Row],[Nuorisotyöt. väh. ja osaamistarp. vast., muu kuin työvoima-koulutus 1]]+Opv.kohd.[[#This Row],[Talousarvion perusteella kohdentamattomat]])</f>
        <v>0</v>
      </c>
      <c r="X16" s="210">
        <f>Opv.kohd.[[#This Row],[Kohdentamaton työvoima-koulutus 2]]-(Opv.kohd.[[#This Row],[Työvoima-koulutus 1]]+Opv.kohd.[[#This Row],[Nuorisotyöt. väh. ja osaamistarp. vast., työvoima-koulutus 1]]+Opv.kohd.[[#This Row],[Talousarvion perusteella työvoimakoulutus 1]])</f>
        <v>0</v>
      </c>
      <c r="Y16" s="210">
        <f>Opv.kohd.[[#This Row],[Maahan-muuttajien koulutus 2]]-Opv.kohd.[[#This Row],[Maahan-muuttajien koulutus 1]]</f>
        <v>0</v>
      </c>
      <c r="Z16" s="210">
        <f>Opv.kohd.[[#This Row],[Lisätalousarvioiden perusteella jaetut 2]]-Opv.kohd.[[#This Row],[Lisätalousarvioiden perusteella]]</f>
        <v>0</v>
      </c>
      <c r="AA16" s="210">
        <f>Opv.kohd.[[#This Row],[Toteutuneet opiskelijavuodet yhteensä 2]]-Opv.kohd.[[#This Row],[Vuoden 2018 tavoitteelliset opiskelijavuodet yhteensä 1]]</f>
        <v>0</v>
      </c>
      <c r="AB16" s="207">
        <f>IFERROR(VLOOKUP(Opv.kohd.[[#This Row],[Y-tunnus]],#REF!,3,FALSE),0)</f>
        <v>0</v>
      </c>
      <c r="AC16" s="207">
        <f>IFERROR(VLOOKUP(Opv.kohd.[[#This Row],[Y-tunnus]],#REF!,4,FALSE),0)</f>
        <v>0</v>
      </c>
      <c r="AD16" s="207">
        <f>IFERROR(VLOOKUP(Opv.kohd.[[#This Row],[Y-tunnus]],#REF!,5,FALSE),0)</f>
        <v>0</v>
      </c>
      <c r="AE16" s="207">
        <f>IFERROR(VLOOKUP(Opv.kohd.[[#This Row],[Y-tunnus]],#REF!,6,FALSE),0)</f>
        <v>0</v>
      </c>
      <c r="AF16" s="207">
        <f>IFERROR(VLOOKUP(Opv.kohd.[[#This Row],[Y-tunnus]],#REF!,7,FALSE),0)</f>
        <v>0</v>
      </c>
      <c r="AG16" s="207">
        <f>IFERROR(VLOOKUP(Opv.kohd.[[#This Row],[Y-tunnus]],#REF!,8,FALSE),0)</f>
        <v>0</v>
      </c>
      <c r="AH16" s="207">
        <f>IFERROR(VLOOKUP(Opv.kohd.[[#This Row],[Y-tunnus]],#REF!,9,FALSE),0)</f>
        <v>0</v>
      </c>
      <c r="AI16" s="207">
        <f>IFERROR(VLOOKUP(Opv.kohd.[[#This Row],[Y-tunnus]],#REF!,10,FALSE),0)</f>
        <v>0</v>
      </c>
      <c r="AJ16" s="204">
        <f>Opv.kohd.[[#This Row],[Järjestämisluvan mukaiset 4]]-Opv.kohd.[[#This Row],[Järjestämisluvan mukaiset 1]]</f>
        <v>0</v>
      </c>
      <c r="AK16" s="204">
        <f>Opv.kohd.[[#This Row],[Kohdentamat-tomat 4]]-Opv.kohd.[[#This Row],[Kohdentamat-tomat 1]]</f>
        <v>0</v>
      </c>
      <c r="AL16" s="204">
        <f>Opv.kohd.[[#This Row],[Työvoima-koulutus 4]]-Opv.kohd.[[#This Row],[Työvoima-koulutus 1]]</f>
        <v>0</v>
      </c>
      <c r="AM16" s="204">
        <f>Opv.kohd.[[#This Row],[Maahan-muuttajien koulutus 4]]-Opv.kohd.[[#This Row],[Maahan-muuttajien koulutus 1]]</f>
        <v>0</v>
      </c>
      <c r="AN16" s="204">
        <f>Opv.kohd.[[#This Row],[Nuorisotyöt. väh. ja osaamistarp. vast., muu kuin työvoima-koulutus 4]]-Opv.kohd.[[#This Row],[Nuorisotyöt. väh. ja osaamistarp. vast., muu kuin työvoima-koulutus 1]]</f>
        <v>0</v>
      </c>
      <c r="AO16" s="204">
        <f>Opv.kohd.[[#This Row],[Nuorisotyöt. väh. ja osaamistarp. vast., työvoima-koulutus 4]]-Opv.kohd.[[#This Row],[Nuorisotyöt. väh. ja osaamistarp. vast., työvoima-koulutus 1]]</f>
        <v>0</v>
      </c>
      <c r="AP16" s="204">
        <f>Opv.kohd.[[#This Row],[Yhteensä 4]]-Opv.kohd.[[#This Row],[Yhteensä  1]]</f>
        <v>0</v>
      </c>
      <c r="AQ16" s="204">
        <f>Opv.kohd.[[#This Row],[Ensikertaisella suoritepäätöksellä jaetut tavoitteelliset opiskelijavuodet yhteensä 4]]-Opv.kohd.[[#This Row],[Ensikertaisella suoritepäätöksellä jaetut tavoitteelliset opiskelijavuodet yhteensä 1]]</f>
        <v>0</v>
      </c>
      <c r="AR16" s="208">
        <f>IFERROR(Opv.kohd.[[#This Row],[Järjestämisluvan mukaiset 5]]/Opv.kohd.[[#This Row],[Järjestämisluvan mukaiset 4]],0)</f>
        <v>0</v>
      </c>
      <c r="AS16" s="208">
        <f>IFERROR(Opv.kohd.[[#This Row],[Kohdentamat-tomat 5]]/Opv.kohd.[[#This Row],[Kohdentamat-tomat 4]],0)</f>
        <v>0</v>
      </c>
      <c r="AT16" s="208">
        <f>IFERROR(Opv.kohd.[[#This Row],[Työvoima-koulutus 5]]/Opv.kohd.[[#This Row],[Työvoima-koulutus 4]],0)</f>
        <v>0</v>
      </c>
      <c r="AU16" s="208">
        <f>IFERROR(Opv.kohd.[[#This Row],[Maahan-muuttajien koulutus 5]]/Opv.kohd.[[#This Row],[Maahan-muuttajien koulutus 4]],0)</f>
        <v>0</v>
      </c>
      <c r="AV16" s="208">
        <f>IFERROR(Opv.kohd.[[#This Row],[Nuorisotyöt. väh. ja osaamistarp. vast., muu kuin työvoima-koulutus 5]]/Opv.kohd.[[#This Row],[Nuorisotyöt. väh. ja osaamistarp. vast., muu kuin työvoima-koulutus 4]],0)</f>
        <v>0</v>
      </c>
      <c r="AW16" s="208">
        <f>IFERROR(Opv.kohd.[[#This Row],[Nuorisotyöt. väh. ja osaamistarp. vast., työvoima-koulutus 5]]/Opv.kohd.[[#This Row],[Nuorisotyöt. väh. ja osaamistarp. vast., työvoima-koulutus 4]],0)</f>
        <v>0</v>
      </c>
      <c r="AX16" s="208">
        <f>IFERROR(Opv.kohd.[[#This Row],[Yhteensä 5]]/Opv.kohd.[[#This Row],[Yhteensä 4]],0)</f>
        <v>0</v>
      </c>
      <c r="AY16" s="208">
        <f>IFERROR(Opv.kohd.[[#This Row],[Ensikertaisella suoritepäätöksellä jaetut tavoitteelliset opiskelijavuodet yhteensä 5]]/Opv.kohd.[[#This Row],[Ensikertaisella suoritepäätöksellä jaetut tavoitteelliset opiskelijavuodet yhteensä 4]],0)</f>
        <v>0</v>
      </c>
      <c r="AZ16" s="207">
        <f>Opv.kohd.[[#This Row],[Yhteensä 7a]]-Opv.kohd.[[#This Row],[Työvoima-koulutus 7a]]</f>
        <v>0</v>
      </c>
      <c r="BA16" s="207">
        <f>IFERROR(VLOOKUP(Opv.kohd.[[#This Row],[Y-tunnus]],#REF!,COLUMN(#REF!),FALSE),0)</f>
        <v>0</v>
      </c>
      <c r="BB16" s="207">
        <f>IFERROR(VLOOKUP(Opv.kohd.[[#This Row],[Y-tunnus]],#REF!,COLUMN(#REF!),FALSE),0)</f>
        <v>0</v>
      </c>
      <c r="BC16" s="207">
        <f>Opv.kohd.[[#This Row],[Muu kuin työvoima-koulutus 7c]]-Opv.kohd.[[#This Row],[Muu kuin työvoima-koulutus 7a]]</f>
        <v>0</v>
      </c>
      <c r="BD16" s="207">
        <f>Opv.kohd.[[#This Row],[Työvoima-koulutus 7c]]-Opv.kohd.[[#This Row],[Työvoima-koulutus 7a]]</f>
        <v>0</v>
      </c>
      <c r="BE16" s="207">
        <f>Opv.kohd.[[#This Row],[Yhteensä 7c]]-Opv.kohd.[[#This Row],[Yhteensä 7a]]</f>
        <v>0</v>
      </c>
      <c r="BF16" s="207">
        <f>Opv.kohd.[[#This Row],[Yhteensä 7c]]-Opv.kohd.[[#This Row],[Työvoima-koulutus 7c]]</f>
        <v>0</v>
      </c>
      <c r="BG16" s="207">
        <f>IFERROR(VLOOKUP(Opv.kohd.[[#This Row],[Y-tunnus]],#REF!,COLUMN(#REF!),FALSE),0)</f>
        <v>0</v>
      </c>
      <c r="BH16" s="207">
        <f>IFERROR(VLOOKUP(Opv.kohd.[[#This Row],[Y-tunnus]],#REF!,COLUMN(#REF!),FALSE),0)</f>
        <v>0</v>
      </c>
      <c r="BI16" s="207">
        <f>IFERROR(VLOOKUP(Opv.kohd.[[#This Row],[Y-tunnus]],#REF!,COLUMN(#REF!),FALSE),0)</f>
        <v>0</v>
      </c>
      <c r="BJ16" s="207">
        <f>IFERROR(VLOOKUP(Opv.kohd.[[#This Row],[Y-tunnus]],#REF!,COLUMN(#REF!),FALSE),0)</f>
        <v>0</v>
      </c>
      <c r="BK16" s="207">
        <f>Opv.kohd.[[#This Row],[Muu kuin työvoima-koulutus 7d]]+Opv.kohd.[[#This Row],[Työvoima-koulutus 7d]]</f>
        <v>0</v>
      </c>
      <c r="BL16" s="207">
        <f>Opv.kohd.[[#This Row],[Muu kuin työvoima-koulutus 7c]]-Opv.kohd.[[#This Row],[Muu kuin työvoima-koulutus 7d]]</f>
        <v>0</v>
      </c>
      <c r="BM16" s="207">
        <f>Opv.kohd.[[#This Row],[Työvoima-koulutus 7c]]-Opv.kohd.[[#This Row],[Työvoima-koulutus 7d]]</f>
        <v>0</v>
      </c>
      <c r="BN16" s="207">
        <f>Opv.kohd.[[#This Row],[Yhteensä 7c]]-Opv.kohd.[[#This Row],[Yhteensä 7d]]</f>
        <v>0</v>
      </c>
      <c r="BO16" s="207">
        <f>Opv.kohd.[[#This Row],[Muu kuin työvoima-koulutus 7e]]-(Opv.kohd.[[#This Row],[Järjestämisluvan mukaiset 4]]+Opv.kohd.[[#This Row],[Kohdentamat-tomat 4]]+Opv.kohd.[[#This Row],[Maahan-muuttajien koulutus 4]]+Opv.kohd.[[#This Row],[Nuorisotyöt. väh. ja osaamistarp. vast., muu kuin työvoima-koulutus 4]])</f>
        <v>0</v>
      </c>
      <c r="BP16" s="207">
        <f>Opv.kohd.[[#This Row],[Työvoima-koulutus 7e]]-(Opv.kohd.[[#This Row],[Työvoima-koulutus 4]]+Opv.kohd.[[#This Row],[Nuorisotyöt. väh. ja osaamistarp. vast., työvoima-koulutus 4]])</f>
        <v>0</v>
      </c>
      <c r="BQ16" s="207">
        <f>Opv.kohd.[[#This Row],[Yhteensä 7e]]-Opv.kohd.[[#This Row],[Ensikertaisella suoritepäätöksellä jaetut tavoitteelliset opiskelijavuodet yhteensä 4]]</f>
        <v>0</v>
      </c>
      <c r="BR16" s="263">
        <v>0</v>
      </c>
      <c r="BS16" s="263">
        <v>0</v>
      </c>
      <c r="BT16" s="263">
        <v>10</v>
      </c>
      <c r="BU16" s="263">
        <v>0</v>
      </c>
      <c r="BV16" s="263">
        <v>0</v>
      </c>
      <c r="BW16" s="263">
        <v>0</v>
      </c>
      <c r="BX16" s="263">
        <v>10</v>
      </c>
      <c r="BY16" s="263">
        <v>10</v>
      </c>
      <c r="BZ16" s="207">
        <f t="shared" si="2"/>
        <v>0</v>
      </c>
      <c r="CA16" s="207">
        <f t="shared" si="3"/>
        <v>0</v>
      </c>
      <c r="CB16" s="207">
        <f t="shared" si="4"/>
        <v>10</v>
      </c>
      <c r="CC16" s="207">
        <f t="shared" si="5"/>
        <v>0</v>
      </c>
      <c r="CD16" s="207">
        <f t="shared" si="6"/>
        <v>0</v>
      </c>
      <c r="CE16" s="207">
        <f t="shared" si="7"/>
        <v>0</v>
      </c>
      <c r="CF16" s="207">
        <f t="shared" si="8"/>
        <v>10</v>
      </c>
      <c r="CG16" s="207">
        <f t="shared" si="9"/>
        <v>10</v>
      </c>
      <c r="CH16" s="207">
        <f>Opv.kohd.[[#This Row],[Tavoitteelliset opiskelijavuodet yhteensä 9]]-Opv.kohd.[[#This Row],[Työvoima-koulutus 9]]-Opv.kohd.[[#This Row],[Nuorisotyöt. väh. ja osaamistarp. vast., työvoima-koulutus 9]]-Opv.kohd.[[#This Row],[Muu kuin työvoima-koulutus 7e]]</f>
        <v>0</v>
      </c>
      <c r="CI16" s="207">
        <f>(Opv.kohd.[[#This Row],[Työvoima-koulutus 9]]+Opv.kohd.[[#This Row],[Nuorisotyöt. väh. ja osaamistarp. vast., työvoima-koulutus 9]])-Opv.kohd.[[#This Row],[Työvoima-koulutus 7e]]</f>
        <v>10</v>
      </c>
      <c r="CJ16" s="207">
        <f>Opv.kohd.[[#This Row],[Tavoitteelliset opiskelijavuodet yhteensä 9]]-Opv.kohd.[[#This Row],[Yhteensä 7e]]</f>
        <v>10</v>
      </c>
      <c r="CK16" s="207">
        <f>Opv.kohd.[[#This Row],[Järjestämisluvan mukaiset 4]]+Opv.kohd.[[#This Row],[Järjestämisluvan mukaiset 13]]</f>
        <v>0</v>
      </c>
      <c r="CL16" s="207">
        <f>Opv.kohd.[[#This Row],[Kohdentamat-tomat 4]]+Opv.kohd.[[#This Row],[Kohdentamat-tomat 13]]</f>
        <v>0</v>
      </c>
      <c r="CM16" s="207">
        <f>Opv.kohd.[[#This Row],[Työvoima-koulutus 4]]+Opv.kohd.[[#This Row],[Työvoima-koulutus 13]]</f>
        <v>0</v>
      </c>
      <c r="CN16" s="207">
        <f>Opv.kohd.[[#This Row],[Maahan-muuttajien koulutus 4]]+Opv.kohd.[[#This Row],[Maahan-muuttajien koulutus 13]]</f>
        <v>0</v>
      </c>
      <c r="CO16" s="207">
        <f>Opv.kohd.[[#This Row],[Nuorisotyöt. väh. ja osaamistarp. vast., muu kuin työvoima-koulutus 4]]+Opv.kohd.[[#This Row],[Nuorisotyöt. väh. ja osaamistarp. vast., muu kuin työvoima-koulutus 13]]</f>
        <v>0</v>
      </c>
      <c r="CP16" s="207">
        <f>Opv.kohd.[[#This Row],[Nuorisotyöt. väh. ja osaamistarp. vast., työvoima-koulutus 4]]+Opv.kohd.[[#This Row],[Nuorisotyöt. väh. ja osaamistarp. vast., työvoima-koulutus 13]]</f>
        <v>0</v>
      </c>
      <c r="CQ16" s="207">
        <f>Opv.kohd.[[#This Row],[Yhteensä 4]]+Opv.kohd.[[#This Row],[Yhteensä 13]]</f>
        <v>0</v>
      </c>
      <c r="CR16" s="207">
        <f>Opv.kohd.[[#This Row],[Ensikertaisella suoritepäätöksellä jaetut tavoitteelliset opiskelijavuodet yhteensä 4]]+Opv.kohd.[[#This Row],[Tavoitteelliset opiskelijavuodet yhteensä 13]]</f>
        <v>0</v>
      </c>
      <c r="CS16" s="120">
        <v>0</v>
      </c>
      <c r="CT16" s="120">
        <v>0</v>
      </c>
      <c r="CU16" s="120">
        <v>0</v>
      </c>
      <c r="CV16" s="120">
        <v>0</v>
      </c>
      <c r="CW16" s="120">
        <v>0</v>
      </c>
      <c r="CX16" s="120">
        <v>0</v>
      </c>
      <c r="CY16" s="120">
        <v>0</v>
      </c>
      <c r="CZ16" s="120">
        <v>0</v>
      </c>
      <c r="DA16" s="209">
        <f>IFERROR(Opv.kohd.[[#This Row],[Järjestämisluvan mukaiset 13]]/Opv.kohd.[[#This Row],[Järjestämisluvan mukaiset 12]],0)</f>
        <v>0</v>
      </c>
      <c r="DB16" s="209">
        <f>IFERROR(Opv.kohd.[[#This Row],[Kohdentamat-tomat 13]]/Opv.kohd.[[#This Row],[Kohdentamat-tomat 12]],0)</f>
        <v>0</v>
      </c>
      <c r="DC16" s="209">
        <f>IFERROR(Opv.kohd.[[#This Row],[Työvoima-koulutus 13]]/Opv.kohd.[[#This Row],[Työvoima-koulutus 12]],0)</f>
        <v>0</v>
      </c>
      <c r="DD16" s="209">
        <f>IFERROR(Opv.kohd.[[#This Row],[Maahan-muuttajien koulutus 13]]/Opv.kohd.[[#This Row],[Maahan-muuttajien koulutus 12]],0)</f>
        <v>0</v>
      </c>
      <c r="DE16" s="209">
        <f>IFERROR(Opv.kohd.[[#This Row],[Nuorisotyöt. väh. ja osaamistarp. vast., muu kuin työvoima-koulutus 13]]/Opv.kohd.[[#This Row],[Nuorisotyöt. väh. ja osaamistarp. vast., muu kuin työvoima-koulutus 12]],0)</f>
        <v>0</v>
      </c>
      <c r="DF16" s="209">
        <f>IFERROR(Opv.kohd.[[#This Row],[Nuorisotyöt. väh. ja osaamistarp. vast., työvoima-koulutus 13]]/Opv.kohd.[[#This Row],[Nuorisotyöt. väh. ja osaamistarp. vast., työvoima-koulutus 12]],0)</f>
        <v>0</v>
      </c>
      <c r="DG16" s="209">
        <f>IFERROR(Opv.kohd.[[#This Row],[Yhteensä 13]]/Opv.kohd.[[#This Row],[Yhteensä 12]],0)</f>
        <v>0</v>
      </c>
      <c r="DH16" s="209">
        <f>IFERROR(Opv.kohd.[[#This Row],[Tavoitteelliset opiskelijavuodet yhteensä 13]]/Opv.kohd.[[#This Row],[Tavoitteelliset opiskelijavuodet yhteensä 12]],0)</f>
        <v>0</v>
      </c>
      <c r="DI16" s="207">
        <f>Opv.kohd.[[#This Row],[Järjestämisluvan mukaiset 12]]-Opv.kohd.[[#This Row],[Järjestämisluvan mukaiset 9]]</f>
        <v>0</v>
      </c>
      <c r="DJ16" s="207">
        <f>Opv.kohd.[[#This Row],[Kohdentamat-tomat 12]]-Opv.kohd.[[#This Row],[Kohdentamat-tomat 9]]</f>
        <v>0</v>
      </c>
      <c r="DK16" s="207">
        <f>Opv.kohd.[[#This Row],[Työvoima-koulutus 12]]-Opv.kohd.[[#This Row],[Työvoima-koulutus 9]]</f>
        <v>-10</v>
      </c>
      <c r="DL16" s="207">
        <f>Opv.kohd.[[#This Row],[Maahan-muuttajien koulutus 12]]-Opv.kohd.[[#This Row],[Maahan-muuttajien koulutus 9]]</f>
        <v>0</v>
      </c>
      <c r="DM16" s="207">
        <f>Opv.kohd.[[#This Row],[Nuorisotyöt. väh. ja osaamistarp. vast., muu kuin työvoima-koulutus 12]]-Opv.kohd.[[#This Row],[Nuorisotyöt. väh. ja osaamistarp. vast., muu kuin työvoima-koulutus 9]]</f>
        <v>0</v>
      </c>
      <c r="DN16" s="207">
        <f>Opv.kohd.[[#This Row],[Nuorisotyöt. väh. ja osaamistarp. vast., työvoima-koulutus 12]]-Opv.kohd.[[#This Row],[Nuorisotyöt. väh. ja osaamistarp. vast., työvoima-koulutus 9]]</f>
        <v>0</v>
      </c>
      <c r="DO16" s="207">
        <f>Opv.kohd.[[#This Row],[Yhteensä 12]]-Opv.kohd.[[#This Row],[Yhteensä 9]]</f>
        <v>-10</v>
      </c>
      <c r="DP16" s="207">
        <f>Opv.kohd.[[#This Row],[Tavoitteelliset opiskelijavuodet yhteensä 12]]-Opv.kohd.[[#This Row],[Tavoitteelliset opiskelijavuodet yhteensä 9]]</f>
        <v>-10</v>
      </c>
      <c r="DQ16" s="209">
        <f>IFERROR(Opv.kohd.[[#This Row],[Järjestämisluvan mukaiset 15]]/Opv.kohd.[[#This Row],[Järjestämisluvan mukaiset 9]],0)</f>
        <v>0</v>
      </c>
      <c r="DR16" s="209">
        <f t="shared" si="10"/>
        <v>0</v>
      </c>
      <c r="DS16" s="209">
        <f t="shared" si="11"/>
        <v>0</v>
      </c>
      <c r="DT16" s="209">
        <f t="shared" si="12"/>
        <v>0</v>
      </c>
      <c r="DU16" s="209">
        <f t="shared" si="13"/>
        <v>0</v>
      </c>
      <c r="DV16" s="209">
        <f t="shared" si="14"/>
        <v>0</v>
      </c>
      <c r="DW16" s="209">
        <f t="shared" si="15"/>
        <v>0</v>
      </c>
      <c r="DX16" s="209">
        <f t="shared" si="16"/>
        <v>0</v>
      </c>
    </row>
    <row r="17" spans="1:128" x14ac:dyDescent="0.25">
      <c r="A17" s="204" t="e">
        <f>IF(INDEX(#REF!,ROW(17:17)-1,1)=0,"",INDEX(#REF!,ROW(17:17)-1,1))</f>
        <v>#REF!</v>
      </c>
      <c r="B17" s="205" t="str">
        <f>IFERROR(VLOOKUP(Opv.kohd.[[#This Row],[Y-tunnus]],'0 Järjestäjätiedot'!$A:$H,2,FALSE),"")</f>
        <v/>
      </c>
      <c r="C17" s="204" t="str">
        <f>IFERROR(VLOOKUP(Opv.kohd.[[#This Row],[Y-tunnus]],'0 Järjestäjätiedot'!$A:$H,COLUMN('0 Järjestäjätiedot'!D:D),FALSE),"")</f>
        <v/>
      </c>
      <c r="D17" s="204" t="str">
        <f>IFERROR(VLOOKUP(Opv.kohd.[[#This Row],[Y-tunnus]],'0 Järjestäjätiedot'!$A:$H,COLUMN('0 Järjestäjätiedot'!H:H),FALSE),"")</f>
        <v/>
      </c>
      <c r="E17" s="204">
        <f>IFERROR(VLOOKUP(Opv.kohd.[[#This Row],[Y-tunnus]],#REF!,COLUMN(#REF!),FALSE),0)</f>
        <v>0</v>
      </c>
      <c r="F17" s="204">
        <f>IFERROR(VLOOKUP(Opv.kohd.[[#This Row],[Y-tunnus]],#REF!,COLUMN(#REF!),FALSE),0)</f>
        <v>0</v>
      </c>
      <c r="G17" s="204">
        <f>IFERROR(VLOOKUP(Opv.kohd.[[#This Row],[Y-tunnus]],#REF!,COLUMN(#REF!),FALSE),0)</f>
        <v>0</v>
      </c>
      <c r="H17" s="204">
        <f>IFERROR(VLOOKUP(Opv.kohd.[[#This Row],[Y-tunnus]],#REF!,COLUMN(#REF!),FALSE),0)</f>
        <v>0</v>
      </c>
      <c r="I17" s="204">
        <f>IFERROR(VLOOKUP(Opv.kohd.[[#This Row],[Y-tunnus]],#REF!,COLUMN(#REF!),FALSE),0)</f>
        <v>0</v>
      </c>
      <c r="J17" s="204">
        <f>IFERROR(VLOOKUP(Opv.kohd.[[#This Row],[Y-tunnus]],#REF!,COLUMN(#REF!),FALSE),0)</f>
        <v>0</v>
      </c>
      <c r="K1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7" s="204">
        <f>Opv.kohd.[[#This Row],[Järjestämisluvan mukaiset 1]]+Opv.kohd.[[#This Row],[Yhteensä  1]]</f>
        <v>0</v>
      </c>
      <c r="M17" s="204">
        <f>IFERROR(VLOOKUP(Opv.kohd.[[#This Row],[Y-tunnus]],#REF!,COLUMN(#REF!),FALSE),0)</f>
        <v>0</v>
      </c>
      <c r="N17" s="204">
        <f>IFERROR(VLOOKUP(Opv.kohd.[[#This Row],[Y-tunnus]],#REF!,COLUMN(#REF!),FALSE),0)</f>
        <v>0</v>
      </c>
      <c r="O17" s="204">
        <f>IFERROR(VLOOKUP(Opv.kohd.[[#This Row],[Y-tunnus]],#REF!,COLUMN(#REF!),FALSE)+VLOOKUP(Opv.kohd.[[#This Row],[Y-tunnus]],#REF!,COLUMN(#REF!),FALSE),0)</f>
        <v>0</v>
      </c>
      <c r="P17" s="204">
        <f>Opv.kohd.[[#This Row],[Talousarvion perusteella kohdentamattomat]]+Opv.kohd.[[#This Row],[Talousarvion perusteella työvoimakoulutus 1]]+Opv.kohd.[[#This Row],[Lisätalousarvioiden perusteella]]</f>
        <v>0</v>
      </c>
      <c r="Q17" s="204">
        <f>IFERROR(VLOOKUP(Opv.kohd.[[#This Row],[Y-tunnus]],#REF!,COLUMN(#REF!),FALSE),0)</f>
        <v>0</v>
      </c>
      <c r="R17" s="210">
        <f>IFERROR(VLOOKUP(Opv.kohd.[[#This Row],[Y-tunnus]],#REF!,COLUMN(#REF!),FALSE)-(Opv.kohd.[[#This Row],[Kohdentamaton työvoima-koulutus 2]]+Opv.kohd.[[#This Row],[Maahan-muuttajien koulutus 2]]+Opv.kohd.[[#This Row],[Lisätalousarvioiden perusteella jaetut 2]]),0)</f>
        <v>0</v>
      </c>
      <c r="S17" s="210">
        <f>IFERROR(VLOOKUP(Opv.kohd.[[#This Row],[Y-tunnus]],#REF!,COLUMN(#REF!),FALSE)+VLOOKUP(Opv.kohd.[[#This Row],[Y-tunnus]],#REF!,COLUMN(#REF!),FALSE),0)</f>
        <v>0</v>
      </c>
      <c r="T17" s="210">
        <f>IFERROR(VLOOKUP(Opv.kohd.[[#This Row],[Y-tunnus]],#REF!,COLUMN(#REF!),FALSE)+VLOOKUP(Opv.kohd.[[#This Row],[Y-tunnus]],#REF!,COLUMN(#REF!),FALSE),0)</f>
        <v>0</v>
      </c>
      <c r="U1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7" s="210">
        <f>Opv.kohd.[[#This Row],[Kohdentamat-tomat 2]]+Opv.kohd.[[#This Row],[Kohdentamaton työvoima-koulutus 2]]+Opv.kohd.[[#This Row],[Maahan-muuttajien koulutus 2]]+Opv.kohd.[[#This Row],[Lisätalousarvioiden perusteella jaetut 2]]</f>
        <v>0</v>
      </c>
      <c r="W17" s="210">
        <f>Opv.kohd.[[#This Row],[Kohdentamat-tomat 2]]-(Opv.kohd.[[#This Row],[Järjestämisluvan mukaiset 1]]+Opv.kohd.[[#This Row],[Kohdentamat-tomat 1]]+Opv.kohd.[[#This Row],[Nuorisotyöt. väh. ja osaamistarp. vast., muu kuin työvoima-koulutus 1]]+Opv.kohd.[[#This Row],[Talousarvion perusteella kohdentamattomat]])</f>
        <v>0</v>
      </c>
      <c r="X17" s="210">
        <f>Opv.kohd.[[#This Row],[Kohdentamaton työvoima-koulutus 2]]-(Opv.kohd.[[#This Row],[Työvoima-koulutus 1]]+Opv.kohd.[[#This Row],[Nuorisotyöt. väh. ja osaamistarp. vast., työvoima-koulutus 1]]+Opv.kohd.[[#This Row],[Talousarvion perusteella työvoimakoulutus 1]])</f>
        <v>0</v>
      </c>
      <c r="Y17" s="210">
        <f>Opv.kohd.[[#This Row],[Maahan-muuttajien koulutus 2]]-Opv.kohd.[[#This Row],[Maahan-muuttajien koulutus 1]]</f>
        <v>0</v>
      </c>
      <c r="Z17" s="210">
        <f>Opv.kohd.[[#This Row],[Lisätalousarvioiden perusteella jaetut 2]]-Opv.kohd.[[#This Row],[Lisätalousarvioiden perusteella]]</f>
        <v>0</v>
      </c>
      <c r="AA17" s="210">
        <f>Opv.kohd.[[#This Row],[Toteutuneet opiskelijavuodet yhteensä 2]]-Opv.kohd.[[#This Row],[Vuoden 2018 tavoitteelliset opiskelijavuodet yhteensä 1]]</f>
        <v>0</v>
      </c>
      <c r="AB17" s="207">
        <f>IFERROR(VLOOKUP(Opv.kohd.[[#This Row],[Y-tunnus]],#REF!,3,FALSE),0)</f>
        <v>0</v>
      </c>
      <c r="AC17" s="207">
        <f>IFERROR(VLOOKUP(Opv.kohd.[[#This Row],[Y-tunnus]],#REF!,4,FALSE),0)</f>
        <v>0</v>
      </c>
      <c r="AD17" s="207">
        <f>IFERROR(VLOOKUP(Opv.kohd.[[#This Row],[Y-tunnus]],#REF!,5,FALSE),0)</f>
        <v>0</v>
      </c>
      <c r="AE17" s="207">
        <f>IFERROR(VLOOKUP(Opv.kohd.[[#This Row],[Y-tunnus]],#REF!,6,FALSE),0)</f>
        <v>0</v>
      </c>
      <c r="AF17" s="207">
        <f>IFERROR(VLOOKUP(Opv.kohd.[[#This Row],[Y-tunnus]],#REF!,7,FALSE),0)</f>
        <v>0</v>
      </c>
      <c r="AG17" s="207">
        <f>IFERROR(VLOOKUP(Opv.kohd.[[#This Row],[Y-tunnus]],#REF!,8,FALSE),0)</f>
        <v>0</v>
      </c>
      <c r="AH17" s="207">
        <f>IFERROR(VLOOKUP(Opv.kohd.[[#This Row],[Y-tunnus]],#REF!,9,FALSE),0)</f>
        <v>0</v>
      </c>
      <c r="AI17" s="207">
        <f>IFERROR(VLOOKUP(Opv.kohd.[[#This Row],[Y-tunnus]],#REF!,10,FALSE),0)</f>
        <v>0</v>
      </c>
      <c r="AJ17" s="204">
        <f>Opv.kohd.[[#This Row],[Järjestämisluvan mukaiset 4]]-Opv.kohd.[[#This Row],[Järjestämisluvan mukaiset 1]]</f>
        <v>0</v>
      </c>
      <c r="AK17" s="204">
        <f>Opv.kohd.[[#This Row],[Kohdentamat-tomat 4]]-Opv.kohd.[[#This Row],[Kohdentamat-tomat 1]]</f>
        <v>0</v>
      </c>
      <c r="AL17" s="204">
        <f>Opv.kohd.[[#This Row],[Työvoima-koulutus 4]]-Opv.kohd.[[#This Row],[Työvoima-koulutus 1]]</f>
        <v>0</v>
      </c>
      <c r="AM17" s="204">
        <f>Opv.kohd.[[#This Row],[Maahan-muuttajien koulutus 4]]-Opv.kohd.[[#This Row],[Maahan-muuttajien koulutus 1]]</f>
        <v>0</v>
      </c>
      <c r="AN17" s="204">
        <f>Opv.kohd.[[#This Row],[Nuorisotyöt. väh. ja osaamistarp. vast., muu kuin työvoima-koulutus 4]]-Opv.kohd.[[#This Row],[Nuorisotyöt. väh. ja osaamistarp. vast., muu kuin työvoima-koulutus 1]]</f>
        <v>0</v>
      </c>
      <c r="AO17" s="204">
        <f>Opv.kohd.[[#This Row],[Nuorisotyöt. väh. ja osaamistarp. vast., työvoima-koulutus 4]]-Opv.kohd.[[#This Row],[Nuorisotyöt. väh. ja osaamistarp. vast., työvoima-koulutus 1]]</f>
        <v>0</v>
      </c>
      <c r="AP17" s="204">
        <f>Opv.kohd.[[#This Row],[Yhteensä 4]]-Opv.kohd.[[#This Row],[Yhteensä  1]]</f>
        <v>0</v>
      </c>
      <c r="AQ17" s="204">
        <f>Opv.kohd.[[#This Row],[Ensikertaisella suoritepäätöksellä jaetut tavoitteelliset opiskelijavuodet yhteensä 4]]-Opv.kohd.[[#This Row],[Ensikertaisella suoritepäätöksellä jaetut tavoitteelliset opiskelijavuodet yhteensä 1]]</f>
        <v>0</v>
      </c>
      <c r="AR17" s="208">
        <f>IFERROR(Opv.kohd.[[#This Row],[Järjestämisluvan mukaiset 5]]/Opv.kohd.[[#This Row],[Järjestämisluvan mukaiset 4]],0)</f>
        <v>0</v>
      </c>
      <c r="AS17" s="208">
        <f>IFERROR(Opv.kohd.[[#This Row],[Kohdentamat-tomat 5]]/Opv.kohd.[[#This Row],[Kohdentamat-tomat 4]],0)</f>
        <v>0</v>
      </c>
      <c r="AT17" s="208">
        <f>IFERROR(Opv.kohd.[[#This Row],[Työvoima-koulutus 5]]/Opv.kohd.[[#This Row],[Työvoima-koulutus 4]],0)</f>
        <v>0</v>
      </c>
      <c r="AU17" s="208">
        <f>IFERROR(Opv.kohd.[[#This Row],[Maahan-muuttajien koulutus 5]]/Opv.kohd.[[#This Row],[Maahan-muuttajien koulutus 4]],0)</f>
        <v>0</v>
      </c>
      <c r="AV17" s="208">
        <f>IFERROR(Opv.kohd.[[#This Row],[Nuorisotyöt. väh. ja osaamistarp. vast., muu kuin työvoima-koulutus 5]]/Opv.kohd.[[#This Row],[Nuorisotyöt. väh. ja osaamistarp. vast., muu kuin työvoima-koulutus 4]],0)</f>
        <v>0</v>
      </c>
      <c r="AW17" s="208">
        <f>IFERROR(Opv.kohd.[[#This Row],[Nuorisotyöt. väh. ja osaamistarp. vast., työvoima-koulutus 5]]/Opv.kohd.[[#This Row],[Nuorisotyöt. väh. ja osaamistarp. vast., työvoima-koulutus 4]],0)</f>
        <v>0</v>
      </c>
      <c r="AX17" s="208">
        <f>IFERROR(Opv.kohd.[[#This Row],[Yhteensä 5]]/Opv.kohd.[[#This Row],[Yhteensä 4]],0)</f>
        <v>0</v>
      </c>
      <c r="AY17" s="208">
        <f>IFERROR(Opv.kohd.[[#This Row],[Ensikertaisella suoritepäätöksellä jaetut tavoitteelliset opiskelijavuodet yhteensä 5]]/Opv.kohd.[[#This Row],[Ensikertaisella suoritepäätöksellä jaetut tavoitteelliset opiskelijavuodet yhteensä 4]],0)</f>
        <v>0</v>
      </c>
      <c r="AZ17" s="207">
        <f>Opv.kohd.[[#This Row],[Yhteensä 7a]]-Opv.kohd.[[#This Row],[Työvoima-koulutus 7a]]</f>
        <v>0</v>
      </c>
      <c r="BA17" s="207">
        <f>IFERROR(VLOOKUP(Opv.kohd.[[#This Row],[Y-tunnus]],#REF!,COLUMN(#REF!),FALSE),0)</f>
        <v>0</v>
      </c>
      <c r="BB17" s="207">
        <f>IFERROR(VLOOKUP(Opv.kohd.[[#This Row],[Y-tunnus]],#REF!,COLUMN(#REF!),FALSE),0)</f>
        <v>0</v>
      </c>
      <c r="BC17" s="207">
        <f>Opv.kohd.[[#This Row],[Muu kuin työvoima-koulutus 7c]]-Opv.kohd.[[#This Row],[Muu kuin työvoima-koulutus 7a]]</f>
        <v>0</v>
      </c>
      <c r="BD17" s="207">
        <f>Opv.kohd.[[#This Row],[Työvoima-koulutus 7c]]-Opv.kohd.[[#This Row],[Työvoima-koulutus 7a]]</f>
        <v>0</v>
      </c>
      <c r="BE17" s="207">
        <f>Opv.kohd.[[#This Row],[Yhteensä 7c]]-Opv.kohd.[[#This Row],[Yhteensä 7a]]</f>
        <v>0</v>
      </c>
      <c r="BF17" s="207">
        <f>Opv.kohd.[[#This Row],[Yhteensä 7c]]-Opv.kohd.[[#This Row],[Työvoima-koulutus 7c]]</f>
        <v>0</v>
      </c>
      <c r="BG17" s="207">
        <f>IFERROR(VLOOKUP(Opv.kohd.[[#This Row],[Y-tunnus]],#REF!,COLUMN(#REF!),FALSE),0)</f>
        <v>0</v>
      </c>
      <c r="BH17" s="207">
        <f>IFERROR(VLOOKUP(Opv.kohd.[[#This Row],[Y-tunnus]],#REF!,COLUMN(#REF!),FALSE),0)</f>
        <v>0</v>
      </c>
      <c r="BI17" s="207">
        <f>IFERROR(VLOOKUP(Opv.kohd.[[#This Row],[Y-tunnus]],#REF!,COLUMN(#REF!),FALSE),0)</f>
        <v>0</v>
      </c>
      <c r="BJ17" s="207">
        <f>IFERROR(VLOOKUP(Opv.kohd.[[#This Row],[Y-tunnus]],#REF!,COLUMN(#REF!),FALSE),0)</f>
        <v>0</v>
      </c>
      <c r="BK17" s="207">
        <f>Opv.kohd.[[#This Row],[Muu kuin työvoima-koulutus 7d]]+Opv.kohd.[[#This Row],[Työvoima-koulutus 7d]]</f>
        <v>0</v>
      </c>
      <c r="BL17" s="207">
        <f>Opv.kohd.[[#This Row],[Muu kuin työvoima-koulutus 7c]]-Opv.kohd.[[#This Row],[Muu kuin työvoima-koulutus 7d]]</f>
        <v>0</v>
      </c>
      <c r="BM17" s="207">
        <f>Opv.kohd.[[#This Row],[Työvoima-koulutus 7c]]-Opv.kohd.[[#This Row],[Työvoima-koulutus 7d]]</f>
        <v>0</v>
      </c>
      <c r="BN17" s="207">
        <f>Opv.kohd.[[#This Row],[Yhteensä 7c]]-Opv.kohd.[[#This Row],[Yhteensä 7d]]</f>
        <v>0</v>
      </c>
      <c r="BO17" s="207">
        <f>Opv.kohd.[[#This Row],[Muu kuin työvoima-koulutus 7e]]-(Opv.kohd.[[#This Row],[Järjestämisluvan mukaiset 4]]+Opv.kohd.[[#This Row],[Kohdentamat-tomat 4]]+Opv.kohd.[[#This Row],[Maahan-muuttajien koulutus 4]]+Opv.kohd.[[#This Row],[Nuorisotyöt. väh. ja osaamistarp. vast., muu kuin työvoima-koulutus 4]])</f>
        <v>0</v>
      </c>
      <c r="BP17" s="207">
        <f>Opv.kohd.[[#This Row],[Työvoima-koulutus 7e]]-(Opv.kohd.[[#This Row],[Työvoima-koulutus 4]]+Opv.kohd.[[#This Row],[Nuorisotyöt. väh. ja osaamistarp. vast., työvoima-koulutus 4]])</f>
        <v>0</v>
      </c>
      <c r="BQ17" s="207">
        <f>Opv.kohd.[[#This Row],[Yhteensä 7e]]-Opv.kohd.[[#This Row],[Ensikertaisella suoritepäätöksellä jaetut tavoitteelliset opiskelijavuodet yhteensä 4]]</f>
        <v>0</v>
      </c>
      <c r="BR17" s="263">
        <v>5838</v>
      </c>
      <c r="BS17" s="263">
        <v>355</v>
      </c>
      <c r="BT17" s="263">
        <v>250</v>
      </c>
      <c r="BU17" s="263">
        <v>150</v>
      </c>
      <c r="BV17" s="263">
        <v>10</v>
      </c>
      <c r="BW17" s="263">
        <v>0</v>
      </c>
      <c r="BX17" s="263">
        <v>765</v>
      </c>
      <c r="BY17" s="263">
        <v>6603</v>
      </c>
      <c r="BZ17" s="207">
        <f t="shared" si="2"/>
        <v>5838</v>
      </c>
      <c r="CA17" s="207">
        <f t="shared" si="3"/>
        <v>355</v>
      </c>
      <c r="CB17" s="207">
        <f t="shared" si="4"/>
        <v>250</v>
      </c>
      <c r="CC17" s="207">
        <f t="shared" si="5"/>
        <v>150</v>
      </c>
      <c r="CD17" s="207">
        <f t="shared" si="6"/>
        <v>10</v>
      </c>
      <c r="CE17" s="207">
        <f t="shared" si="7"/>
        <v>0</v>
      </c>
      <c r="CF17" s="207">
        <f t="shared" si="8"/>
        <v>765</v>
      </c>
      <c r="CG17" s="207">
        <f t="shared" si="9"/>
        <v>6603</v>
      </c>
      <c r="CH17" s="207">
        <f>Opv.kohd.[[#This Row],[Tavoitteelliset opiskelijavuodet yhteensä 9]]-Opv.kohd.[[#This Row],[Työvoima-koulutus 9]]-Opv.kohd.[[#This Row],[Nuorisotyöt. väh. ja osaamistarp. vast., työvoima-koulutus 9]]-Opv.kohd.[[#This Row],[Muu kuin työvoima-koulutus 7e]]</f>
        <v>6353</v>
      </c>
      <c r="CI17" s="207">
        <f>(Opv.kohd.[[#This Row],[Työvoima-koulutus 9]]+Opv.kohd.[[#This Row],[Nuorisotyöt. väh. ja osaamistarp. vast., työvoima-koulutus 9]])-Opv.kohd.[[#This Row],[Työvoima-koulutus 7e]]</f>
        <v>250</v>
      </c>
      <c r="CJ17" s="207">
        <f>Opv.kohd.[[#This Row],[Tavoitteelliset opiskelijavuodet yhteensä 9]]-Opv.kohd.[[#This Row],[Yhteensä 7e]]</f>
        <v>6603</v>
      </c>
      <c r="CK17" s="207">
        <f>Opv.kohd.[[#This Row],[Järjestämisluvan mukaiset 4]]+Opv.kohd.[[#This Row],[Järjestämisluvan mukaiset 13]]</f>
        <v>0</v>
      </c>
      <c r="CL17" s="207">
        <f>Opv.kohd.[[#This Row],[Kohdentamat-tomat 4]]+Opv.kohd.[[#This Row],[Kohdentamat-tomat 13]]</f>
        <v>0</v>
      </c>
      <c r="CM17" s="207">
        <f>Opv.kohd.[[#This Row],[Työvoima-koulutus 4]]+Opv.kohd.[[#This Row],[Työvoima-koulutus 13]]</f>
        <v>0</v>
      </c>
      <c r="CN17" s="207">
        <f>Opv.kohd.[[#This Row],[Maahan-muuttajien koulutus 4]]+Opv.kohd.[[#This Row],[Maahan-muuttajien koulutus 13]]</f>
        <v>0</v>
      </c>
      <c r="CO17" s="207">
        <f>Opv.kohd.[[#This Row],[Nuorisotyöt. väh. ja osaamistarp. vast., muu kuin työvoima-koulutus 4]]+Opv.kohd.[[#This Row],[Nuorisotyöt. väh. ja osaamistarp. vast., muu kuin työvoima-koulutus 13]]</f>
        <v>0</v>
      </c>
      <c r="CP17" s="207">
        <f>Opv.kohd.[[#This Row],[Nuorisotyöt. väh. ja osaamistarp. vast., työvoima-koulutus 4]]+Opv.kohd.[[#This Row],[Nuorisotyöt. väh. ja osaamistarp. vast., työvoima-koulutus 13]]</f>
        <v>0</v>
      </c>
      <c r="CQ17" s="207">
        <f>Opv.kohd.[[#This Row],[Yhteensä 4]]+Opv.kohd.[[#This Row],[Yhteensä 13]]</f>
        <v>0</v>
      </c>
      <c r="CR17" s="207">
        <f>Opv.kohd.[[#This Row],[Ensikertaisella suoritepäätöksellä jaetut tavoitteelliset opiskelijavuodet yhteensä 4]]+Opv.kohd.[[#This Row],[Tavoitteelliset opiskelijavuodet yhteensä 13]]</f>
        <v>0</v>
      </c>
      <c r="CS17" s="120">
        <v>0</v>
      </c>
      <c r="CT17" s="120">
        <v>0</v>
      </c>
      <c r="CU17" s="120">
        <v>0</v>
      </c>
      <c r="CV17" s="120">
        <v>0</v>
      </c>
      <c r="CW17" s="120">
        <v>0</v>
      </c>
      <c r="CX17" s="120">
        <v>0</v>
      </c>
      <c r="CY17" s="120">
        <v>0</v>
      </c>
      <c r="CZ17" s="120">
        <v>0</v>
      </c>
      <c r="DA17" s="209">
        <f>IFERROR(Opv.kohd.[[#This Row],[Järjestämisluvan mukaiset 13]]/Opv.kohd.[[#This Row],[Järjestämisluvan mukaiset 12]],0)</f>
        <v>0</v>
      </c>
      <c r="DB17" s="209">
        <f>IFERROR(Opv.kohd.[[#This Row],[Kohdentamat-tomat 13]]/Opv.kohd.[[#This Row],[Kohdentamat-tomat 12]],0)</f>
        <v>0</v>
      </c>
      <c r="DC17" s="209">
        <f>IFERROR(Opv.kohd.[[#This Row],[Työvoima-koulutus 13]]/Opv.kohd.[[#This Row],[Työvoima-koulutus 12]],0)</f>
        <v>0</v>
      </c>
      <c r="DD17" s="209">
        <f>IFERROR(Opv.kohd.[[#This Row],[Maahan-muuttajien koulutus 13]]/Opv.kohd.[[#This Row],[Maahan-muuttajien koulutus 12]],0)</f>
        <v>0</v>
      </c>
      <c r="DE17" s="209">
        <f>IFERROR(Opv.kohd.[[#This Row],[Nuorisotyöt. väh. ja osaamistarp. vast., muu kuin työvoima-koulutus 13]]/Opv.kohd.[[#This Row],[Nuorisotyöt. väh. ja osaamistarp. vast., muu kuin työvoima-koulutus 12]],0)</f>
        <v>0</v>
      </c>
      <c r="DF17" s="209">
        <f>IFERROR(Opv.kohd.[[#This Row],[Nuorisotyöt. väh. ja osaamistarp. vast., työvoima-koulutus 13]]/Opv.kohd.[[#This Row],[Nuorisotyöt. väh. ja osaamistarp. vast., työvoima-koulutus 12]],0)</f>
        <v>0</v>
      </c>
      <c r="DG17" s="209">
        <f>IFERROR(Opv.kohd.[[#This Row],[Yhteensä 13]]/Opv.kohd.[[#This Row],[Yhteensä 12]],0)</f>
        <v>0</v>
      </c>
      <c r="DH17" s="209">
        <f>IFERROR(Opv.kohd.[[#This Row],[Tavoitteelliset opiskelijavuodet yhteensä 13]]/Opv.kohd.[[#This Row],[Tavoitteelliset opiskelijavuodet yhteensä 12]],0)</f>
        <v>0</v>
      </c>
      <c r="DI17" s="207">
        <f>Opv.kohd.[[#This Row],[Järjestämisluvan mukaiset 12]]-Opv.kohd.[[#This Row],[Järjestämisluvan mukaiset 9]]</f>
        <v>-5838</v>
      </c>
      <c r="DJ17" s="207">
        <f>Opv.kohd.[[#This Row],[Kohdentamat-tomat 12]]-Opv.kohd.[[#This Row],[Kohdentamat-tomat 9]]</f>
        <v>-355</v>
      </c>
      <c r="DK17" s="207">
        <f>Opv.kohd.[[#This Row],[Työvoima-koulutus 12]]-Opv.kohd.[[#This Row],[Työvoima-koulutus 9]]</f>
        <v>-250</v>
      </c>
      <c r="DL17" s="207">
        <f>Opv.kohd.[[#This Row],[Maahan-muuttajien koulutus 12]]-Opv.kohd.[[#This Row],[Maahan-muuttajien koulutus 9]]</f>
        <v>-150</v>
      </c>
      <c r="DM17" s="207">
        <f>Opv.kohd.[[#This Row],[Nuorisotyöt. väh. ja osaamistarp. vast., muu kuin työvoima-koulutus 12]]-Opv.kohd.[[#This Row],[Nuorisotyöt. väh. ja osaamistarp. vast., muu kuin työvoima-koulutus 9]]</f>
        <v>-10</v>
      </c>
      <c r="DN17" s="207">
        <f>Opv.kohd.[[#This Row],[Nuorisotyöt. väh. ja osaamistarp. vast., työvoima-koulutus 12]]-Opv.kohd.[[#This Row],[Nuorisotyöt. väh. ja osaamistarp. vast., työvoima-koulutus 9]]</f>
        <v>0</v>
      </c>
      <c r="DO17" s="207">
        <f>Opv.kohd.[[#This Row],[Yhteensä 12]]-Opv.kohd.[[#This Row],[Yhteensä 9]]</f>
        <v>-765</v>
      </c>
      <c r="DP17" s="207">
        <f>Opv.kohd.[[#This Row],[Tavoitteelliset opiskelijavuodet yhteensä 12]]-Opv.kohd.[[#This Row],[Tavoitteelliset opiskelijavuodet yhteensä 9]]</f>
        <v>-6603</v>
      </c>
      <c r="DQ17" s="209">
        <f>IFERROR(Opv.kohd.[[#This Row],[Järjestämisluvan mukaiset 15]]/Opv.kohd.[[#This Row],[Järjestämisluvan mukaiset 9]],0)</f>
        <v>-1</v>
      </c>
      <c r="DR17" s="209">
        <f t="shared" si="10"/>
        <v>0</v>
      </c>
      <c r="DS17" s="209">
        <f t="shared" si="11"/>
        <v>0</v>
      </c>
      <c r="DT17" s="209">
        <f t="shared" si="12"/>
        <v>0</v>
      </c>
      <c r="DU17" s="209">
        <f t="shared" si="13"/>
        <v>0</v>
      </c>
      <c r="DV17" s="209">
        <f t="shared" si="14"/>
        <v>0</v>
      </c>
      <c r="DW17" s="209">
        <f t="shared" si="15"/>
        <v>0</v>
      </c>
      <c r="DX17" s="209">
        <f t="shared" si="16"/>
        <v>0</v>
      </c>
    </row>
    <row r="18" spans="1:128" x14ac:dyDescent="0.25">
      <c r="A18" s="204" t="e">
        <f>IF(INDEX(#REF!,ROW(18:18)-1,1)=0,"",INDEX(#REF!,ROW(18:18)-1,1))</f>
        <v>#REF!</v>
      </c>
      <c r="B18" s="205" t="str">
        <f>IFERROR(VLOOKUP(Opv.kohd.[[#This Row],[Y-tunnus]],'0 Järjestäjätiedot'!$A:$H,2,FALSE),"")</f>
        <v/>
      </c>
      <c r="C18" s="204" t="str">
        <f>IFERROR(VLOOKUP(Opv.kohd.[[#This Row],[Y-tunnus]],'0 Järjestäjätiedot'!$A:$H,COLUMN('0 Järjestäjätiedot'!D:D),FALSE),"")</f>
        <v/>
      </c>
      <c r="D18" s="204" t="str">
        <f>IFERROR(VLOOKUP(Opv.kohd.[[#This Row],[Y-tunnus]],'0 Järjestäjätiedot'!$A:$H,COLUMN('0 Järjestäjätiedot'!H:H),FALSE),"")</f>
        <v/>
      </c>
      <c r="E18" s="204">
        <f>IFERROR(VLOOKUP(Opv.kohd.[[#This Row],[Y-tunnus]],#REF!,COLUMN(#REF!),FALSE),0)</f>
        <v>0</v>
      </c>
      <c r="F18" s="204">
        <f>IFERROR(VLOOKUP(Opv.kohd.[[#This Row],[Y-tunnus]],#REF!,COLUMN(#REF!),FALSE),0)</f>
        <v>0</v>
      </c>
      <c r="G18" s="204">
        <f>IFERROR(VLOOKUP(Opv.kohd.[[#This Row],[Y-tunnus]],#REF!,COLUMN(#REF!),FALSE),0)</f>
        <v>0</v>
      </c>
      <c r="H18" s="204">
        <f>IFERROR(VLOOKUP(Opv.kohd.[[#This Row],[Y-tunnus]],#REF!,COLUMN(#REF!),FALSE),0)</f>
        <v>0</v>
      </c>
      <c r="I18" s="204">
        <f>IFERROR(VLOOKUP(Opv.kohd.[[#This Row],[Y-tunnus]],#REF!,COLUMN(#REF!),FALSE),0)</f>
        <v>0</v>
      </c>
      <c r="J18" s="204">
        <f>IFERROR(VLOOKUP(Opv.kohd.[[#This Row],[Y-tunnus]],#REF!,COLUMN(#REF!),FALSE),0)</f>
        <v>0</v>
      </c>
      <c r="K1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8" s="204">
        <f>Opv.kohd.[[#This Row],[Järjestämisluvan mukaiset 1]]+Opv.kohd.[[#This Row],[Yhteensä  1]]</f>
        <v>0</v>
      </c>
      <c r="M18" s="204">
        <f>IFERROR(VLOOKUP(Opv.kohd.[[#This Row],[Y-tunnus]],#REF!,COLUMN(#REF!),FALSE),0)</f>
        <v>0</v>
      </c>
      <c r="N18" s="204">
        <f>IFERROR(VLOOKUP(Opv.kohd.[[#This Row],[Y-tunnus]],#REF!,COLUMN(#REF!),FALSE),0)</f>
        <v>0</v>
      </c>
      <c r="O18" s="204">
        <f>IFERROR(VLOOKUP(Opv.kohd.[[#This Row],[Y-tunnus]],#REF!,COLUMN(#REF!),FALSE)+VLOOKUP(Opv.kohd.[[#This Row],[Y-tunnus]],#REF!,COLUMN(#REF!),FALSE),0)</f>
        <v>0</v>
      </c>
      <c r="P18" s="204">
        <f>Opv.kohd.[[#This Row],[Talousarvion perusteella kohdentamattomat]]+Opv.kohd.[[#This Row],[Talousarvion perusteella työvoimakoulutus 1]]+Opv.kohd.[[#This Row],[Lisätalousarvioiden perusteella]]</f>
        <v>0</v>
      </c>
      <c r="Q18" s="204">
        <f>IFERROR(VLOOKUP(Opv.kohd.[[#This Row],[Y-tunnus]],#REF!,COLUMN(#REF!),FALSE),0)</f>
        <v>0</v>
      </c>
      <c r="R18" s="210">
        <f>IFERROR(VLOOKUP(Opv.kohd.[[#This Row],[Y-tunnus]],#REF!,COLUMN(#REF!),FALSE)-(Opv.kohd.[[#This Row],[Kohdentamaton työvoima-koulutus 2]]+Opv.kohd.[[#This Row],[Maahan-muuttajien koulutus 2]]+Opv.kohd.[[#This Row],[Lisätalousarvioiden perusteella jaetut 2]]),0)</f>
        <v>0</v>
      </c>
      <c r="S18" s="210">
        <f>IFERROR(VLOOKUP(Opv.kohd.[[#This Row],[Y-tunnus]],#REF!,COLUMN(#REF!),FALSE)+VLOOKUP(Opv.kohd.[[#This Row],[Y-tunnus]],#REF!,COLUMN(#REF!),FALSE),0)</f>
        <v>0</v>
      </c>
      <c r="T18" s="210">
        <f>IFERROR(VLOOKUP(Opv.kohd.[[#This Row],[Y-tunnus]],#REF!,COLUMN(#REF!),FALSE)+VLOOKUP(Opv.kohd.[[#This Row],[Y-tunnus]],#REF!,COLUMN(#REF!),FALSE),0)</f>
        <v>0</v>
      </c>
      <c r="U1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8" s="210">
        <f>Opv.kohd.[[#This Row],[Kohdentamat-tomat 2]]+Opv.kohd.[[#This Row],[Kohdentamaton työvoima-koulutus 2]]+Opv.kohd.[[#This Row],[Maahan-muuttajien koulutus 2]]+Opv.kohd.[[#This Row],[Lisätalousarvioiden perusteella jaetut 2]]</f>
        <v>0</v>
      </c>
      <c r="W18" s="210">
        <f>Opv.kohd.[[#This Row],[Kohdentamat-tomat 2]]-(Opv.kohd.[[#This Row],[Järjestämisluvan mukaiset 1]]+Opv.kohd.[[#This Row],[Kohdentamat-tomat 1]]+Opv.kohd.[[#This Row],[Nuorisotyöt. väh. ja osaamistarp. vast., muu kuin työvoima-koulutus 1]]+Opv.kohd.[[#This Row],[Talousarvion perusteella kohdentamattomat]])</f>
        <v>0</v>
      </c>
      <c r="X18" s="210">
        <f>Opv.kohd.[[#This Row],[Kohdentamaton työvoima-koulutus 2]]-(Opv.kohd.[[#This Row],[Työvoima-koulutus 1]]+Opv.kohd.[[#This Row],[Nuorisotyöt. väh. ja osaamistarp. vast., työvoima-koulutus 1]]+Opv.kohd.[[#This Row],[Talousarvion perusteella työvoimakoulutus 1]])</f>
        <v>0</v>
      </c>
      <c r="Y18" s="210">
        <f>Opv.kohd.[[#This Row],[Maahan-muuttajien koulutus 2]]-Opv.kohd.[[#This Row],[Maahan-muuttajien koulutus 1]]</f>
        <v>0</v>
      </c>
      <c r="Z18" s="210">
        <f>Opv.kohd.[[#This Row],[Lisätalousarvioiden perusteella jaetut 2]]-Opv.kohd.[[#This Row],[Lisätalousarvioiden perusteella]]</f>
        <v>0</v>
      </c>
      <c r="AA18" s="210">
        <f>Opv.kohd.[[#This Row],[Toteutuneet opiskelijavuodet yhteensä 2]]-Opv.kohd.[[#This Row],[Vuoden 2018 tavoitteelliset opiskelijavuodet yhteensä 1]]</f>
        <v>0</v>
      </c>
      <c r="AB18" s="207">
        <f>IFERROR(VLOOKUP(Opv.kohd.[[#This Row],[Y-tunnus]],#REF!,3,FALSE),0)</f>
        <v>0</v>
      </c>
      <c r="AC18" s="207">
        <f>IFERROR(VLOOKUP(Opv.kohd.[[#This Row],[Y-tunnus]],#REF!,4,FALSE),0)</f>
        <v>0</v>
      </c>
      <c r="AD18" s="207">
        <f>IFERROR(VLOOKUP(Opv.kohd.[[#This Row],[Y-tunnus]],#REF!,5,FALSE),0)</f>
        <v>0</v>
      </c>
      <c r="AE18" s="207">
        <f>IFERROR(VLOOKUP(Opv.kohd.[[#This Row],[Y-tunnus]],#REF!,6,FALSE),0)</f>
        <v>0</v>
      </c>
      <c r="AF18" s="207">
        <f>IFERROR(VLOOKUP(Opv.kohd.[[#This Row],[Y-tunnus]],#REF!,7,FALSE),0)</f>
        <v>0</v>
      </c>
      <c r="AG18" s="207">
        <f>IFERROR(VLOOKUP(Opv.kohd.[[#This Row],[Y-tunnus]],#REF!,8,FALSE),0)</f>
        <v>0</v>
      </c>
      <c r="AH18" s="207">
        <f>IFERROR(VLOOKUP(Opv.kohd.[[#This Row],[Y-tunnus]],#REF!,9,FALSE),0)</f>
        <v>0</v>
      </c>
      <c r="AI18" s="207">
        <f>IFERROR(VLOOKUP(Opv.kohd.[[#This Row],[Y-tunnus]],#REF!,10,FALSE),0)</f>
        <v>0</v>
      </c>
      <c r="AJ18" s="204">
        <f>Opv.kohd.[[#This Row],[Järjestämisluvan mukaiset 4]]-Opv.kohd.[[#This Row],[Järjestämisluvan mukaiset 1]]</f>
        <v>0</v>
      </c>
      <c r="AK18" s="204">
        <f>Opv.kohd.[[#This Row],[Kohdentamat-tomat 4]]-Opv.kohd.[[#This Row],[Kohdentamat-tomat 1]]</f>
        <v>0</v>
      </c>
      <c r="AL18" s="204">
        <f>Opv.kohd.[[#This Row],[Työvoima-koulutus 4]]-Opv.kohd.[[#This Row],[Työvoima-koulutus 1]]</f>
        <v>0</v>
      </c>
      <c r="AM18" s="204">
        <f>Opv.kohd.[[#This Row],[Maahan-muuttajien koulutus 4]]-Opv.kohd.[[#This Row],[Maahan-muuttajien koulutus 1]]</f>
        <v>0</v>
      </c>
      <c r="AN18" s="204">
        <f>Opv.kohd.[[#This Row],[Nuorisotyöt. väh. ja osaamistarp. vast., muu kuin työvoima-koulutus 4]]-Opv.kohd.[[#This Row],[Nuorisotyöt. väh. ja osaamistarp. vast., muu kuin työvoima-koulutus 1]]</f>
        <v>0</v>
      </c>
      <c r="AO18" s="204">
        <f>Opv.kohd.[[#This Row],[Nuorisotyöt. väh. ja osaamistarp. vast., työvoima-koulutus 4]]-Opv.kohd.[[#This Row],[Nuorisotyöt. väh. ja osaamistarp. vast., työvoima-koulutus 1]]</f>
        <v>0</v>
      </c>
      <c r="AP18" s="204">
        <f>Opv.kohd.[[#This Row],[Yhteensä 4]]-Opv.kohd.[[#This Row],[Yhteensä  1]]</f>
        <v>0</v>
      </c>
      <c r="AQ18" s="204">
        <f>Opv.kohd.[[#This Row],[Ensikertaisella suoritepäätöksellä jaetut tavoitteelliset opiskelijavuodet yhteensä 4]]-Opv.kohd.[[#This Row],[Ensikertaisella suoritepäätöksellä jaetut tavoitteelliset opiskelijavuodet yhteensä 1]]</f>
        <v>0</v>
      </c>
      <c r="AR18" s="208">
        <f>IFERROR(Opv.kohd.[[#This Row],[Järjestämisluvan mukaiset 5]]/Opv.kohd.[[#This Row],[Järjestämisluvan mukaiset 4]],0)</f>
        <v>0</v>
      </c>
      <c r="AS18" s="208">
        <f>IFERROR(Opv.kohd.[[#This Row],[Kohdentamat-tomat 5]]/Opv.kohd.[[#This Row],[Kohdentamat-tomat 4]],0)</f>
        <v>0</v>
      </c>
      <c r="AT18" s="208">
        <f>IFERROR(Opv.kohd.[[#This Row],[Työvoima-koulutus 5]]/Opv.kohd.[[#This Row],[Työvoima-koulutus 4]],0)</f>
        <v>0</v>
      </c>
      <c r="AU18" s="208">
        <f>IFERROR(Opv.kohd.[[#This Row],[Maahan-muuttajien koulutus 5]]/Opv.kohd.[[#This Row],[Maahan-muuttajien koulutus 4]],0)</f>
        <v>0</v>
      </c>
      <c r="AV18" s="208">
        <f>IFERROR(Opv.kohd.[[#This Row],[Nuorisotyöt. väh. ja osaamistarp. vast., muu kuin työvoima-koulutus 5]]/Opv.kohd.[[#This Row],[Nuorisotyöt. väh. ja osaamistarp. vast., muu kuin työvoima-koulutus 4]],0)</f>
        <v>0</v>
      </c>
      <c r="AW18" s="208">
        <f>IFERROR(Opv.kohd.[[#This Row],[Nuorisotyöt. väh. ja osaamistarp. vast., työvoima-koulutus 5]]/Opv.kohd.[[#This Row],[Nuorisotyöt. väh. ja osaamistarp. vast., työvoima-koulutus 4]],0)</f>
        <v>0</v>
      </c>
      <c r="AX18" s="208">
        <f>IFERROR(Opv.kohd.[[#This Row],[Yhteensä 5]]/Opv.kohd.[[#This Row],[Yhteensä 4]],0)</f>
        <v>0</v>
      </c>
      <c r="AY18" s="208">
        <f>IFERROR(Opv.kohd.[[#This Row],[Ensikertaisella suoritepäätöksellä jaetut tavoitteelliset opiskelijavuodet yhteensä 5]]/Opv.kohd.[[#This Row],[Ensikertaisella suoritepäätöksellä jaetut tavoitteelliset opiskelijavuodet yhteensä 4]],0)</f>
        <v>0</v>
      </c>
      <c r="AZ18" s="207">
        <f>Opv.kohd.[[#This Row],[Yhteensä 7a]]-Opv.kohd.[[#This Row],[Työvoima-koulutus 7a]]</f>
        <v>0</v>
      </c>
      <c r="BA18" s="207">
        <f>IFERROR(VLOOKUP(Opv.kohd.[[#This Row],[Y-tunnus]],#REF!,COLUMN(#REF!),FALSE),0)</f>
        <v>0</v>
      </c>
      <c r="BB18" s="207">
        <f>IFERROR(VLOOKUP(Opv.kohd.[[#This Row],[Y-tunnus]],#REF!,COLUMN(#REF!),FALSE),0)</f>
        <v>0</v>
      </c>
      <c r="BC18" s="207">
        <f>Opv.kohd.[[#This Row],[Muu kuin työvoima-koulutus 7c]]-Opv.kohd.[[#This Row],[Muu kuin työvoima-koulutus 7a]]</f>
        <v>0</v>
      </c>
      <c r="BD18" s="207">
        <f>Opv.kohd.[[#This Row],[Työvoima-koulutus 7c]]-Opv.kohd.[[#This Row],[Työvoima-koulutus 7a]]</f>
        <v>0</v>
      </c>
      <c r="BE18" s="207">
        <f>Opv.kohd.[[#This Row],[Yhteensä 7c]]-Opv.kohd.[[#This Row],[Yhteensä 7a]]</f>
        <v>0</v>
      </c>
      <c r="BF18" s="207">
        <f>Opv.kohd.[[#This Row],[Yhteensä 7c]]-Opv.kohd.[[#This Row],[Työvoima-koulutus 7c]]</f>
        <v>0</v>
      </c>
      <c r="BG18" s="207">
        <f>IFERROR(VLOOKUP(Opv.kohd.[[#This Row],[Y-tunnus]],#REF!,COLUMN(#REF!),FALSE),0)</f>
        <v>0</v>
      </c>
      <c r="BH18" s="207">
        <f>IFERROR(VLOOKUP(Opv.kohd.[[#This Row],[Y-tunnus]],#REF!,COLUMN(#REF!),FALSE),0)</f>
        <v>0</v>
      </c>
      <c r="BI18" s="207">
        <f>IFERROR(VLOOKUP(Opv.kohd.[[#This Row],[Y-tunnus]],#REF!,COLUMN(#REF!),FALSE),0)</f>
        <v>0</v>
      </c>
      <c r="BJ18" s="207">
        <f>IFERROR(VLOOKUP(Opv.kohd.[[#This Row],[Y-tunnus]],#REF!,COLUMN(#REF!),FALSE),0)</f>
        <v>0</v>
      </c>
      <c r="BK18" s="207">
        <f>Opv.kohd.[[#This Row],[Muu kuin työvoima-koulutus 7d]]+Opv.kohd.[[#This Row],[Työvoima-koulutus 7d]]</f>
        <v>0</v>
      </c>
      <c r="BL18" s="207">
        <f>Opv.kohd.[[#This Row],[Muu kuin työvoima-koulutus 7c]]-Opv.kohd.[[#This Row],[Muu kuin työvoima-koulutus 7d]]</f>
        <v>0</v>
      </c>
      <c r="BM18" s="207">
        <f>Opv.kohd.[[#This Row],[Työvoima-koulutus 7c]]-Opv.kohd.[[#This Row],[Työvoima-koulutus 7d]]</f>
        <v>0</v>
      </c>
      <c r="BN18" s="207">
        <f>Opv.kohd.[[#This Row],[Yhteensä 7c]]-Opv.kohd.[[#This Row],[Yhteensä 7d]]</f>
        <v>0</v>
      </c>
      <c r="BO18" s="207">
        <f>Opv.kohd.[[#This Row],[Muu kuin työvoima-koulutus 7e]]-(Opv.kohd.[[#This Row],[Järjestämisluvan mukaiset 4]]+Opv.kohd.[[#This Row],[Kohdentamat-tomat 4]]+Opv.kohd.[[#This Row],[Maahan-muuttajien koulutus 4]]+Opv.kohd.[[#This Row],[Nuorisotyöt. väh. ja osaamistarp. vast., muu kuin työvoima-koulutus 4]])</f>
        <v>0</v>
      </c>
      <c r="BP18" s="207">
        <f>Opv.kohd.[[#This Row],[Työvoima-koulutus 7e]]-(Opv.kohd.[[#This Row],[Työvoima-koulutus 4]]+Opv.kohd.[[#This Row],[Nuorisotyöt. väh. ja osaamistarp. vast., työvoima-koulutus 4]])</f>
        <v>0</v>
      </c>
      <c r="BQ18" s="207">
        <f>Opv.kohd.[[#This Row],[Yhteensä 7e]]-Opv.kohd.[[#This Row],[Ensikertaisella suoritepäätöksellä jaetut tavoitteelliset opiskelijavuodet yhteensä 4]]</f>
        <v>0</v>
      </c>
      <c r="BR18" s="263">
        <v>2900</v>
      </c>
      <c r="BS18" s="263">
        <v>410</v>
      </c>
      <c r="BT18" s="263">
        <v>216</v>
      </c>
      <c r="BU18" s="263">
        <v>21</v>
      </c>
      <c r="BV18" s="263">
        <v>0</v>
      </c>
      <c r="BW18" s="263">
        <v>0</v>
      </c>
      <c r="BX18" s="263">
        <v>647</v>
      </c>
      <c r="BY18" s="263">
        <v>3547</v>
      </c>
      <c r="BZ18" s="207">
        <f t="shared" si="2"/>
        <v>2900</v>
      </c>
      <c r="CA18" s="207">
        <f t="shared" si="3"/>
        <v>410</v>
      </c>
      <c r="CB18" s="207">
        <f t="shared" si="4"/>
        <v>216</v>
      </c>
      <c r="CC18" s="207">
        <f t="shared" si="5"/>
        <v>21</v>
      </c>
      <c r="CD18" s="207">
        <f t="shared" si="6"/>
        <v>0</v>
      </c>
      <c r="CE18" s="207">
        <f t="shared" si="7"/>
        <v>0</v>
      </c>
      <c r="CF18" s="207">
        <f t="shared" si="8"/>
        <v>647</v>
      </c>
      <c r="CG18" s="207">
        <f t="shared" si="9"/>
        <v>3547</v>
      </c>
      <c r="CH18" s="207">
        <f>Opv.kohd.[[#This Row],[Tavoitteelliset opiskelijavuodet yhteensä 9]]-Opv.kohd.[[#This Row],[Työvoima-koulutus 9]]-Opv.kohd.[[#This Row],[Nuorisotyöt. väh. ja osaamistarp. vast., työvoima-koulutus 9]]-Opv.kohd.[[#This Row],[Muu kuin työvoima-koulutus 7e]]</f>
        <v>3331</v>
      </c>
      <c r="CI18" s="207">
        <f>(Opv.kohd.[[#This Row],[Työvoima-koulutus 9]]+Opv.kohd.[[#This Row],[Nuorisotyöt. väh. ja osaamistarp. vast., työvoima-koulutus 9]])-Opv.kohd.[[#This Row],[Työvoima-koulutus 7e]]</f>
        <v>216</v>
      </c>
      <c r="CJ18" s="207">
        <f>Opv.kohd.[[#This Row],[Tavoitteelliset opiskelijavuodet yhteensä 9]]-Opv.kohd.[[#This Row],[Yhteensä 7e]]</f>
        <v>3547</v>
      </c>
      <c r="CK18" s="207">
        <f>Opv.kohd.[[#This Row],[Järjestämisluvan mukaiset 4]]+Opv.kohd.[[#This Row],[Järjestämisluvan mukaiset 13]]</f>
        <v>0</v>
      </c>
      <c r="CL18" s="207">
        <f>Opv.kohd.[[#This Row],[Kohdentamat-tomat 4]]+Opv.kohd.[[#This Row],[Kohdentamat-tomat 13]]</f>
        <v>0</v>
      </c>
      <c r="CM18" s="207">
        <f>Opv.kohd.[[#This Row],[Työvoima-koulutus 4]]+Opv.kohd.[[#This Row],[Työvoima-koulutus 13]]</f>
        <v>0</v>
      </c>
      <c r="CN18" s="207">
        <f>Opv.kohd.[[#This Row],[Maahan-muuttajien koulutus 4]]+Opv.kohd.[[#This Row],[Maahan-muuttajien koulutus 13]]</f>
        <v>0</v>
      </c>
      <c r="CO18" s="207">
        <f>Opv.kohd.[[#This Row],[Nuorisotyöt. väh. ja osaamistarp. vast., muu kuin työvoima-koulutus 4]]+Opv.kohd.[[#This Row],[Nuorisotyöt. väh. ja osaamistarp. vast., muu kuin työvoima-koulutus 13]]</f>
        <v>0</v>
      </c>
      <c r="CP18" s="207">
        <f>Opv.kohd.[[#This Row],[Nuorisotyöt. väh. ja osaamistarp. vast., työvoima-koulutus 4]]+Opv.kohd.[[#This Row],[Nuorisotyöt. väh. ja osaamistarp. vast., työvoima-koulutus 13]]</f>
        <v>0</v>
      </c>
      <c r="CQ18" s="207">
        <f>Opv.kohd.[[#This Row],[Yhteensä 4]]+Opv.kohd.[[#This Row],[Yhteensä 13]]</f>
        <v>0</v>
      </c>
      <c r="CR18" s="207">
        <f>Opv.kohd.[[#This Row],[Ensikertaisella suoritepäätöksellä jaetut tavoitteelliset opiskelijavuodet yhteensä 4]]+Opv.kohd.[[#This Row],[Tavoitteelliset opiskelijavuodet yhteensä 13]]</f>
        <v>0</v>
      </c>
      <c r="CS18" s="120">
        <v>0</v>
      </c>
      <c r="CT18" s="120">
        <v>0</v>
      </c>
      <c r="CU18" s="120">
        <v>0</v>
      </c>
      <c r="CV18" s="120">
        <v>0</v>
      </c>
      <c r="CW18" s="120">
        <v>0</v>
      </c>
      <c r="CX18" s="120">
        <v>0</v>
      </c>
      <c r="CY18" s="120">
        <v>0</v>
      </c>
      <c r="CZ18" s="120">
        <v>0</v>
      </c>
      <c r="DA18" s="209">
        <f>IFERROR(Opv.kohd.[[#This Row],[Järjestämisluvan mukaiset 13]]/Opv.kohd.[[#This Row],[Järjestämisluvan mukaiset 12]],0)</f>
        <v>0</v>
      </c>
      <c r="DB18" s="209">
        <f>IFERROR(Opv.kohd.[[#This Row],[Kohdentamat-tomat 13]]/Opv.kohd.[[#This Row],[Kohdentamat-tomat 12]],0)</f>
        <v>0</v>
      </c>
      <c r="DC18" s="209">
        <f>IFERROR(Opv.kohd.[[#This Row],[Työvoima-koulutus 13]]/Opv.kohd.[[#This Row],[Työvoima-koulutus 12]],0)</f>
        <v>0</v>
      </c>
      <c r="DD18" s="209">
        <f>IFERROR(Opv.kohd.[[#This Row],[Maahan-muuttajien koulutus 13]]/Opv.kohd.[[#This Row],[Maahan-muuttajien koulutus 12]],0)</f>
        <v>0</v>
      </c>
      <c r="DE18" s="209">
        <f>IFERROR(Opv.kohd.[[#This Row],[Nuorisotyöt. väh. ja osaamistarp. vast., muu kuin työvoima-koulutus 13]]/Opv.kohd.[[#This Row],[Nuorisotyöt. väh. ja osaamistarp. vast., muu kuin työvoima-koulutus 12]],0)</f>
        <v>0</v>
      </c>
      <c r="DF18" s="209">
        <f>IFERROR(Opv.kohd.[[#This Row],[Nuorisotyöt. väh. ja osaamistarp. vast., työvoima-koulutus 13]]/Opv.kohd.[[#This Row],[Nuorisotyöt. väh. ja osaamistarp. vast., työvoima-koulutus 12]],0)</f>
        <v>0</v>
      </c>
      <c r="DG18" s="209">
        <f>IFERROR(Opv.kohd.[[#This Row],[Yhteensä 13]]/Opv.kohd.[[#This Row],[Yhteensä 12]],0)</f>
        <v>0</v>
      </c>
      <c r="DH18" s="209">
        <f>IFERROR(Opv.kohd.[[#This Row],[Tavoitteelliset opiskelijavuodet yhteensä 13]]/Opv.kohd.[[#This Row],[Tavoitteelliset opiskelijavuodet yhteensä 12]],0)</f>
        <v>0</v>
      </c>
      <c r="DI18" s="207">
        <f>Opv.kohd.[[#This Row],[Järjestämisluvan mukaiset 12]]-Opv.kohd.[[#This Row],[Järjestämisluvan mukaiset 9]]</f>
        <v>-2900</v>
      </c>
      <c r="DJ18" s="207">
        <f>Opv.kohd.[[#This Row],[Kohdentamat-tomat 12]]-Opv.kohd.[[#This Row],[Kohdentamat-tomat 9]]</f>
        <v>-410</v>
      </c>
      <c r="DK18" s="207">
        <f>Opv.kohd.[[#This Row],[Työvoima-koulutus 12]]-Opv.kohd.[[#This Row],[Työvoima-koulutus 9]]</f>
        <v>-216</v>
      </c>
      <c r="DL18" s="207">
        <f>Opv.kohd.[[#This Row],[Maahan-muuttajien koulutus 12]]-Opv.kohd.[[#This Row],[Maahan-muuttajien koulutus 9]]</f>
        <v>-21</v>
      </c>
      <c r="DM18" s="207">
        <f>Opv.kohd.[[#This Row],[Nuorisotyöt. väh. ja osaamistarp. vast., muu kuin työvoima-koulutus 12]]-Opv.kohd.[[#This Row],[Nuorisotyöt. väh. ja osaamistarp. vast., muu kuin työvoima-koulutus 9]]</f>
        <v>0</v>
      </c>
      <c r="DN18" s="207">
        <f>Opv.kohd.[[#This Row],[Nuorisotyöt. väh. ja osaamistarp. vast., työvoima-koulutus 12]]-Opv.kohd.[[#This Row],[Nuorisotyöt. väh. ja osaamistarp. vast., työvoima-koulutus 9]]</f>
        <v>0</v>
      </c>
      <c r="DO18" s="207">
        <f>Opv.kohd.[[#This Row],[Yhteensä 12]]-Opv.kohd.[[#This Row],[Yhteensä 9]]</f>
        <v>-647</v>
      </c>
      <c r="DP18" s="207">
        <f>Opv.kohd.[[#This Row],[Tavoitteelliset opiskelijavuodet yhteensä 12]]-Opv.kohd.[[#This Row],[Tavoitteelliset opiskelijavuodet yhteensä 9]]</f>
        <v>-3547</v>
      </c>
      <c r="DQ18" s="209">
        <f>IFERROR(Opv.kohd.[[#This Row],[Järjestämisluvan mukaiset 15]]/Opv.kohd.[[#This Row],[Järjestämisluvan mukaiset 9]],0)</f>
        <v>-1</v>
      </c>
      <c r="DR18" s="209">
        <f t="shared" si="10"/>
        <v>0</v>
      </c>
      <c r="DS18" s="209">
        <f t="shared" si="11"/>
        <v>0</v>
      </c>
      <c r="DT18" s="209">
        <f t="shared" si="12"/>
        <v>0</v>
      </c>
      <c r="DU18" s="209">
        <f t="shared" si="13"/>
        <v>0</v>
      </c>
      <c r="DV18" s="209">
        <f t="shared" si="14"/>
        <v>0</v>
      </c>
      <c r="DW18" s="209">
        <f t="shared" si="15"/>
        <v>0</v>
      </c>
      <c r="DX18" s="209">
        <f t="shared" si="16"/>
        <v>0</v>
      </c>
    </row>
    <row r="19" spans="1:128" x14ac:dyDescent="0.25">
      <c r="A19" s="204" t="e">
        <f>IF(INDEX(#REF!,ROW(19:19)-1,1)=0,"",INDEX(#REF!,ROW(19:19)-1,1))</f>
        <v>#REF!</v>
      </c>
      <c r="B19" s="205" t="str">
        <f>IFERROR(VLOOKUP(Opv.kohd.[[#This Row],[Y-tunnus]],'0 Järjestäjätiedot'!$A:$H,2,FALSE),"")</f>
        <v/>
      </c>
      <c r="C19" s="204" t="str">
        <f>IFERROR(VLOOKUP(Opv.kohd.[[#This Row],[Y-tunnus]],'0 Järjestäjätiedot'!$A:$H,COLUMN('0 Järjestäjätiedot'!D:D),FALSE),"")</f>
        <v/>
      </c>
      <c r="D19" s="204" t="str">
        <f>IFERROR(VLOOKUP(Opv.kohd.[[#This Row],[Y-tunnus]],'0 Järjestäjätiedot'!$A:$H,COLUMN('0 Järjestäjätiedot'!H:H),FALSE),"")</f>
        <v/>
      </c>
      <c r="E19" s="204">
        <f>IFERROR(VLOOKUP(Opv.kohd.[[#This Row],[Y-tunnus]],#REF!,COLUMN(#REF!),FALSE),0)</f>
        <v>0</v>
      </c>
      <c r="F19" s="204">
        <f>IFERROR(VLOOKUP(Opv.kohd.[[#This Row],[Y-tunnus]],#REF!,COLUMN(#REF!),FALSE),0)</f>
        <v>0</v>
      </c>
      <c r="G19" s="204">
        <f>IFERROR(VLOOKUP(Opv.kohd.[[#This Row],[Y-tunnus]],#REF!,COLUMN(#REF!),FALSE),0)</f>
        <v>0</v>
      </c>
      <c r="H19" s="204">
        <f>IFERROR(VLOOKUP(Opv.kohd.[[#This Row],[Y-tunnus]],#REF!,COLUMN(#REF!),FALSE),0)</f>
        <v>0</v>
      </c>
      <c r="I19" s="204">
        <f>IFERROR(VLOOKUP(Opv.kohd.[[#This Row],[Y-tunnus]],#REF!,COLUMN(#REF!),FALSE),0)</f>
        <v>0</v>
      </c>
      <c r="J19" s="204">
        <f>IFERROR(VLOOKUP(Opv.kohd.[[#This Row],[Y-tunnus]],#REF!,COLUMN(#REF!),FALSE),0)</f>
        <v>0</v>
      </c>
      <c r="K1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9" s="204">
        <f>Opv.kohd.[[#This Row],[Järjestämisluvan mukaiset 1]]+Opv.kohd.[[#This Row],[Yhteensä  1]]</f>
        <v>0</v>
      </c>
      <c r="M19" s="204">
        <f>IFERROR(VLOOKUP(Opv.kohd.[[#This Row],[Y-tunnus]],#REF!,COLUMN(#REF!),FALSE),0)</f>
        <v>0</v>
      </c>
      <c r="N19" s="204">
        <f>IFERROR(VLOOKUP(Opv.kohd.[[#This Row],[Y-tunnus]],#REF!,COLUMN(#REF!),FALSE),0)</f>
        <v>0</v>
      </c>
      <c r="O19" s="204">
        <f>IFERROR(VLOOKUP(Opv.kohd.[[#This Row],[Y-tunnus]],#REF!,COLUMN(#REF!),FALSE)+VLOOKUP(Opv.kohd.[[#This Row],[Y-tunnus]],#REF!,COLUMN(#REF!),FALSE),0)</f>
        <v>0</v>
      </c>
      <c r="P19" s="204">
        <f>Opv.kohd.[[#This Row],[Talousarvion perusteella kohdentamattomat]]+Opv.kohd.[[#This Row],[Talousarvion perusteella työvoimakoulutus 1]]+Opv.kohd.[[#This Row],[Lisätalousarvioiden perusteella]]</f>
        <v>0</v>
      </c>
      <c r="Q19" s="204">
        <f>IFERROR(VLOOKUP(Opv.kohd.[[#This Row],[Y-tunnus]],#REF!,COLUMN(#REF!),FALSE),0)</f>
        <v>0</v>
      </c>
      <c r="R19" s="210">
        <f>IFERROR(VLOOKUP(Opv.kohd.[[#This Row],[Y-tunnus]],#REF!,COLUMN(#REF!),FALSE)-(Opv.kohd.[[#This Row],[Kohdentamaton työvoima-koulutus 2]]+Opv.kohd.[[#This Row],[Maahan-muuttajien koulutus 2]]+Opv.kohd.[[#This Row],[Lisätalousarvioiden perusteella jaetut 2]]),0)</f>
        <v>0</v>
      </c>
      <c r="S19" s="210">
        <f>IFERROR(VLOOKUP(Opv.kohd.[[#This Row],[Y-tunnus]],#REF!,COLUMN(#REF!),FALSE)+VLOOKUP(Opv.kohd.[[#This Row],[Y-tunnus]],#REF!,COLUMN(#REF!),FALSE),0)</f>
        <v>0</v>
      </c>
      <c r="T19" s="210">
        <f>IFERROR(VLOOKUP(Opv.kohd.[[#This Row],[Y-tunnus]],#REF!,COLUMN(#REF!),FALSE)+VLOOKUP(Opv.kohd.[[#This Row],[Y-tunnus]],#REF!,COLUMN(#REF!),FALSE),0)</f>
        <v>0</v>
      </c>
      <c r="U1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9" s="210">
        <f>Opv.kohd.[[#This Row],[Kohdentamat-tomat 2]]+Opv.kohd.[[#This Row],[Kohdentamaton työvoima-koulutus 2]]+Opv.kohd.[[#This Row],[Maahan-muuttajien koulutus 2]]+Opv.kohd.[[#This Row],[Lisätalousarvioiden perusteella jaetut 2]]</f>
        <v>0</v>
      </c>
      <c r="W19" s="210">
        <f>Opv.kohd.[[#This Row],[Kohdentamat-tomat 2]]-(Opv.kohd.[[#This Row],[Järjestämisluvan mukaiset 1]]+Opv.kohd.[[#This Row],[Kohdentamat-tomat 1]]+Opv.kohd.[[#This Row],[Nuorisotyöt. väh. ja osaamistarp. vast., muu kuin työvoima-koulutus 1]]+Opv.kohd.[[#This Row],[Talousarvion perusteella kohdentamattomat]])</f>
        <v>0</v>
      </c>
      <c r="X19" s="210">
        <f>Opv.kohd.[[#This Row],[Kohdentamaton työvoima-koulutus 2]]-(Opv.kohd.[[#This Row],[Työvoima-koulutus 1]]+Opv.kohd.[[#This Row],[Nuorisotyöt. väh. ja osaamistarp. vast., työvoima-koulutus 1]]+Opv.kohd.[[#This Row],[Talousarvion perusteella työvoimakoulutus 1]])</f>
        <v>0</v>
      </c>
      <c r="Y19" s="210">
        <f>Opv.kohd.[[#This Row],[Maahan-muuttajien koulutus 2]]-Opv.kohd.[[#This Row],[Maahan-muuttajien koulutus 1]]</f>
        <v>0</v>
      </c>
      <c r="Z19" s="210">
        <f>Opv.kohd.[[#This Row],[Lisätalousarvioiden perusteella jaetut 2]]-Opv.kohd.[[#This Row],[Lisätalousarvioiden perusteella]]</f>
        <v>0</v>
      </c>
      <c r="AA19" s="210">
        <f>Opv.kohd.[[#This Row],[Toteutuneet opiskelijavuodet yhteensä 2]]-Opv.kohd.[[#This Row],[Vuoden 2018 tavoitteelliset opiskelijavuodet yhteensä 1]]</f>
        <v>0</v>
      </c>
      <c r="AB19" s="207">
        <f>IFERROR(VLOOKUP(Opv.kohd.[[#This Row],[Y-tunnus]],#REF!,3,FALSE),0)</f>
        <v>0</v>
      </c>
      <c r="AC19" s="207">
        <f>IFERROR(VLOOKUP(Opv.kohd.[[#This Row],[Y-tunnus]],#REF!,4,FALSE),0)</f>
        <v>0</v>
      </c>
      <c r="AD19" s="207">
        <f>IFERROR(VLOOKUP(Opv.kohd.[[#This Row],[Y-tunnus]],#REF!,5,FALSE),0)</f>
        <v>0</v>
      </c>
      <c r="AE19" s="207">
        <f>IFERROR(VLOOKUP(Opv.kohd.[[#This Row],[Y-tunnus]],#REF!,6,FALSE),0)</f>
        <v>0</v>
      </c>
      <c r="AF19" s="207">
        <f>IFERROR(VLOOKUP(Opv.kohd.[[#This Row],[Y-tunnus]],#REF!,7,FALSE),0)</f>
        <v>0</v>
      </c>
      <c r="AG19" s="207">
        <f>IFERROR(VLOOKUP(Opv.kohd.[[#This Row],[Y-tunnus]],#REF!,8,FALSE),0)</f>
        <v>0</v>
      </c>
      <c r="AH19" s="207">
        <f>IFERROR(VLOOKUP(Opv.kohd.[[#This Row],[Y-tunnus]],#REF!,9,FALSE),0)</f>
        <v>0</v>
      </c>
      <c r="AI19" s="207">
        <f>IFERROR(VLOOKUP(Opv.kohd.[[#This Row],[Y-tunnus]],#REF!,10,FALSE),0)</f>
        <v>0</v>
      </c>
      <c r="AJ19" s="204">
        <f>Opv.kohd.[[#This Row],[Järjestämisluvan mukaiset 4]]-Opv.kohd.[[#This Row],[Järjestämisluvan mukaiset 1]]</f>
        <v>0</v>
      </c>
      <c r="AK19" s="204">
        <f>Opv.kohd.[[#This Row],[Kohdentamat-tomat 4]]-Opv.kohd.[[#This Row],[Kohdentamat-tomat 1]]</f>
        <v>0</v>
      </c>
      <c r="AL19" s="204">
        <f>Opv.kohd.[[#This Row],[Työvoima-koulutus 4]]-Opv.kohd.[[#This Row],[Työvoima-koulutus 1]]</f>
        <v>0</v>
      </c>
      <c r="AM19" s="204">
        <f>Opv.kohd.[[#This Row],[Maahan-muuttajien koulutus 4]]-Opv.kohd.[[#This Row],[Maahan-muuttajien koulutus 1]]</f>
        <v>0</v>
      </c>
      <c r="AN19" s="204">
        <f>Opv.kohd.[[#This Row],[Nuorisotyöt. väh. ja osaamistarp. vast., muu kuin työvoima-koulutus 4]]-Opv.kohd.[[#This Row],[Nuorisotyöt. väh. ja osaamistarp. vast., muu kuin työvoima-koulutus 1]]</f>
        <v>0</v>
      </c>
      <c r="AO19" s="204">
        <f>Opv.kohd.[[#This Row],[Nuorisotyöt. väh. ja osaamistarp. vast., työvoima-koulutus 4]]-Opv.kohd.[[#This Row],[Nuorisotyöt. väh. ja osaamistarp. vast., työvoima-koulutus 1]]</f>
        <v>0</v>
      </c>
      <c r="AP19" s="204">
        <f>Opv.kohd.[[#This Row],[Yhteensä 4]]-Opv.kohd.[[#This Row],[Yhteensä  1]]</f>
        <v>0</v>
      </c>
      <c r="AQ19" s="204">
        <f>Opv.kohd.[[#This Row],[Ensikertaisella suoritepäätöksellä jaetut tavoitteelliset opiskelijavuodet yhteensä 4]]-Opv.kohd.[[#This Row],[Ensikertaisella suoritepäätöksellä jaetut tavoitteelliset opiskelijavuodet yhteensä 1]]</f>
        <v>0</v>
      </c>
      <c r="AR19" s="208">
        <f>IFERROR(Opv.kohd.[[#This Row],[Järjestämisluvan mukaiset 5]]/Opv.kohd.[[#This Row],[Järjestämisluvan mukaiset 4]],0)</f>
        <v>0</v>
      </c>
      <c r="AS19" s="208">
        <f>IFERROR(Opv.kohd.[[#This Row],[Kohdentamat-tomat 5]]/Opv.kohd.[[#This Row],[Kohdentamat-tomat 4]],0)</f>
        <v>0</v>
      </c>
      <c r="AT19" s="208">
        <f>IFERROR(Opv.kohd.[[#This Row],[Työvoima-koulutus 5]]/Opv.kohd.[[#This Row],[Työvoima-koulutus 4]],0)</f>
        <v>0</v>
      </c>
      <c r="AU19" s="208">
        <f>IFERROR(Opv.kohd.[[#This Row],[Maahan-muuttajien koulutus 5]]/Opv.kohd.[[#This Row],[Maahan-muuttajien koulutus 4]],0)</f>
        <v>0</v>
      </c>
      <c r="AV19" s="208">
        <f>IFERROR(Opv.kohd.[[#This Row],[Nuorisotyöt. väh. ja osaamistarp. vast., muu kuin työvoima-koulutus 5]]/Opv.kohd.[[#This Row],[Nuorisotyöt. väh. ja osaamistarp. vast., muu kuin työvoima-koulutus 4]],0)</f>
        <v>0</v>
      </c>
      <c r="AW19" s="208">
        <f>IFERROR(Opv.kohd.[[#This Row],[Nuorisotyöt. väh. ja osaamistarp. vast., työvoima-koulutus 5]]/Opv.kohd.[[#This Row],[Nuorisotyöt. väh. ja osaamistarp. vast., työvoima-koulutus 4]],0)</f>
        <v>0</v>
      </c>
      <c r="AX19" s="208">
        <f>IFERROR(Opv.kohd.[[#This Row],[Yhteensä 5]]/Opv.kohd.[[#This Row],[Yhteensä 4]],0)</f>
        <v>0</v>
      </c>
      <c r="AY19" s="208">
        <f>IFERROR(Opv.kohd.[[#This Row],[Ensikertaisella suoritepäätöksellä jaetut tavoitteelliset opiskelijavuodet yhteensä 5]]/Opv.kohd.[[#This Row],[Ensikertaisella suoritepäätöksellä jaetut tavoitteelliset opiskelijavuodet yhteensä 4]],0)</f>
        <v>0</v>
      </c>
      <c r="AZ19" s="207">
        <f>Opv.kohd.[[#This Row],[Yhteensä 7a]]-Opv.kohd.[[#This Row],[Työvoima-koulutus 7a]]</f>
        <v>0</v>
      </c>
      <c r="BA19" s="207">
        <f>IFERROR(VLOOKUP(Opv.kohd.[[#This Row],[Y-tunnus]],#REF!,COLUMN(#REF!),FALSE),0)</f>
        <v>0</v>
      </c>
      <c r="BB19" s="207">
        <f>IFERROR(VLOOKUP(Opv.kohd.[[#This Row],[Y-tunnus]],#REF!,COLUMN(#REF!),FALSE),0)</f>
        <v>0</v>
      </c>
      <c r="BC19" s="207">
        <f>Opv.kohd.[[#This Row],[Muu kuin työvoima-koulutus 7c]]-Opv.kohd.[[#This Row],[Muu kuin työvoima-koulutus 7a]]</f>
        <v>0</v>
      </c>
      <c r="BD19" s="207">
        <f>Opv.kohd.[[#This Row],[Työvoima-koulutus 7c]]-Opv.kohd.[[#This Row],[Työvoima-koulutus 7a]]</f>
        <v>0</v>
      </c>
      <c r="BE19" s="207">
        <f>Opv.kohd.[[#This Row],[Yhteensä 7c]]-Opv.kohd.[[#This Row],[Yhteensä 7a]]</f>
        <v>0</v>
      </c>
      <c r="BF19" s="207">
        <f>Opv.kohd.[[#This Row],[Yhteensä 7c]]-Opv.kohd.[[#This Row],[Työvoima-koulutus 7c]]</f>
        <v>0</v>
      </c>
      <c r="BG19" s="207">
        <f>IFERROR(VLOOKUP(Opv.kohd.[[#This Row],[Y-tunnus]],#REF!,COLUMN(#REF!),FALSE),0)</f>
        <v>0</v>
      </c>
      <c r="BH19" s="207">
        <f>IFERROR(VLOOKUP(Opv.kohd.[[#This Row],[Y-tunnus]],#REF!,COLUMN(#REF!),FALSE),0)</f>
        <v>0</v>
      </c>
      <c r="BI19" s="207">
        <f>IFERROR(VLOOKUP(Opv.kohd.[[#This Row],[Y-tunnus]],#REF!,COLUMN(#REF!),FALSE),0)</f>
        <v>0</v>
      </c>
      <c r="BJ19" s="207">
        <f>IFERROR(VLOOKUP(Opv.kohd.[[#This Row],[Y-tunnus]],#REF!,COLUMN(#REF!),FALSE),0)</f>
        <v>0</v>
      </c>
      <c r="BK19" s="207">
        <f>Opv.kohd.[[#This Row],[Muu kuin työvoima-koulutus 7d]]+Opv.kohd.[[#This Row],[Työvoima-koulutus 7d]]</f>
        <v>0</v>
      </c>
      <c r="BL19" s="207">
        <f>Opv.kohd.[[#This Row],[Muu kuin työvoima-koulutus 7c]]-Opv.kohd.[[#This Row],[Muu kuin työvoima-koulutus 7d]]</f>
        <v>0</v>
      </c>
      <c r="BM19" s="207">
        <f>Opv.kohd.[[#This Row],[Työvoima-koulutus 7c]]-Opv.kohd.[[#This Row],[Työvoima-koulutus 7d]]</f>
        <v>0</v>
      </c>
      <c r="BN19" s="207">
        <f>Opv.kohd.[[#This Row],[Yhteensä 7c]]-Opv.kohd.[[#This Row],[Yhteensä 7d]]</f>
        <v>0</v>
      </c>
      <c r="BO19" s="207">
        <f>Opv.kohd.[[#This Row],[Muu kuin työvoima-koulutus 7e]]-(Opv.kohd.[[#This Row],[Järjestämisluvan mukaiset 4]]+Opv.kohd.[[#This Row],[Kohdentamat-tomat 4]]+Opv.kohd.[[#This Row],[Maahan-muuttajien koulutus 4]]+Opv.kohd.[[#This Row],[Nuorisotyöt. väh. ja osaamistarp. vast., muu kuin työvoima-koulutus 4]])</f>
        <v>0</v>
      </c>
      <c r="BP19" s="207">
        <f>Opv.kohd.[[#This Row],[Työvoima-koulutus 7e]]-(Opv.kohd.[[#This Row],[Työvoima-koulutus 4]]+Opv.kohd.[[#This Row],[Nuorisotyöt. väh. ja osaamistarp. vast., työvoima-koulutus 4]])</f>
        <v>0</v>
      </c>
      <c r="BQ19" s="207">
        <f>Opv.kohd.[[#This Row],[Yhteensä 7e]]-Opv.kohd.[[#This Row],[Ensikertaisella suoritepäätöksellä jaetut tavoitteelliset opiskelijavuodet yhteensä 4]]</f>
        <v>0</v>
      </c>
      <c r="BR19" s="263">
        <v>2518</v>
      </c>
      <c r="BS19" s="263">
        <v>101</v>
      </c>
      <c r="BT19" s="263">
        <v>95</v>
      </c>
      <c r="BU19" s="263">
        <v>10</v>
      </c>
      <c r="BV19" s="263">
        <v>0</v>
      </c>
      <c r="BW19" s="263">
        <v>0</v>
      </c>
      <c r="BX19" s="263">
        <v>206</v>
      </c>
      <c r="BY19" s="263">
        <v>2724</v>
      </c>
      <c r="BZ19" s="207">
        <f t="shared" si="2"/>
        <v>2518</v>
      </c>
      <c r="CA19" s="207">
        <f t="shared" si="3"/>
        <v>101</v>
      </c>
      <c r="CB19" s="207">
        <f t="shared" si="4"/>
        <v>95</v>
      </c>
      <c r="CC19" s="207">
        <f t="shared" si="5"/>
        <v>10</v>
      </c>
      <c r="CD19" s="207">
        <f t="shared" si="6"/>
        <v>0</v>
      </c>
      <c r="CE19" s="207">
        <f t="shared" si="7"/>
        <v>0</v>
      </c>
      <c r="CF19" s="207">
        <f t="shared" si="8"/>
        <v>206</v>
      </c>
      <c r="CG19" s="207">
        <f t="shared" si="9"/>
        <v>2724</v>
      </c>
      <c r="CH19" s="207">
        <f>Opv.kohd.[[#This Row],[Tavoitteelliset opiskelijavuodet yhteensä 9]]-Opv.kohd.[[#This Row],[Työvoima-koulutus 9]]-Opv.kohd.[[#This Row],[Nuorisotyöt. väh. ja osaamistarp. vast., työvoima-koulutus 9]]-Opv.kohd.[[#This Row],[Muu kuin työvoima-koulutus 7e]]</f>
        <v>2629</v>
      </c>
      <c r="CI19" s="207">
        <f>(Opv.kohd.[[#This Row],[Työvoima-koulutus 9]]+Opv.kohd.[[#This Row],[Nuorisotyöt. väh. ja osaamistarp. vast., työvoima-koulutus 9]])-Opv.kohd.[[#This Row],[Työvoima-koulutus 7e]]</f>
        <v>95</v>
      </c>
      <c r="CJ19" s="207">
        <f>Opv.kohd.[[#This Row],[Tavoitteelliset opiskelijavuodet yhteensä 9]]-Opv.kohd.[[#This Row],[Yhteensä 7e]]</f>
        <v>2724</v>
      </c>
      <c r="CK19" s="207">
        <f>Opv.kohd.[[#This Row],[Järjestämisluvan mukaiset 4]]+Opv.kohd.[[#This Row],[Järjestämisluvan mukaiset 13]]</f>
        <v>0</v>
      </c>
      <c r="CL19" s="207">
        <f>Opv.kohd.[[#This Row],[Kohdentamat-tomat 4]]+Opv.kohd.[[#This Row],[Kohdentamat-tomat 13]]</f>
        <v>0</v>
      </c>
      <c r="CM19" s="207">
        <f>Opv.kohd.[[#This Row],[Työvoima-koulutus 4]]+Opv.kohd.[[#This Row],[Työvoima-koulutus 13]]</f>
        <v>0</v>
      </c>
      <c r="CN19" s="207">
        <f>Opv.kohd.[[#This Row],[Maahan-muuttajien koulutus 4]]+Opv.kohd.[[#This Row],[Maahan-muuttajien koulutus 13]]</f>
        <v>0</v>
      </c>
      <c r="CO19" s="207">
        <f>Opv.kohd.[[#This Row],[Nuorisotyöt. väh. ja osaamistarp. vast., muu kuin työvoima-koulutus 4]]+Opv.kohd.[[#This Row],[Nuorisotyöt. väh. ja osaamistarp. vast., muu kuin työvoima-koulutus 13]]</f>
        <v>0</v>
      </c>
      <c r="CP19" s="207">
        <f>Opv.kohd.[[#This Row],[Nuorisotyöt. väh. ja osaamistarp. vast., työvoima-koulutus 4]]+Opv.kohd.[[#This Row],[Nuorisotyöt. väh. ja osaamistarp. vast., työvoima-koulutus 13]]</f>
        <v>0</v>
      </c>
      <c r="CQ19" s="207">
        <f>Opv.kohd.[[#This Row],[Yhteensä 4]]+Opv.kohd.[[#This Row],[Yhteensä 13]]</f>
        <v>0</v>
      </c>
      <c r="CR19" s="207">
        <f>Opv.kohd.[[#This Row],[Ensikertaisella suoritepäätöksellä jaetut tavoitteelliset opiskelijavuodet yhteensä 4]]+Opv.kohd.[[#This Row],[Tavoitteelliset opiskelijavuodet yhteensä 13]]</f>
        <v>0</v>
      </c>
      <c r="CS19" s="120">
        <v>0</v>
      </c>
      <c r="CT19" s="120">
        <v>0</v>
      </c>
      <c r="CU19" s="120">
        <v>0</v>
      </c>
      <c r="CV19" s="120">
        <v>0</v>
      </c>
      <c r="CW19" s="120">
        <v>0</v>
      </c>
      <c r="CX19" s="120">
        <v>0</v>
      </c>
      <c r="CY19" s="120">
        <v>0</v>
      </c>
      <c r="CZ19" s="120">
        <v>0</v>
      </c>
      <c r="DA19" s="209">
        <f>IFERROR(Opv.kohd.[[#This Row],[Järjestämisluvan mukaiset 13]]/Opv.kohd.[[#This Row],[Järjestämisluvan mukaiset 12]],0)</f>
        <v>0</v>
      </c>
      <c r="DB19" s="209">
        <f>IFERROR(Opv.kohd.[[#This Row],[Kohdentamat-tomat 13]]/Opv.kohd.[[#This Row],[Kohdentamat-tomat 12]],0)</f>
        <v>0</v>
      </c>
      <c r="DC19" s="209">
        <f>IFERROR(Opv.kohd.[[#This Row],[Työvoima-koulutus 13]]/Opv.kohd.[[#This Row],[Työvoima-koulutus 12]],0)</f>
        <v>0</v>
      </c>
      <c r="DD19" s="209">
        <f>IFERROR(Opv.kohd.[[#This Row],[Maahan-muuttajien koulutus 13]]/Opv.kohd.[[#This Row],[Maahan-muuttajien koulutus 12]],0)</f>
        <v>0</v>
      </c>
      <c r="DE19" s="209">
        <f>IFERROR(Opv.kohd.[[#This Row],[Nuorisotyöt. väh. ja osaamistarp. vast., muu kuin työvoima-koulutus 13]]/Opv.kohd.[[#This Row],[Nuorisotyöt. väh. ja osaamistarp. vast., muu kuin työvoima-koulutus 12]],0)</f>
        <v>0</v>
      </c>
      <c r="DF19" s="209">
        <f>IFERROR(Opv.kohd.[[#This Row],[Nuorisotyöt. väh. ja osaamistarp. vast., työvoima-koulutus 13]]/Opv.kohd.[[#This Row],[Nuorisotyöt. väh. ja osaamistarp. vast., työvoima-koulutus 12]],0)</f>
        <v>0</v>
      </c>
      <c r="DG19" s="209">
        <f>IFERROR(Opv.kohd.[[#This Row],[Yhteensä 13]]/Opv.kohd.[[#This Row],[Yhteensä 12]],0)</f>
        <v>0</v>
      </c>
      <c r="DH19" s="209">
        <f>IFERROR(Opv.kohd.[[#This Row],[Tavoitteelliset opiskelijavuodet yhteensä 13]]/Opv.kohd.[[#This Row],[Tavoitteelliset opiskelijavuodet yhteensä 12]],0)</f>
        <v>0</v>
      </c>
      <c r="DI19" s="207">
        <f>Opv.kohd.[[#This Row],[Järjestämisluvan mukaiset 12]]-Opv.kohd.[[#This Row],[Järjestämisluvan mukaiset 9]]</f>
        <v>-2518</v>
      </c>
      <c r="DJ19" s="207">
        <f>Opv.kohd.[[#This Row],[Kohdentamat-tomat 12]]-Opv.kohd.[[#This Row],[Kohdentamat-tomat 9]]</f>
        <v>-101</v>
      </c>
      <c r="DK19" s="207">
        <f>Opv.kohd.[[#This Row],[Työvoima-koulutus 12]]-Opv.kohd.[[#This Row],[Työvoima-koulutus 9]]</f>
        <v>-95</v>
      </c>
      <c r="DL19" s="207">
        <f>Opv.kohd.[[#This Row],[Maahan-muuttajien koulutus 12]]-Opv.kohd.[[#This Row],[Maahan-muuttajien koulutus 9]]</f>
        <v>-10</v>
      </c>
      <c r="DM19" s="207">
        <f>Opv.kohd.[[#This Row],[Nuorisotyöt. väh. ja osaamistarp. vast., muu kuin työvoima-koulutus 12]]-Opv.kohd.[[#This Row],[Nuorisotyöt. väh. ja osaamistarp. vast., muu kuin työvoima-koulutus 9]]</f>
        <v>0</v>
      </c>
      <c r="DN19" s="207">
        <f>Opv.kohd.[[#This Row],[Nuorisotyöt. väh. ja osaamistarp. vast., työvoima-koulutus 12]]-Opv.kohd.[[#This Row],[Nuorisotyöt. väh. ja osaamistarp. vast., työvoima-koulutus 9]]</f>
        <v>0</v>
      </c>
      <c r="DO19" s="207">
        <f>Opv.kohd.[[#This Row],[Yhteensä 12]]-Opv.kohd.[[#This Row],[Yhteensä 9]]</f>
        <v>-206</v>
      </c>
      <c r="DP19" s="207">
        <f>Opv.kohd.[[#This Row],[Tavoitteelliset opiskelijavuodet yhteensä 12]]-Opv.kohd.[[#This Row],[Tavoitteelliset opiskelijavuodet yhteensä 9]]</f>
        <v>-2724</v>
      </c>
      <c r="DQ19" s="209">
        <f>IFERROR(Opv.kohd.[[#This Row],[Järjestämisluvan mukaiset 15]]/Opv.kohd.[[#This Row],[Järjestämisluvan mukaiset 9]],0)</f>
        <v>-1</v>
      </c>
      <c r="DR19" s="209">
        <f t="shared" si="10"/>
        <v>0</v>
      </c>
      <c r="DS19" s="209">
        <f t="shared" si="11"/>
        <v>0</v>
      </c>
      <c r="DT19" s="209">
        <f t="shared" si="12"/>
        <v>0</v>
      </c>
      <c r="DU19" s="209">
        <f t="shared" si="13"/>
        <v>0</v>
      </c>
      <c r="DV19" s="209">
        <f t="shared" si="14"/>
        <v>0</v>
      </c>
      <c r="DW19" s="209">
        <f t="shared" si="15"/>
        <v>0</v>
      </c>
      <c r="DX19" s="209">
        <f t="shared" si="16"/>
        <v>0</v>
      </c>
    </row>
    <row r="20" spans="1:128" x14ac:dyDescent="0.25">
      <c r="A20" s="204" t="e">
        <f>IF(INDEX(#REF!,ROW(20:20)-1,1)=0,"",INDEX(#REF!,ROW(20:20)-1,1))</f>
        <v>#REF!</v>
      </c>
      <c r="B20" s="205" t="str">
        <f>IFERROR(VLOOKUP(Opv.kohd.[[#This Row],[Y-tunnus]],'0 Järjestäjätiedot'!$A:$H,2,FALSE),"")</f>
        <v/>
      </c>
      <c r="C20" s="204" t="str">
        <f>IFERROR(VLOOKUP(Opv.kohd.[[#This Row],[Y-tunnus]],'0 Järjestäjätiedot'!$A:$H,COLUMN('0 Järjestäjätiedot'!D:D),FALSE),"")</f>
        <v/>
      </c>
      <c r="D20" s="204" t="str">
        <f>IFERROR(VLOOKUP(Opv.kohd.[[#This Row],[Y-tunnus]],'0 Järjestäjätiedot'!$A:$H,COLUMN('0 Järjestäjätiedot'!H:H),FALSE),"")</f>
        <v/>
      </c>
      <c r="E20" s="204">
        <f>IFERROR(VLOOKUP(Opv.kohd.[[#This Row],[Y-tunnus]],#REF!,COLUMN(#REF!),FALSE),0)</f>
        <v>0</v>
      </c>
      <c r="F20" s="204">
        <f>IFERROR(VLOOKUP(Opv.kohd.[[#This Row],[Y-tunnus]],#REF!,COLUMN(#REF!),FALSE),0)</f>
        <v>0</v>
      </c>
      <c r="G20" s="204">
        <f>IFERROR(VLOOKUP(Opv.kohd.[[#This Row],[Y-tunnus]],#REF!,COLUMN(#REF!),FALSE),0)</f>
        <v>0</v>
      </c>
      <c r="H20" s="204">
        <f>IFERROR(VLOOKUP(Opv.kohd.[[#This Row],[Y-tunnus]],#REF!,COLUMN(#REF!),FALSE),0)</f>
        <v>0</v>
      </c>
      <c r="I20" s="204">
        <f>IFERROR(VLOOKUP(Opv.kohd.[[#This Row],[Y-tunnus]],#REF!,COLUMN(#REF!),FALSE),0)</f>
        <v>0</v>
      </c>
      <c r="J20" s="204">
        <f>IFERROR(VLOOKUP(Opv.kohd.[[#This Row],[Y-tunnus]],#REF!,COLUMN(#REF!),FALSE),0)</f>
        <v>0</v>
      </c>
      <c r="K2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20" s="204">
        <f>Opv.kohd.[[#This Row],[Järjestämisluvan mukaiset 1]]+Opv.kohd.[[#This Row],[Yhteensä  1]]</f>
        <v>0</v>
      </c>
      <c r="M20" s="204">
        <f>IFERROR(VLOOKUP(Opv.kohd.[[#This Row],[Y-tunnus]],#REF!,COLUMN(#REF!),FALSE),0)</f>
        <v>0</v>
      </c>
      <c r="N20" s="204">
        <f>IFERROR(VLOOKUP(Opv.kohd.[[#This Row],[Y-tunnus]],#REF!,COLUMN(#REF!),FALSE),0)</f>
        <v>0</v>
      </c>
      <c r="O20" s="204">
        <f>IFERROR(VLOOKUP(Opv.kohd.[[#This Row],[Y-tunnus]],#REF!,COLUMN(#REF!),FALSE)+VLOOKUP(Opv.kohd.[[#This Row],[Y-tunnus]],#REF!,COLUMN(#REF!),FALSE),0)</f>
        <v>0</v>
      </c>
      <c r="P20" s="204">
        <f>Opv.kohd.[[#This Row],[Talousarvion perusteella kohdentamattomat]]+Opv.kohd.[[#This Row],[Talousarvion perusteella työvoimakoulutus 1]]+Opv.kohd.[[#This Row],[Lisätalousarvioiden perusteella]]</f>
        <v>0</v>
      </c>
      <c r="Q20" s="204">
        <f>IFERROR(VLOOKUP(Opv.kohd.[[#This Row],[Y-tunnus]],#REF!,COLUMN(#REF!),FALSE),0)</f>
        <v>0</v>
      </c>
      <c r="R20" s="210">
        <f>IFERROR(VLOOKUP(Opv.kohd.[[#This Row],[Y-tunnus]],#REF!,COLUMN(#REF!),FALSE)-(Opv.kohd.[[#This Row],[Kohdentamaton työvoima-koulutus 2]]+Opv.kohd.[[#This Row],[Maahan-muuttajien koulutus 2]]+Opv.kohd.[[#This Row],[Lisätalousarvioiden perusteella jaetut 2]]),0)</f>
        <v>0</v>
      </c>
      <c r="S20" s="210">
        <f>IFERROR(VLOOKUP(Opv.kohd.[[#This Row],[Y-tunnus]],#REF!,COLUMN(#REF!),FALSE)+VLOOKUP(Opv.kohd.[[#This Row],[Y-tunnus]],#REF!,COLUMN(#REF!),FALSE),0)</f>
        <v>0</v>
      </c>
      <c r="T20" s="210">
        <f>IFERROR(VLOOKUP(Opv.kohd.[[#This Row],[Y-tunnus]],#REF!,COLUMN(#REF!),FALSE)+VLOOKUP(Opv.kohd.[[#This Row],[Y-tunnus]],#REF!,COLUMN(#REF!),FALSE),0)</f>
        <v>0</v>
      </c>
      <c r="U2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20" s="210">
        <f>Opv.kohd.[[#This Row],[Kohdentamat-tomat 2]]+Opv.kohd.[[#This Row],[Kohdentamaton työvoima-koulutus 2]]+Opv.kohd.[[#This Row],[Maahan-muuttajien koulutus 2]]+Opv.kohd.[[#This Row],[Lisätalousarvioiden perusteella jaetut 2]]</f>
        <v>0</v>
      </c>
      <c r="W20" s="210">
        <f>Opv.kohd.[[#This Row],[Kohdentamat-tomat 2]]-(Opv.kohd.[[#This Row],[Järjestämisluvan mukaiset 1]]+Opv.kohd.[[#This Row],[Kohdentamat-tomat 1]]+Opv.kohd.[[#This Row],[Nuorisotyöt. väh. ja osaamistarp. vast., muu kuin työvoima-koulutus 1]]+Opv.kohd.[[#This Row],[Talousarvion perusteella kohdentamattomat]])</f>
        <v>0</v>
      </c>
      <c r="X20" s="210">
        <f>Opv.kohd.[[#This Row],[Kohdentamaton työvoima-koulutus 2]]-(Opv.kohd.[[#This Row],[Työvoima-koulutus 1]]+Opv.kohd.[[#This Row],[Nuorisotyöt. väh. ja osaamistarp. vast., työvoima-koulutus 1]]+Opv.kohd.[[#This Row],[Talousarvion perusteella työvoimakoulutus 1]])</f>
        <v>0</v>
      </c>
      <c r="Y20" s="210">
        <f>Opv.kohd.[[#This Row],[Maahan-muuttajien koulutus 2]]-Opv.kohd.[[#This Row],[Maahan-muuttajien koulutus 1]]</f>
        <v>0</v>
      </c>
      <c r="Z20" s="210">
        <f>Opv.kohd.[[#This Row],[Lisätalousarvioiden perusteella jaetut 2]]-Opv.kohd.[[#This Row],[Lisätalousarvioiden perusteella]]</f>
        <v>0</v>
      </c>
      <c r="AA20" s="210">
        <f>Opv.kohd.[[#This Row],[Toteutuneet opiskelijavuodet yhteensä 2]]-Opv.kohd.[[#This Row],[Vuoden 2018 tavoitteelliset opiskelijavuodet yhteensä 1]]</f>
        <v>0</v>
      </c>
      <c r="AB20" s="207">
        <f>IFERROR(VLOOKUP(Opv.kohd.[[#This Row],[Y-tunnus]],#REF!,3,FALSE),0)</f>
        <v>0</v>
      </c>
      <c r="AC20" s="207">
        <f>IFERROR(VLOOKUP(Opv.kohd.[[#This Row],[Y-tunnus]],#REF!,4,FALSE),0)</f>
        <v>0</v>
      </c>
      <c r="AD20" s="207">
        <f>IFERROR(VLOOKUP(Opv.kohd.[[#This Row],[Y-tunnus]],#REF!,5,FALSE),0)</f>
        <v>0</v>
      </c>
      <c r="AE20" s="207">
        <f>IFERROR(VLOOKUP(Opv.kohd.[[#This Row],[Y-tunnus]],#REF!,6,FALSE),0)</f>
        <v>0</v>
      </c>
      <c r="AF20" s="207">
        <f>IFERROR(VLOOKUP(Opv.kohd.[[#This Row],[Y-tunnus]],#REF!,7,FALSE),0)</f>
        <v>0</v>
      </c>
      <c r="AG20" s="207">
        <f>IFERROR(VLOOKUP(Opv.kohd.[[#This Row],[Y-tunnus]],#REF!,8,FALSE),0)</f>
        <v>0</v>
      </c>
      <c r="AH20" s="207">
        <f>IFERROR(VLOOKUP(Opv.kohd.[[#This Row],[Y-tunnus]],#REF!,9,FALSE),0)</f>
        <v>0</v>
      </c>
      <c r="AI20" s="207">
        <f>IFERROR(VLOOKUP(Opv.kohd.[[#This Row],[Y-tunnus]],#REF!,10,FALSE),0)</f>
        <v>0</v>
      </c>
      <c r="AJ20" s="204">
        <f>Opv.kohd.[[#This Row],[Järjestämisluvan mukaiset 4]]-Opv.kohd.[[#This Row],[Järjestämisluvan mukaiset 1]]</f>
        <v>0</v>
      </c>
      <c r="AK20" s="204">
        <f>Opv.kohd.[[#This Row],[Kohdentamat-tomat 4]]-Opv.kohd.[[#This Row],[Kohdentamat-tomat 1]]</f>
        <v>0</v>
      </c>
      <c r="AL20" s="204">
        <f>Opv.kohd.[[#This Row],[Työvoima-koulutus 4]]-Opv.kohd.[[#This Row],[Työvoima-koulutus 1]]</f>
        <v>0</v>
      </c>
      <c r="AM20" s="204">
        <f>Opv.kohd.[[#This Row],[Maahan-muuttajien koulutus 4]]-Opv.kohd.[[#This Row],[Maahan-muuttajien koulutus 1]]</f>
        <v>0</v>
      </c>
      <c r="AN20" s="204">
        <f>Opv.kohd.[[#This Row],[Nuorisotyöt. väh. ja osaamistarp. vast., muu kuin työvoima-koulutus 4]]-Opv.kohd.[[#This Row],[Nuorisotyöt. väh. ja osaamistarp. vast., muu kuin työvoima-koulutus 1]]</f>
        <v>0</v>
      </c>
      <c r="AO20" s="204">
        <f>Opv.kohd.[[#This Row],[Nuorisotyöt. väh. ja osaamistarp. vast., työvoima-koulutus 4]]-Opv.kohd.[[#This Row],[Nuorisotyöt. väh. ja osaamistarp. vast., työvoima-koulutus 1]]</f>
        <v>0</v>
      </c>
      <c r="AP20" s="204">
        <f>Opv.kohd.[[#This Row],[Yhteensä 4]]-Opv.kohd.[[#This Row],[Yhteensä  1]]</f>
        <v>0</v>
      </c>
      <c r="AQ20" s="204">
        <f>Opv.kohd.[[#This Row],[Ensikertaisella suoritepäätöksellä jaetut tavoitteelliset opiskelijavuodet yhteensä 4]]-Opv.kohd.[[#This Row],[Ensikertaisella suoritepäätöksellä jaetut tavoitteelliset opiskelijavuodet yhteensä 1]]</f>
        <v>0</v>
      </c>
      <c r="AR20" s="208">
        <f>IFERROR(Opv.kohd.[[#This Row],[Järjestämisluvan mukaiset 5]]/Opv.kohd.[[#This Row],[Järjestämisluvan mukaiset 4]],0)</f>
        <v>0</v>
      </c>
      <c r="AS20" s="208">
        <f>IFERROR(Opv.kohd.[[#This Row],[Kohdentamat-tomat 5]]/Opv.kohd.[[#This Row],[Kohdentamat-tomat 4]],0)</f>
        <v>0</v>
      </c>
      <c r="AT20" s="208">
        <f>IFERROR(Opv.kohd.[[#This Row],[Työvoima-koulutus 5]]/Opv.kohd.[[#This Row],[Työvoima-koulutus 4]],0)</f>
        <v>0</v>
      </c>
      <c r="AU20" s="208">
        <f>IFERROR(Opv.kohd.[[#This Row],[Maahan-muuttajien koulutus 5]]/Opv.kohd.[[#This Row],[Maahan-muuttajien koulutus 4]],0)</f>
        <v>0</v>
      </c>
      <c r="AV20" s="208">
        <f>IFERROR(Opv.kohd.[[#This Row],[Nuorisotyöt. väh. ja osaamistarp. vast., muu kuin työvoima-koulutus 5]]/Opv.kohd.[[#This Row],[Nuorisotyöt. väh. ja osaamistarp. vast., muu kuin työvoima-koulutus 4]],0)</f>
        <v>0</v>
      </c>
      <c r="AW20" s="208">
        <f>IFERROR(Opv.kohd.[[#This Row],[Nuorisotyöt. väh. ja osaamistarp. vast., työvoima-koulutus 5]]/Opv.kohd.[[#This Row],[Nuorisotyöt. väh. ja osaamistarp. vast., työvoima-koulutus 4]],0)</f>
        <v>0</v>
      </c>
      <c r="AX20" s="208">
        <f>IFERROR(Opv.kohd.[[#This Row],[Yhteensä 5]]/Opv.kohd.[[#This Row],[Yhteensä 4]],0)</f>
        <v>0</v>
      </c>
      <c r="AY20" s="208">
        <f>IFERROR(Opv.kohd.[[#This Row],[Ensikertaisella suoritepäätöksellä jaetut tavoitteelliset opiskelijavuodet yhteensä 5]]/Opv.kohd.[[#This Row],[Ensikertaisella suoritepäätöksellä jaetut tavoitteelliset opiskelijavuodet yhteensä 4]],0)</f>
        <v>0</v>
      </c>
      <c r="AZ20" s="207">
        <f>Opv.kohd.[[#This Row],[Yhteensä 7a]]-Opv.kohd.[[#This Row],[Työvoima-koulutus 7a]]</f>
        <v>0</v>
      </c>
      <c r="BA20" s="207">
        <f>IFERROR(VLOOKUP(Opv.kohd.[[#This Row],[Y-tunnus]],#REF!,COLUMN(#REF!),FALSE),0)</f>
        <v>0</v>
      </c>
      <c r="BB20" s="207">
        <f>IFERROR(VLOOKUP(Opv.kohd.[[#This Row],[Y-tunnus]],#REF!,COLUMN(#REF!),FALSE),0)</f>
        <v>0</v>
      </c>
      <c r="BC20" s="207">
        <f>Opv.kohd.[[#This Row],[Muu kuin työvoima-koulutus 7c]]-Opv.kohd.[[#This Row],[Muu kuin työvoima-koulutus 7a]]</f>
        <v>0</v>
      </c>
      <c r="BD20" s="207">
        <f>Opv.kohd.[[#This Row],[Työvoima-koulutus 7c]]-Opv.kohd.[[#This Row],[Työvoima-koulutus 7a]]</f>
        <v>0</v>
      </c>
      <c r="BE20" s="207">
        <f>Opv.kohd.[[#This Row],[Yhteensä 7c]]-Opv.kohd.[[#This Row],[Yhteensä 7a]]</f>
        <v>0</v>
      </c>
      <c r="BF20" s="207">
        <f>Opv.kohd.[[#This Row],[Yhteensä 7c]]-Opv.kohd.[[#This Row],[Työvoima-koulutus 7c]]</f>
        <v>0</v>
      </c>
      <c r="BG20" s="207">
        <f>IFERROR(VLOOKUP(Opv.kohd.[[#This Row],[Y-tunnus]],#REF!,COLUMN(#REF!),FALSE),0)</f>
        <v>0</v>
      </c>
      <c r="BH20" s="207">
        <f>IFERROR(VLOOKUP(Opv.kohd.[[#This Row],[Y-tunnus]],#REF!,COLUMN(#REF!),FALSE),0)</f>
        <v>0</v>
      </c>
      <c r="BI20" s="207">
        <f>IFERROR(VLOOKUP(Opv.kohd.[[#This Row],[Y-tunnus]],#REF!,COLUMN(#REF!),FALSE),0)</f>
        <v>0</v>
      </c>
      <c r="BJ20" s="207">
        <f>IFERROR(VLOOKUP(Opv.kohd.[[#This Row],[Y-tunnus]],#REF!,COLUMN(#REF!),FALSE),0)</f>
        <v>0</v>
      </c>
      <c r="BK20" s="207">
        <f>Opv.kohd.[[#This Row],[Muu kuin työvoima-koulutus 7d]]+Opv.kohd.[[#This Row],[Työvoima-koulutus 7d]]</f>
        <v>0</v>
      </c>
      <c r="BL20" s="207">
        <f>Opv.kohd.[[#This Row],[Muu kuin työvoima-koulutus 7c]]-Opv.kohd.[[#This Row],[Muu kuin työvoima-koulutus 7d]]</f>
        <v>0</v>
      </c>
      <c r="BM20" s="207">
        <f>Opv.kohd.[[#This Row],[Työvoima-koulutus 7c]]-Opv.kohd.[[#This Row],[Työvoima-koulutus 7d]]</f>
        <v>0</v>
      </c>
      <c r="BN20" s="207">
        <f>Opv.kohd.[[#This Row],[Yhteensä 7c]]-Opv.kohd.[[#This Row],[Yhteensä 7d]]</f>
        <v>0</v>
      </c>
      <c r="BO20" s="207">
        <f>Opv.kohd.[[#This Row],[Muu kuin työvoima-koulutus 7e]]-(Opv.kohd.[[#This Row],[Järjestämisluvan mukaiset 4]]+Opv.kohd.[[#This Row],[Kohdentamat-tomat 4]]+Opv.kohd.[[#This Row],[Maahan-muuttajien koulutus 4]]+Opv.kohd.[[#This Row],[Nuorisotyöt. väh. ja osaamistarp. vast., muu kuin työvoima-koulutus 4]])</f>
        <v>0</v>
      </c>
      <c r="BP20" s="207">
        <f>Opv.kohd.[[#This Row],[Työvoima-koulutus 7e]]-(Opv.kohd.[[#This Row],[Työvoima-koulutus 4]]+Opv.kohd.[[#This Row],[Nuorisotyöt. väh. ja osaamistarp. vast., työvoima-koulutus 4]])</f>
        <v>0</v>
      </c>
      <c r="BQ20" s="207">
        <f>Opv.kohd.[[#This Row],[Yhteensä 7e]]-Opv.kohd.[[#This Row],[Ensikertaisella suoritepäätöksellä jaetut tavoitteelliset opiskelijavuodet yhteensä 4]]</f>
        <v>0</v>
      </c>
      <c r="BR20" s="263">
        <v>37</v>
      </c>
      <c r="BS20" s="263">
        <v>0</v>
      </c>
      <c r="BT20" s="263">
        <v>0</v>
      </c>
      <c r="BU20" s="263">
        <v>0</v>
      </c>
      <c r="BV20" s="263">
        <v>0</v>
      </c>
      <c r="BW20" s="263">
        <v>0</v>
      </c>
      <c r="BX20" s="263">
        <v>0</v>
      </c>
      <c r="BY20" s="263">
        <v>37</v>
      </c>
      <c r="BZ20" s="207">
        <f t="shared" si="2"/>
        <v>37</v>
      </c>
      <c r="CA20" s="207">
        <f t="shared" si="3"/>
        <v>0</v>
      </c>
      <c r="CB20" s="207">
        <f t="shared" si="4"/>
        <v>0</v>
      </c>
      <c r="CC20" s="207">
        <f t="shared" si="5"/>
        <v>0</v>
      </c>
      <c r="CD20" s="207">
        <f t="shared" si="6"/>
        <v>0</v>
      </c>
      <c r="CE20" s="207">
        <f t="shared" si="7"/>
        <v>0</v>
      </c>
      <c r="CF20" s="207">
        <f t="shared" si="8"/>
        <v>0</v>
      </c>
      <c r="CG20" s="207">
        <f t="shared" si="9"/>
        <v>37</v>
      </c>
      <c r="CH20" s="207">
        <f>Opv.kohd.[[#This Row],[Tavoitteelliset opiskelijavuodet yhteensä 9]]-Opv.kohd.[[#This Row],[Työvoima-koulutus 9]]-Opv.kohd.[[#This Row],[Nuorisotyöt. väh. ja osaamistarp. vast., työvoima-koulutus 9]]-Opv.kohd.[[#This Row],[Muu kuin työvoima-koulutus 7e]]</f>
        <v>37</v>
      </c>
      <c r="CI20" s="207">
        <f>(Opv.kohd.[[#This Row],[Työvoima-koulutus 9]]+Opv.kohd.[[#This Row],[Nuorisotyöt. väh. ja osaamistarp. vast., työvoima-koulutus 9]])-Opv.kohd.[[#This Row],[Työvoima-koulutus 7e]]</f>
        <v>0</v>
      </c>
      <c r="CJ20" s="207">
        <f>Opv.kohd.[[#This Row],[Tavoitteelliset opiskelijavuodet yhteensä 9]]-Opv.kohd.[[#This Row],[Yhteensä 7e]]</f>
        <v>37</v>
      </c>
      <c r="CK20" s="207">
        <f>Opv.kohd.[[#This Row],[Järjestämisluvan mukaiset 4]]+Opv.kohd.[[#This Row],[Järjestämisluvan mukaiset 13]]</f>
        <v>0</v>
      </c>
      <c r="CL20" s="207">
        <f>Opv.kohd.[[#This Row],[Kohdentamat-tomat 4]]+Opv.kohd.[[#This Row],[Kohdentamat-tomat 13]]</f>
        <v>0</v>
      </c>
      <c r="CM20" s="207">
        <f>Opv.kohd.[[#This Row],[Työvoima-koulutus 4]]+Opv.kohd.[[#This Row],[Työvoima-koulutus 13]]</f>
        <v>0</v>
      </c>
      <c r="CN20" s="207">
        <f>Opv.kohd.[[#This Row],[Maahan-muuttajien koulutus 4]]+Opv.kohd.[[#This Row],[Maahan-muuttajien koulutus 13]]</f>
        <v>0</v>
      </c>
      <c r="CO20" s="207">
        <f>Opv.kohd.[[#This Row],[Nuorisotyöt. väh. ja osaamistarp. vast., muu kuin työvoima-koulutus 4]]+Opv.kohd.[[#This Row],[Nuorisotyöt. väh. ja osaamistarp. vast., muu kuin työvoima-koulutus 13]]</f>
        <v>0</v>
      </c>
      <c r="CP20" s="207">
        <f>Opv.kohd.[[#This Row],[Nuorisotyöt. väh. ja osaamistarp. vast., työvoima-koulutus 4]]+Opv.kohd.[[#This Row],[Nuorisotyöt. väh. ja osaamistarp. vast., työvoima-koulutus 13]]</f>
        <v>0</v>
      </c>
      <c r="CQ20" s="207">
        <f>Opv.kohd.[[#This Row],[Yhteensä 4]]+Opv.kohd.[[#This Row],[Yhteensä 13]]</f>
        <v>0</v>
      </c>
      <c r="CR20" s="207">
        <f>Opv.kohd.[[#This Row],[Ensikertaisella suoritepäätöksellä jaetut tavoitteelliset opiskelijavuodet yhteensä 4]]+Opv.kohd.[[#This Row],[Tavoitteelliset opiskelijavuodet yhteensä 13]]</f>
        <v>0</v>
      </c>
      <c r="CS20" s="120">
        <v>0</v>
      </c>
      <c r="CT20" s="120">
        <v>0</v>
      </c>
      <c r="CU20" s="120">
        <v>0</v>
      </c>
      <c r="CV20" s="120">
        <v>0</v>
      </c>
      <c r="CW20" s="120">
        <v>0</v>
      </c>
      <c r="CX20" s="120">
        <v>0</v>
      </c>
      <c r="CY20" s="120">
        <v>0</v>
      </c>
      <c r="CZ20" s="120">
        <v>0</v>
      </c>
      <c r="DA20" s="209">
        <f>IFERROR(Opv.kohd.[[#This Row],[Järjestämisluvan mukaiset 13]]/Opv.kohd.[[#This Row],[Järjestämisluvan mukaiset 12]],0)</f>
        <v>0</v>
      </c>
      <c r="DB20" s="209">
        <f>IFERROR(Opv.kohd.[[#This Row],[Kohdentamat-tomat 13]]/Opv.kohd.[[#This Row],[Kohdentamat-tomat 12]],0)</f>
        <v>0</v>
      </c>
      <c r="DC20" s="209">
        <f>IFERROR(Opv.kohd.[[#This Row],[Työvoima-koulutus 13]]/Opv.kohd.[[#This Row],[Työvoima-koulutus 12]],0)</f>
        <v>0</v>
      </c>
      <c r="DD20" s="209">
        <f>IFERROR(Opv.kohd.[[#This Row],[Maahan-muuttajien koulutus 13]]/Opv.kohd.[[#This Row],[Maahan-muuttajien koulutus 12]],0)</f>
        <v>0</v>
      </c>
      <c r="DE20" s="209">
        <f>IFERROR(Opv.kohd.[[#This Row],[Nuorisotyöt. väh. ja osaamistarp. vast., muu kuin työvoima-koulutus 13]]/Opv.kohd.[[#This Row],[Nuorisotyöt. väh. ja osaamistarp. vast., muu kuin työvoima-koulutus 12]],0)</f>
        <v>0</v>
      </c>
      <c r="DF20" s="209">
        <f>IFERROR(Opv.kohd.[[#This Row],[Nuorisotyöt. väh. ja osaamistarp. vast., työvoima-koulutus 13]]/Opv.kohd.[[#This Row],[Nuorisotyöt. väh. ja osaamistarp. vast., työvoima-koulutus 12]],0)</f>
        <v>0</v>
      </c>
      <c r="DG20" s="209">
        <f>IFERROR(Opv.kohd.[[#This Row],[Yhteensä 13]]/Opv.kohd.[[#This Row],[Yhteensä 12]],0)</f>
        <v>0</v>
      </c>
      <c r="DH20" s="209">
        <f>IFERROR(Opv.kohd.[[#This Row],[Tavoitteelliset opiskelijavuodet yhteensä 13]]/Opv.kohd.[[#This Row],[Tavoitteelliset opiskelijavuodet yhteensä 12]],0)</f>
        <v>0</v>
      </c>
      <c r="DI20" s="207">
        <f>Opv.kohd.[[#This Row],[Järjestämisluvan mukaiset 12]]-Opv.kohd.[[#This Row],[Järjestämisluvan mukaiset 9]]</f>
        <v>-37</v>
      </c>
      <c r="DJ20" s="207">
        <f>Opv.kohd.[[#This Row],[Kohdentamat-tomat 12]]-Opv.kohd.[[#This Row],[Kohdentamat-tomat 9]]</f>
        <v>0</v>
      </c>
      <c r="DK20" s="207">
        <f>Opv.kohd.[[#This Row],[Työvoima-koulutus 12]]-Opv.kohd.[[#This Row],[Työvoima-koulutus 9]]</f>
        <v>0</v>
      </c>
      <c r="DL20" s="207">
        <f>Opv.kohd.[[#This Row],[Maahan-muuttajien koulutus 12]]-Opv.kohd.[[#This Row],[Maahan-muuttajien koulutus 9]]</f>
        <v>0</v>
      </c>
      <c r="DM20" s="207">
        <f>Opv.kohd.[[#This Row],[Nuorisotyöt. väh. ja osaamistarp. vast., muu kuin työvoima-koulutus 12]]-Opv.kohd.[[#This Row],[Nuorisotyöt. väh. ja osaamistarp. vast., muu kuin työvoima-koulutus 9]]</f>
        <v>0</v>
      </c>
      <c r="DN20" s="207">
        <f>Opv.kohd.[[#This Row],[Nuorisotyöt. väh. ja osaamistarp. vast., työvoima-koulutus 12]]-Opv.kohd.[[#This Row],[Nuorisotyöt. väh. ja osaamistarp. vast., työvoima-koulutus 9]]</f>
        <v>0</v>
      </c>
      <c r="DO20" s="207">
        <f>Opv.kohd.[[#This Row],[Yhteensä 12]]-Opv.kohd.[[#This Row],[Yhteensä 9]]</f>
        <v>0</v>
      </c>
      <c r="DP20" s="207">
        <f>Opv.kohd.[[#This Row],[Tavoitteelliset opiskelijavuodet yhteensä 12]]-Opv.kohd.[[#This Row],[Tavoitteelliset opiskelijavuodet yhteensä 9]]</f>
        <v>-37</v>
      </c>
      <c r="DQ20" s="209">
        <f>IFERROR(Opv.kohd.[[#This Row],[Järjestämisluvan mukaiset 15]]/Opv.kohd.[[#This Row],[Järjestämisluvan mukaiset 9]],0)</f>
        <v>-1</v>
      </c>
      <c r="DR20" s="209">
        <f t="shared" si="10"/>
        <v>0</v>
      </c>
      <c r="DS20" s="209">
        <f t="shared" si="11"/>
        <v>0</v>
      </c>
      <c r="DT20" s="209">
        <f t="shared" si="12"/>
        <v>0</v>
      </c>
      <c r="DU20" s="209">
        <f t="shared" si="13"/>
        <v>0</v>
      </c>
      <c r="DV20" s="209">
        <f t="shared" si="14"/>
        <v>0</v>
      </c>
      <c r="DW20" s="209">
        <f t="shared" si="15"/>
        <v>0</v>
      </c>
      <c r="DX20" s="209">
        <f t="shared" si="16"/>
        <v>0</v>
      </c>
    </row>
    <row r="21" spans="1:128" x14ac:dyDescent="0.25">
      <c r="A21" s="204" t="e">
        <f>IF(INDEX(#REF!,ROW(21:21)-1,1)=0,"",INDEX(#REF!,ROW(21:21)-1,1))</f>
        <v>#REF!</v>
      </c>
      <c r="B21" s="205" t="str">
        <f>IFERROR(VLOOKUP(Opv.kohd.[[#This Row],[Y-tunnus]],'0 Järjestäjätiedot'!$A:$H,2,FALSE),"")</f>
        <v/>
      </c>
      <c r="C21" s="204" t="str">
        <f>IFERROR(VLOOKUP(Opv.kohd.[[#This Row],[Y-tunnus]],'0 Järjestäjätiedot'!$A:$H,COLUMN('0 Järjestäjätiedot'!D:D),FALSE),"")</f>
        <v/>
      </c>
      <c r="D21" s="204" t="str">
        <f>IFERROR(VLOOKUP(Opv.kohd.[[#This Row],[Y-tunnus]],'0 Järjestäjätiedot'!$A:$H,COLUMN('0 Järjestäjätiedot'!H:H),FALSE),"")</f>
        <v/>
      </c>
      <c r="E21" s="204">
        <f>IFERROR(VLOOKUP(Opv.kohd.[[#This Row],[Y-tunnus]],#REF!,COLUMN(#REF!),FALSE),0)</f>
        <v>0</v>
      </c>
      <c r="F21" s="204">
        <f>IFERROR(VLOOKUP(Opv.kohd.[[#This Row],[Y-tunnus]],#REF!,COLUMN(#REF!),FALSE),0)</f>
        <v>0</v>
      </c>
      <c r="G21" s="204">
        <f>IFERROR(VLOOKUP(Opv.kohd.[[#This Row],[Y-tunnus]],#REF!,COLUMN(#REF!),FALSE),0)</f>
        <v>0</v>
      </c>
      <c r="H21" s="204">
        <f>IFERROR(VLOOKUP(Opv.kohd.[[#This Row],[Y-tunnus]],#REF!,COLUMN(#REF!),FALSE),0)</f>
        <v>0</v>
      </c>
      <c r="I21" s="204">
        <f>IFERROR(VLOOKUP(Opv.kohd.[[#This Row],[Y-tunnus]],#REF!,COLUMN(#REF!),FALSE),0)</f>
        <v>0</v>
      </c>
      <c r="J21" s="204">
        <f>IFERROR(VLOOKUP(Opv.kohd.[[#This Row],[Y-tunnus]],#REF!,COLUMN(#REF!),FALSE),0)</f>
        <v>0</v>
      </c>
      <c r="K2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21" s="204">
        <f>Opv.kohd.[[#This Row],[Järjestämisluvan mukaiset 1]]+Opv.kohd.[[#This Row],[Yhteensä  1]]</f>
        <v>0</v>
      </c>
      <c r="M21" s="204">
        <f>IFERROR(VLOOKUP(Opv.kohd.[[#This Row],[Y-tunnus]],#REF!,COLUMN(#REF!),FALSE),0)</f>
        <v>0</v>
      </c>
      <c r="N21" s="204">
        <f>IFERROR(VLOOKUP(Opv.kohd.[[#This Row],[Y-tunnus]],#REF!,COLUMN(#REF!),FALSE),0)</f>
        <v>0</v>
      </c>
      <c r="O21" s="204">
        <f>IFERROR(VLOOKUP(Opv.kohd.[[#This Row],[Y-tunnus]],#REF!,COLUMN(#REF!),FALSE)+VLOOKUP(Opv.kohd.[[#This Row],[Y-tunnus]],#REF!,COLUMN(#REF!),FALSE),0)</f>
        <v>0</v>
      </c>
      <c r="P21" s="204">
        <f>Opv.kohd.[[#This Row],[Talousarvion perusteella kohdentamattomat]]+Opv.kohd.[[#This Row],[Talousarvion perusteella työvoimakoulutus 1]]+Opv.kohd.[[#This Row],[Lisätalousarvioiden perusteella]]</f>
        <v>0</v>
      </c>
      <c r="Q21" s="204">
        <f>IFERROR(VLOOKUP(Opv.kohd.[[#This Row],[Y-tunnus]],#REF!,COLUMN(#REF!),FALSE),0)</f>
        <v>0</v>
      </c>
      <c r="R21" s="210">
        <f>IFERROR(VLOOKUP(Opv.kohd.[[#This Row],[Y-tunnus]],#REF!,COLUMN(#REF!),FALSE)-(Opv.kohd.[[#This Row],[Kohdentamaton työvoima-koulutus 2]]+Opv.kohd.[[#This Row],[Maahan-muuttajien koulutus 2]]+Opv.kohd.[[#This Row],[Lisätalousarvioiden perusteella jaetut 2]]),0)</f>
        <v>0</v>
      </c>
      <c r="S21" s="210">
        <f>IFERROR(VLOOKUP(Opv.kohd.[[#This Row],[Y-tunnus]],#REF!,COLUMN(#REF!),FALSE)+VLOOKUP(Opv.kohd.[[#This Row],[Y-tunnus]],#REF!,COLUMN(#REF!),FALSE),0)</f>
        <v>0</v>
      </c>
      <c r="T21" s="210">
        <f>IFERROR(VLOOKUP(Opv.kohd.[[#This Row],[Y-tunnus]],#REF!,COLUMN(#REF!),FALSE)+VLOOKUP(Opv.kohd.[[#This Row],[Y-tunnus]],#REF!,COLUMN(#REF!),FALSE),0)</f>
        <v>0</v>
      </c>
      <c r="U2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21" s="210">
        <f>Opv.kohd.[[#This Row],[Kohdentamat-tomat 2]]+Opv.kohd.[[#This Row],[Kohdentamaton työvoima-koulutus 2]]+Opv.kohd.[[#This Row],[Maahan-muuttajien koulutus 2]]+Opv.kohd.[[#This Row],[Lisätalousarvioiden perusteella jaetut 2]]</f>
        <v>0</v>
      </c>
      <c r="W21" s="210">
        <f>Opv.kohd.[[#This Row],[Kohdentamat-tomat 2]]-(Opv.kohd.[[#This Row],[Järjestämisluvan mukaiset 1]]+Opv.kohd.[[#This Row],[Kohdentamat-tomat 1]]+Opv.kohd.[[#This Row],[Nuorisotyöt. väh. ja osaamistarp. vast., muu kuin työvoima-koulutus 1]]+Opv.kohd.[[#This Row],[Talousarvion perusteella kohdentamattomat]])</f>
        <v>0</v>
      </c>
      <c r="X21" s="210">
        <f>Opv.kohd.[[#This Row],[Kohdentamaton työvoima-koulutus 2]]-(Opv.kohd.[[#This Row],[Työvoima-koulutus 1]]+Opv.kohd.[[#This Row],[Nuorisotyöt. väh. ja osaamistarp. vast., työvoima-koulutus 1]]+Opv.kohd.[[#This Row],[Talousarvion perusteella työvoimakoulutus 1]])</f>
        <v>0</v>
      </c>
      <c r="Y21" s="210">
        <f>Opv.kohd.[[#This Row],[Maahan-muuttajien koulutus 2]]-Opv.kohd.[[#This Row],[Maahan-muuttajien koulutus 1]]</f>
        <v>0</v>
      </c>
      <c r="Z21" s="210">
        <f>Opv.kohd.[[#This Row],[Lisätalousarvioiden perusteella jaetut 2]]-Opv.kohd.[[#This Row],[Lisätalousarvioiden perusteella]]</f>
        <v>0</v>
      </c>
      <c r="AA21" s="210">
        <f>Opv.kohd.[[#This Row],[Toteutuneet opiskelijavuodet yhteensä 2]]-Opv.kohd.[[#This Row],[Vuoden 2018 tavoitteelliset opiskelijavuodet yhteensä 1]]</f>
        <v>0</v>
      </c>
      <c r="AB21" s="207">
        <f>IFERROR(VLOOKUP(Opv.kohd.[[#This Row],[Y-tunnus]],#REF!,3,FALSE),0)</f>
        <v>0</v>
      </c>
      <c r="AC21" s="207">
        <f>IFERROR(VLOOKUP(Opv.kohd.[[#This Row],[Y-tunnus]],#REF!,4,FALSE),0)</f>
        <v>0</v>
      </c>
      <c r="AD21" s="207">
        <f>IFERROR(VLOOKUP(Opv.kohd.[[#This Row],[Y-tunnus]],#REF!,5,FALSE),0)</f>
        <v>0</v>
      </c>
      <c r="AE21" s="207">
        <f>IFERROR(VLOOKUP(Opv.kohd.[[#This Row],[Y-tunnus]],#REF!,6,FALSE),0)</f>
        <v>0</v>
      </c>
      <c r="AF21" s="207">
        <f>IFERROR(VLOOKUP(Opv.kohd.[[#This Row],[Y-tunnus]],#REF!,7,FALSE),0)</f>
        <v>0</v>
      </c>
      <c r="AG21" s="207">
        <f>IFERROR(VLOOKUP(Opv.kohd.[[#This Row],[Y-tunnus]],#REF!,8,FALSE),0)</f>
        <v>0</v>
      </c>
      <c r="AH21" s="207">
        <f>IFERROR(VLOOKUP(Opv.kohd.[[#This Row],[Y-tunnus]],#REF!,9,FALSE),0)</f>
        <v>0</v>
      </c>
      <c r="AI21" s="207">
        <f>IFERROR(VLOOKUP(Opv.kohd.[[#This Row],[Y-tunnus]],#REF!,10,FALSE),0)</f>
        <v>0</v>
      </c>
      <c r="AJ21" s="204">
        <f>Opv.kohd.[[#This Row],[Järjestämisluvan mukaiset 4]]-Opv.kohd.[[#This Row],[Järjestämisluvan mukaiset 1]]</f>
        <v>0</v>
      </c>
      <c r="AK21" s="204">
        <f>Opv.kohd.[[#This Row],[Kohdentamat-tomat 4]]-Opv.kohd.[[#This Row],[Kohdentamat-tomat 1]]</f>
        <v>0</v>
      </c>
      <c r="AL21" s="204">
        <f>Opv.kohd.[[#This Row],[Työvoima-koulutus 4]]-Opv.kohd.[[#This Row],[Työvoima-koulutus 1]]</f>
        <v>0</v>
      </c>
      <c r="AM21" s="204">
        <f>Opv.kohd.[[#This Row],[Maahan-muuttajien koulutus 4]]-Opv.kohd.[[#This Row],[Maahan-muuttajien koulutus 1]]</f>
        <v>0</v>
      </c>
      <c r="AN21" s="204">
        <f>Opv.kohd.[[#This Row],[Nuorisotyöt. väh. ja osaamistarp. vast., muu kuin työvoima-koulutus 4]]-Opv.kohd.[[#This Row],[Nuorisotyöt. väh. ja osaamistarp. vast., muu kuin työvoima-koulutus 1]]</f>
        <v>0</v>
      </c>
      <c r="AO21" s="204">
        <f>Opv.kohd.[[#This Row],[Nuorisotyöt. väh. ja osaamistarp. vast., työvoima-koulutus 4]]-Opv.kohd.[[#This Row],[Nuorisotyöt. väh. ja osaamistarp. vast., työvoima-koulutus 1]]</f>
        <v>0</v>
      </c>
      <c r="AP21" s="204">
        <f>Opv.kohd.[[#This Row],[Yhteensä 4]]-Opv.kohd.[[#This Row],[Yhteensä  1]]</f>
        <v>0</v>
      </c>
      <c r="AQ21" s="204">
        <f>Opv.kohd.[[#This Row],[Ensikertaisella suoritepäätöksellä jaetut tavoitteelliset opiskelijavuodet yhteensä 4]]-Opv.kohd.[[#This Row],[Ensikertaisella suoritepäätöksellä jaetut tavoitteelliset opiskelijavuodet yhteensä 1]]</f>
        <v>0</v>
      </c>
      <c r="AR21" s="208">
        <f>IFERROR(Opv.kohd.[[#This Row],[Järjestämisluvan mukaiset 5]]/Opv.kohd.[[#This Row],[Järjestämisluvan mukaiset 4]],0)</f>
        <v>0</v>
      </c>
      <c r="AS21" s="208">
        <f>IFERROR(Opv.kohd.[[#This Row],[Kohdentamat-tomat 5]]/Opv.kohd.[[#This Row],[Kohdentamat-tomat 4]],0)</f>
        <v>0</v>
      </c>
      <c r="AT21" s="208">
        <f>IFERROR(Opv.kohd.[[#This Row],[Työvoima-koulutus 5]]/Opv.kohd.[[#This Row],[Työvoima-koulutus 4]],0)</f>
        <v>0</v>
      </c>
      <c r="AU21" s="208">
        <f>IFERROR(Opv.kohd.[[#This Row],[Maahan-muuttajien koulutus 5]]/Opv.kohd.[[#This Row],[Maahan-muuttajien koulutus 4]],0)</f>
        <v>0</v>
      </c>
      <c r="AV21" s="208">
        <f>IFERROR(Opv.kohd.[[#This Row],[Nuorisotyöt. väh. ja osaamistarp. vast., muu kuin työvoima-koulutus 5]]/Opv.kohd.[[#This Row],[Nuorisotyöt. väh. ja osaamistarp. vast., muu kuin työvoima-koulutus 4]],0)</f>
        <v>0</v>
      </c>
      <c r="AW21" s="208">
        <f>IFERROR(Opv.kohd.[[#This Row],[Nuorisotyöt. väh. ja osaamistarp. vast., työvoima-koulutus 5]]/Opv.kohd.[[#This Row],[Nuorisotyöt. väh. ja osaamistarp. vast., työvoima-koulutus 4]],0)</f>
        <v>0</v>
      </c>
      <c r="AX21" s="208">
        <f>IFERROR(Opv.kohd.[[#This Row],[Yhteensä 5]]/Opv.kohd.[[#This Row],[Yhteensä 4]],0)</f>
        <v>0</v>
      </c>
      <c r="AY21" s="208">
        <f>IFERROR(Opv.kohd.[[#This Row],[Ensikertaisella suoritepäätöksellä jaetut tavoitteelliset opiskelijavuodet yhteensä 5]]/Opv.kohd.[[#This Row],[Ensikertaisella suoritepäätöksellä jaetut tavoitteelliset opiskelijavuodet yhteensä 4]],0)</f>
        <v>0</v>
      </c>
      <c r="AZ21" s="207">
        <f>Opv.kohd.[[#This Row],[Yhteensä 7a]]-Opv.kohd.[[#This Row],[Työvoima-koulutus 7a]]</f>
        <v>0</v>
      </c>
      <c r="BA21" s="207">
        <f>IFERROR(VLOOKUP(Opv.kohd.[[#This Row],[Y-tunnus]],#REF!,COLUMN(#REF!),FALSE),0)</f>
        <v>0</v>
      </c>
      <c r="BB21" s="207">
        <f>IFERROR(VLOOKUP(Opv.kohd.[[#This Row],[Y-tunnus]],#REF!,COLUMN(#REF!),FALSE),0)</f>
        <v>0</v>
      </c>
      <c r="BC21" s="207">
        <f>Opv.kohd.[[#This Row],[Muu kuin työvoima-koulutus 7c]]-Opv.kohd.[[#This Row],[Muu kuin työvoima-koulutus 7a]]</f>
        <v>0</v>
      </c>
      <c r="BD21" s="207">
        <f>Opv.kohd.[[#This Row],[Työvoima-koulutus 7c]]-Opv.kohd.[[#This Row],[Työvoima-koulutus 7a]]</f>
        <v>0</v>
      </c>
      <c r="BE21" s="207">
        <f>Opv.kohd.[[#This Row],[Yhteensä 7c]]-Opv.kohd.[[#This Row],[Yhteensä 7a]]</f>
        <v>0</v>
      </c>
      <c r="BF21" s="207">
        <f>Opv.kohd.[[#This Row],[Yhteensä 7c]]-Opv.kohd.[[#This Row],[Työvoima-koulutus 7c]]</f>
        <v>0</v>
      </c>
      <c r="BG21" s="207">
        <f>IFERROR(VLOOKUP(Opv.kohd.[[#This Row],[Y-tunnus]],#REF!,COLUMN(#REF!),FALSE),0)</f>
        <v>0</v>
      </c>
      <c r="BH21" s="207">
        <f>IFERROR(VLOOKUP(Opv.kohd.[[#This Row],[Y-tunnus]],#REF!,COLUMN(#REF!),FALSE),0)</f>
        <v>0</v>
      </c>
      <c r="BI21" s="207">
        <f>IFERROR(VLOOKUP(Opv.kohd.[[#This Row],[Y-tunnus]],#REF!,COLUMN(#REF!),FALSE),0)</f>
        <v>0</v>
      </c>
      <c r="BJ21" s="207">
        <f>IFERROR(VLOOKUP(Opv.kohd.[[#This Row],[Y-tunnus]],#REF!,COLUMN(#REF!),FALSE),0)</f>
        <v>0</v>
      </c>
      <c r="BK21" s="207">
        <f>Opv.kohd.[[#This Row],[Muu kuin työvoima-koulutus 7d]]+Opv.kohd.[[#This Row],[Työvoima-koulutus 7d]]</f>
        <v>0</v>
      </c>
      <c r="BL21" s="207">
        <f>Opv.kohd.[[#This Row],[Muu kuin työvoima-koulutus 7c]]-Opv.kohd.[[#This Row],[Muu kuin työvoima-koulutus 7d]]</f>
        <v>0</v>
      </c>
      <c r="BM21" s="207">
        <f>Opv.kohd.[[#This Row],[Työvoima-koulutus 7c]]-Opv.kohd.[[#This Row],[Työvoima-koulutus 7d]]</f>
        <v>0</v>
      </c>
      <c r="BN21" s="207">
        <f>Opv.kohd.[[#This Row],[Yhteensä 7c]]-Opv.kohd.[[#This Row],[Yhteensä 7d]]</f>
        <v>0</v>
      </c>
      <c r="BO21" s="207">
        <f>Opv.kohd.[[#This Row],[Muu kuin työvoima-koulutus 7e]]-(Opv.kohd.[[#This Row],[Järjestämisluvan mukaiset 4]]+Opv.kohd.[[#This Row],[Kohdentamat-tomat 4]]+Opv.kohd.[[#This Row],[Maahan-muuttajien koulutus 4]]+Opv.kohd.[[#This Row],[Nuorisotyöt. väh. ja osaamistarp. vast., muu kuin työvoima-koulutus 4]])</f>
        <v>0</v>
      </c>
      <c r="BP21" s="207">
        <f>Opv.kohd.[[#This Row],[Työvoima-koulutus 7e]]-(Opv.kohd.[[#This Row],[Työvoima-koulutus 4]]+Opv.kohd.[[#This Row],[Nuorisotyöt. väh. ja osaamistarp. vast., työvoima-koulutus 4]])</f>
        <v>0</v>
      </c>
      <c r="BQ21" s="207">
        <f>Opv.kohd.[[#This Row],[Yhteensä 7e]]-Opv.kohd.[[#This Row],[Ensikertaisella suoritepäätöksellä jaetut tavoitteelliset opiskelijavuodet yhteensä 4]]</f>
        <v>0</v>
      </c>
      <c r="BR21" s="263">
        <v>0</v>
      </c>
      <c r="BS21" s="263">
        <v>245</v>
      </c>
      <c r="BT21" s="263">
        <v>0</v>
      </c>
      <c r="BU21" s="263">
        <v>0</v>
      </c>
      <c r="BV21" s="263">
        <v>0</v>
      </c>
      <c r="BW21" s="263">
        <v>0</v>
      </c>
      <c r="BX21" s="263">
        <v>245</v>
      </c>
      <c r="BY21" s="263">
        <v>245</v>
      </c>
      <c r="BZ21" s="207">
        <f t="shared" si="2"/>
        <v>0</v>
      </c>
      <c r="CA21" s="207">
        <f t="shared" si="3"/>
        <v>245</v>
      </c>
      <c r="CB21" s="207">
        <f t="shared" si="4"/>
        <v>0</v>
      </c>
      <c r="CC21" s="207">
        <f t="shared" si="5"/>
        <v>0</v>
      </c>
      <c r="CD21" s="207">
        <f t="shared" si="6"/>
        <v>0</v>
      </c>
      <c r="CE21" s="207">
        <f t="shared" si="7"/>
        <v>0</v>
      </c>
      <c r="CF21" s="207">
        <f t="shared" si="8"/>
        <v>245</v>
      </c>
      <c r="CG21" s="207">
        <f t="shared" si="9"/>
        <v>245</v>
      </c>
      <c r="CH21" s="207">
        <f>Opv.kohd.[[#This Row],[Tavoitteelliset opiskelijavuodet yhteensä 9]]-Opv.kohd.[[#This Row],[Työvoima-koulutus 9]]-Opv.kohd.[[#This Row],[Nuorisotyöt. väh. ja osaamistarp. vast., työvoima-koulutus 9]]-Opv.kohd.[[#This Row],[Muu kuin työvoima-koulutus 7e]]</f>
        <v>245</v>
      </c>
      <c r="CI21" s="207">
        <f>(Opv.kohd.[[#This Row],[Työvoima-koulutus 9]]+Opv.kohd.[[#This Row],[Nuorisotyöt. väh. ja osaamistarp. vast., työvoima-koulutus 9]])-Opv.kohd.[[#This Row],[Työvoima-koulutus 7e]]</f>
        <v>0</v>
      </c>
      <c r="CJ21" s="207">
        <f>Opv.kohd.[[#This Row],[Tavoitteelliset opiskelijavuodet yhteensä 9]]-Opv.kohd.[[#This Row],[Yhteensä 7e]]</f>
        <v>245</v>
      </c>
      <c r="CK21" s="207">
        <f>Opv.kohd.[[#This Row],[Järjestämisluvan mukaiset 4]]+Opv.kohd.[[#This Row],[Järjestämisluvan mukaiset 13]]</f>
        <v>0</v>
      </c>
      <c r="CL21" s="207">
        <f>Opv.kohd.[[#This Row],[Kohdentamat-tomat 4]]+Opv.kohd.[[#This Row],[Kohdentamat-tomat 13]]</f>
        <v>0</v>
      </c>
      <c r="CM21" s="207">
        <f>Opv.kohd.[[#This Row],[Työvoima-koulutus 4]]+Opv.kohd.[[#This Row],[Työvoima-koulutus 13]]</f>
        <v>0</v>
      </c>
      <c r="CN21" s="207">
        <f>Opv.kohd.[[#This Row],[Maahan-muuttajien koulutus 4]]+Opv.kohd.[[#This Row],[Maahan-muuttajien koulutus 13]]</f>
        <v>0</v>
      </c>
      <c r="CO21" s="207">
        <f>Opv.kohd.[[#This Row],[Nuorisotyöt. väh. ja osaamistarp. vast., muu kuin työvoima-koulutus 4]]+Opv.kohd.[[#This Row],[Nuorisotyöt. väh. ja osaamistarp. vast., muu kuin työvoima-koulutus 13]]</f>
        <v>0</v>
      </c>
      <c r="CP21" s="207">
        <f>Opv.kohd.[[#This Row],[Nuorisotyöt. väh. ja osaamistarp. vast., työvoima-koulutus 4]]+Opv.kohd.[[#This Row],[Nuorisotyöt. väh. ja osaamistarp. vast., työvoima-koulutus 13]]</f>
        <v>0</v>
      </c>
      <c r="CQ21" s="207">
        <f>Opv.kohd.[[#This Row],[Yhteensä 4]]+Opv.kohd.[[#This Row],[Yhteensä 13]]</f>
        <v>0</v>
      </c>
      <c r="CR21" s="207">
        <f>Opv.kohd.[[#This Row],[Ensikertaisella suoritepäätöksellä jaetut tavoitteelliset opiskelijavuodet yhteensä 4]]+Opv.kohd.[[#This Row],[Tavoitteelliset opiskelijavuodet yhteensä 13]]</f>
        <v>0</v>
      </c>
      <c r="CS21" s="120">
        <v>0</v>
      </c>
      <c r="CT21" s="120">
        <v>0</v>
      </c>
      <c r="CU21" s="120">
        <v>0</v>
      </c>
      <c r="CV21" s="120">
        <v>0</v>
      </c>
      <c r="CW21" s="120">
        <v>0</v>
      </c>
      <c r="CX21" s="120">
        <v>0</v>
      </c>
      <c r="CY21" s="120">
        <v>0</v>
      </c>
      <c r="CZ21" s="120">
        <v>0</v>
      </c>
      <c r="DA21" s="209">
        <f>IFERROR(Opv.kohd.[[#This Row],[Järjestämisluvan mukaiset 13]]/Opv.kohd.[[#This Row],[Järjestämisluvan mukaiset 12]],0)</f>
        <v>0</v>
      </c>
      <c r="DB21" s="209">
        <f>IFERROR(Opv.kohd.[[#This Row],[Kohdentamat-tomat 13]]/Opv.kohd.[[#This Row],[Kohdentamat-tomat 12]],0)</f>
        <v>0</v>
      </c>
      <c r="DC21" s="209">
        <f>IFERROR(Opv.kohd.[[#This Row],[Työvoima-koulutus 13]]/Opv.kohd.[[#This Row],[Työvoima-koulutus 12]],0)</f>
        <v>0</v>
      </c>
      <c r="DD21" s="209">
        <f>IFERROR(Opv.kohd.[[#This Row],[Maahan-muuttajien koulutus 13]]/Opv.kohd.[[#This Row],[Maahan-muuttajien koulutus 12]],0)</f>
        <v>0</v>
      </c>
      <c r="DE21" s="209">
        <f>IFERROR(Opv.kohd.[[#This Row],[Nuorisotyöt. väh. ja osaamistarp. vast., muu kuin työvoima-koulutus 13]]/Opv.kohd.[[#This Row],[Nuorisotyöt. väh. ja osaamistarp. vast., muu kuin työvoima-koulutus 12]],0)</f>
        <v>0</v>
      </c>
      <c r="DF21" s="209">
        <f>IFERROR(Opv.kohd.[[#This Row],[Nuorisotyöt. väh. ja osaamistarp. vast., työvoima-koulutus 13]]/Opv.kohd.[[#This Row],[Nuorisotyöt. väh. ja osaamistarp. vast., työvoima-koulutus 12]],0)</f>
        <v>0</v>
      </c>
      <c r="DG21" s="209">
        <f>IFERROR(Opv.kohd.[[#This Row],[Yhteensä 13]]/Opv.kohd.[[#This Row],[Yhteensä 12]],0)</f>
        <v>0</v>
      </c>
      <c r="DH21" s="209">
        <f>IFERROR(Opv.kohd.[[#This Row],[Tavoitteelliset opiskelijavuodet yhteensä 13]]/Opv.kohd.[[#This Row],[Tavoitteelliset opiskelijavuodet yhteensä 12]],0)</f>
        <v>0</v>
      </c>
      <c r="DI21" s="207">
        <f>Opv.kohd.[[#This Row],[Järjestämisluvan mukaiset 12]]-Opv.kohd.[[#This Row],[Järjestämisluvan mukaiset 9]]</f>
        <v>0</v>
      </c>
      <c r="DJ21" s="207">
        <f>Opv.kohd.[[#This Row],[Kohdentamat-tomat 12]]-Opv.kohd.[[#This Row],[Kohdentamat-tomat 9]]</f>
        <v>-245</v>
      </c>
      <c r="DK21" s="207">
        <f>Opv.kohd.[[#This Row],[Työvoima-koulutus 12]]-Opv.kohd.[[#This Row],[Työvoima-koulutus 9]]</f>
        <v>0</v>
      </c>
      <c r="DL21" s="207">
        <f>Opv.kohd.[[#This Row],[Maahan-muuttajien koulutus 12]]-Opv.kohd.[[#This Row],[Maahan-muuttajien koulutus 9]]</f>
        <v>0</v>
      </c>
      <c r="DM21" s="207">
        <f>Opv.kohd.[[#This Row],[Nuorisotyöt. väh. ja osaamistarp. vast., muu kuin työvoima-koulutus 12]]-Opv.kohd.[[#This Row],[Nuorisotyöt. väh. ja osaamistarp. vast., muu kuin työvoima-koulutus 9]]</f>
        <v>0</v>
      </c>
      <c r="DN21" s="207">
        <f>Opv.kohd.[[#This Row],[Nuorisotyöt. väh. ja osaamistarp. vast., työvoima-koulutus 12]]-Opv.kohd.[[#This Row],[Nuorisotyöt. väh. ja osaamistarp. vast., työvoima-koulutus 9]]</f>
        <v>0</v>
      </c>
      <c r="DO21" s="207">
        <f>Opv.kohd.[[#This Row],[Yhteensä 12]]-Opv.kohd.[[#This Row],[Yhteensä 9]]</f>
        <v>-245</v>
      </c>
      <c r="DP21" s="207">
        <f>Opv.kohd.[[#This Row],[Tavoitteelliset opiskelijavuodet yhteensä 12]]-Opv.kohd.[[#This Row],[Tavoitteelliset opiskelijavuodet yhteensä 9]]</f>
        <v>-245</v>
      </c>
      <c r="DQ21" s="209">
        <f>IFERROR(Opv.kohd.[[#This Row],[Järjestämisluvan mukaiset 15]]/Opv.kohd.[[#This Row],[Järjestämisluvan mukaiset 9]],0)</f>
        <v>0</v>
      </c>
      <c r="DR21" s="209">
        <f t="shared" si="10"/>
        <v>0</v>
      </c>
      <c r="DS21" s="209">
        <f t="shared" si="11"/>
        <v>0</v>
      </c>
      <c r="DT21" s="209">
        <f t="shared" si="12"/>
        <v>0</v>
      </c>
      <c r="DU21" s="209">
        <f t="shared" si="13"/>
        <v>0</v>
      </c>
      <c r="DV21" s="209">
        <f t="shared" si="14"/>
        <v>0</v>
      </c>
      <c r="DW21" s="209">
        <f t="shared" si="15"/>
        <v>0</v>
      </c>
      <c r="DX21" s="209">
        <f t="shared" si="16"/>
        <v>0</v>
      </c>
    </row>
    <row r="22" spans="1:128" x14ac:dyDescent="0.25">
      <c r="A22" s="204" t="e">
        <f>IF(INDEX(#REF!,ROW(22:22)-1,1)=0,"",INDEX(#REF!,ROW(22:22)-1,1))</f>
        <v>#REF!</v>
      </c>
      <c r="B22" s="205" t="str">
        <f>IFERROR(VLOOKUP(Opv.kohd.[[#This Row],[Y-tunnus]],'0 Järjestäjätiedot'!$A:$H,2,FALSE),"")</f>
        <v/>
      </c>
      <c r="C22" s="204" t="str">
        <f>IFERROR(VLOOKUP(Opv.kohd.[[#This Row],[Y-tunnus]],'0 Järjestäjätiedot'!$A:$H,COLUMN('0 Järjestäjätiedot'!D:D),FALSE),"")</f>
        <v/>
      </c>
      <c r="D22" s="204" t="str">
        <f>IFERROR(VLOOKUP(Opv.kohd.[[#This Row],[Y-tunnus]],'0 Järjestäjätiedot'!$A:$H,COLUMN('0 Järjestäjätiedot'!H:H),FALSE),"")</f>
        <v/>
      </c>
      <c r="E22" s="204">
        <f>IFERROR(VLOOKUP(Opv.kohd.[[#This Row],[Y-tunnus]],#REF!,COLUMN(#REF!),FALSE),0)</f>
        <v>0</v>
      </c>
      <c r="F22" s="204">
        <f>IFERROR(VLOOKUP(Opv.kohd.[[#This Row],[Y-tunnus]],#REF!,COLUMN(#REF!),FALSE),0)</f>
        <v>0</v>
      </c>
      <c r="G22" s="204">
        <f>IFERROR(VLOOKUP(Opv.kohd.[[#This Row],[Y-tunnus]],#REF!,COLUMN(#REF!),FALSE),0)</f>
        <v>0</v>
      </c>
      <c r="H22" s="204">
        <f>IFERROR(VLOOKUP(Opv.kohd.[[#This Row],[Y-tunnus]],#REF!,COLUMN(#REF!),FALSE),0)</f>
        <v>0</v>
      </c>
      <c r="I22" s="204">
        <f>IFERROR(VLOOKUP(Opv.kohd.[[#This Row],[Y-tunnus]],#REF!,COLUMN(#REF!),FALSE),0)</f>
        <v>0</v>
      </c>
      <c r="J22" s="204">
        <f>IFERROR(VLOOKUP(Opv.kohd.[[#This Row],[Y-tunnus]],#REF!,COLUMN(#REF!),FALSE),0)</f>
        <v>0</v>
      </c>
      <c r="K2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22" s="204">
        <f>Opv.kohd.[[#This Row],[Järjestämisluvan mukaiset 1]]+Opv.kohd.[[#This Row],[Yhteensä  1]]</f>
        <v>0</v>
      </c>
      <c r="M22" s="204">
        <f>IFERROR(VLOOKUP(Opv.kohd.[[#This Row],[Y-tunnus]],#REF!,COLUMN(#REF!),FALSE),0)</f>
        <v>0</v>
      </c>
      <c r="N22" s="204">
        <f>IFERROR(VLOOKUP(Opv.kohd.[[#This Row],[Y-tunnus]],#REF!,COLUMN(#REF!),FALSE),0)</f>
        <v>0</v>
      </c>
      <c r="O22" s="204">
        <f>IFERROR(VLOOKUP(Opv.kohd.[[#This Row],[Y-tunnus]],#REF!,COLUMN(#REF!),FALSE)+VLOOKUP(Opv.kohd.[[#This Row],[Y-tunnus]],#REF!,COLUMN(#REF!),FALSE),0)</f>
        <v>0</v>
      </c>
      <c r="P22" s="204">
        <f>Opv.kohd.[[#This Row],[Talousarvion perusteella kohdentamattomat]]+Opv.kohd.[[#This Row],[Talousarvion perusteella työvoimakoulutus 1]]+Opv.kohd.[[#This Row],[Lisätalousarvioiden perusteella]]</f>
        <v>0</v>
      </c>
      <c r="Q22" s="204">
        <f>IFERROR(VLOOKUP(Opv.kohd.[[#This Row],[Y-tunnus]],#REF!,COLUMN(#REF!),FALSE),0)</f>
        <v>0</v>
      </c>
      <c r="R22" s="210">
        <f>IFERROR(VLOOKUP(Opv.kohd.[[#This Row],[Y-tunnus]],#REF!,COLUMN(#REF!),FALSE)-(Opv.kohd.[[#This Row],[Kohdentamaton työvoima-koulutus 2]]+Opv.kohd.[[#This Row],[Maahan-muuttajien koulutus 2]]+Opv.kohd.[[#This Row],[Lisätalousarvioiden perusteella jaetut 2]]),0)</f>
        <v>0</v>
      </c>
      <c r="S22" s="210">
        <f>IFERROR(VLOOKUP(Opv.kohd.[[#This Row],[Y-tunnus]],#REF!,COLUMN(#REF!),FALSE)+VLOOKUP(Opv.kohd.[[#This Row],[Y-tunnus]],#REF!,COLUMN(#REF!),FALSE),0)</f>
        <v>0</v>
      </c>
      <c r="T22" s="210">
        <f>IFERROR(VLOOKUP(Opv.kohd.[[#This Row],[Y-tunnus]],#REF!,COLUMN(#REF!),FALSE)+VLOOKUP(Opv.kohd.[[#This Row],[Y-tunnus]],#REF!,COLUMN(#REF!),FALSE),0)</f>
        <v>0</v>
      </c>
      <c r="U2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22" s="210">
        <f>Opv.kohd.[[#This Row],[Kohdentamat-tomat 2]]+Opv.kohd.[[#This Row],[Kohdentamaton työvoima-koulutus 2]]+Opv.kohd.[[#This Row],[Maahan-muuttajien koulutus 2]]+Opv.kohd.[[#This Row],[Lisätalousarvioiden perusteella jaetut 2]]</f>
        <v>0</v>
      </c>
      <c r="W22" s="210">
        <f>Opv.kohd.[[#This Row],[Kohdentamat-tomat 2]]-(Opv.kohd.[[#This Row],[Järjestämisluvan mukaiset 1]]+Opv.kohd.[[#This Row],[Kohdentamat-tomat 1]]+Opv.kohd.[[#This Row],[Nuorisotyöt. väh. ja osaamistarp. vast., muu kuin työvoima-koulutus 1]]+Opv.kohd.[[#This Row],[Talousarvion perusteella kohdentamattomat]])</f>
        <v>0</v>
      </c>
      <c r="X22" s="210">
        <f>Opv.kohd.[[#This Row],[Kohdentamaton työvoima-koulutus 2]]-(Opv.kohd.[[#This Row],[Työvoima-koulutus 1]]+Opv.kohd.[[#This Row],[Nuorisotyöt. väh. ja osaamistarp. vast., työvoima-koulutus 1]]+Opv.kohd.[[#This Row],[Talousarvion perusteella työvoimakoulutus 1]])</f>
        <v>0</v>
      </c>
      <c r="Y22" s="210">
        <f>Opv.kohd.[[#This Row],[Maahan-muuttajien koulutus 2]]-Opv.kohd.[[#This Row],[Maahan-muuttajien koulutus 1]]</f>
        <v>0</v>
      </c>
      <c r="Z22" s="210">
        <f>Opv.kohd.[[#This Row],[Lisätalousarvioiden perusteella jaetut 2]]-Opv.kohd.[[#This Row],[Lisätalousarvioiden perusteella]]</f>
        <v>0</v>
      </c>
      <c r="AA22" s="210">
        <f>Opv.kohd.[[#This Row],[Toteutuneet opiskelijavuodet yhteensä 2]]-Opv.kohd.[[#This Row],[Vuoden 2018 tavoitteelliset opiskelijavuodet yhteensä 1]]</f>
        <v>0</v>
      </c>
      <c r="AB22" s="207">
        <f>IFERROR(VLOOKUP(Opv.kohd.[[#This Row],[Y-tunnus]],#REF!,3,FALSE),0)</f>
        <v>0</v>
      </c>
      <c r="AC22" s="207">
        <f>IFERROR(VLOOKUP(Opv.kohd.[[#This Row],[Y-tunnus]],#REF!,4,FALSE),0)</f>
        <v>0</v>
      </c>
      <c r="AD22" s="207">
        <f>IFERROR(VLOOKUP(Opv.kohd.[[#This Row],[Y-tunnus]],#REF!,5,FALSE),0)</f>
        <v>0</v>
      </c>
      <c r="AE22" s="207">
        <f>IFERROR(VLOOKUP(Opv.kohd.[[#This Row],[Y-tunnus]],#REF!,6,FALSE),0)</f>
        <v>0</v>
      </c>
      <c r="AF22" s="207">
        <f>IFERROR(VLOOKUP(Opv.kohd.[[#This Row],[Y-tunnus]],#REF!,7,FALSE),0)</f>
        <v>0</v>
      </c>
      <c r="AG22" s="207">
        <f>IFERROR(VLOOKUP(Opv.kohd.[[#This Row],[Y-tunnus]],#REF!,8,FALSE),0)</f>
        <v>0</v>
      </c>
      <c r="AH22" s="207">
        <f>IFERROR(VLOOKUP(Opv.kohd.[[#This Row],[Y-tunnus]],#REF!,9,FALSE),0)</f>
        <v>0</v>
      </c>
      <c r="AI22" s="207">
        <f>IFERROR(VLOOKUP(Opv.kohd.[[#This Row],[Y-tunnus]],#REF!,10,FALSE),0)</f>
        <v>0</v>
      </c>
      <c r="AJ22" s="204">
        <f>Opv.kohd.[[#This Row],[Järjestämisluvan mukaiset 4]]-Opv.kohd.[[#This Row],[Järjestämisluvan mukaiset 1]]</f>
        <v>0</v>
      </c>
      <c r="AK22" s="204">
        <f>Opv.kohd.[[#This Row],[Kohdentamat-tomat 4]]-Opv.kohd.[[#This Row],[Kohdentamat-tomat 1]]</f>
        <v>0</v>
      </c>
      <c r="AL22" s="204">
        <f>Opv.kohd.[[#This Row],[Työvoima-koulutus 4]]-Opv.kohd.[[#This Row],[Työvoima-koulutus 1]]</f>
        <v>0</v>
      </c>
      <c r="AM22" s="204">
        <f>Opv.kohd.[[#This Row],[Maahan-muuttajien koulutus 4]]-Opv.kohd.[[#This Row],[Maahan-muuttajien koulutus 1]]</f>
        <v>0</v>
      </c>
      <c r="AN22" s="204">
        <f>Opv.kohd.[[#This Row],[Nuorisotyöt. väh. ja osaamistarp. vast., muu kuin työvoima-koulutus 4]]-Opv.kohd.[[#This Row],[Nuorisotyöt. väh. ja osaamistarp. vast., muu kuin työvoima-koulutus 1]]</f>
        <v>0</v>
      </c>
      <c r="AO22" s="204">
        <f>Opv.kohd.[[#This Row],[Nuorisotyöt. väh. ja osaamistarp. vast., työvoima-koulutus 4]]-Opv.kohd.[[#This Row],[Nuorisotyöt. väh. ja osaamistarp. vast., työvoima-koulutus 1]]</f>
        <v>0</v>
      </c>
      <c r="AP22" s="204">
        <f>Opv.kohd.[[#This Row],[Yhteensä 4]]-Opv.kohd.[[#This Row],[Yhteensä  1]]</f>
        <v>0</v>
      </c>
      <c r="AQ22" s="204">
        <f>Opv.kohd.[[#This Row],[Ensikertaisella suoritepäätöksellä jaetut tavoitteelliset opiskelijavuodet yhteensä 4]]-Opv.kohd.[[#This Row],[Ensikertaisella suoritepäätöksellä jaetut tavoitteelliset opiskelijavuodet yhteensä 1]]</f>
        <v>0</v>
      </c>
      <c r="AR22" s="208">
        <f>IFERROR(Opv.kohd.[[#This Row],[Järjestämisluvan mukaiset 5]]/Opv.kohd.[[#This Row],[Järjestämisluvan mukaiset 4]],0)</f>
        <v>0</v>
      </c>
      <c r="AS22" s="208">
        <f>IFERROR(Opv.kohd.[[#This Row],[Kohdentamat-tomat 5]]/Opv.kohd.[[#This Row],[Kohdentamat-tomat 4]],0)</f>
        <v>0</v>
      </c>
      <c r="AT22" s="208">
        <f>IFERROR(Opv.kohd.[[#This Row],[Työvoima-koulutus 5]]/Opv.kohd.[[#This Row],[Työvoima-koulutus 4]],0)</f>
        <v>0</v>
      </c>
      <c r="AU22" s="208">
        <f>IFERROR(Opv.kohd.[[#This Row],[Maahan-muuttajien koulutus 5]]/Opv.kohd.[[#This Row],[Maahan-muuttajien koulutus 4]],0)</f>
        <v>0</v>
      </c>
      <c r="AV22" s="208">
        <f>IFERROR(Opv.kohd.[[#This Row],[Nuorisotyöt. väh. ja osaamistarp. vast., muu kuin työvoima-koulutus 5]]/Opv.kohd.[[#This Row],[Nuorisotyöt. väh. ja osaamistarp. vast., muu kuin työvoima-koulutus 4]],0)</f>
        <v>0</v>
      </c>
      <c r="AW22" s="208">
        <f>IFERROR(Opv.kohd.[[#This Row],[Nuorisotyöt. väh. ja osaamistarp. vast., työvoima-koulutus 5]]/Opv.kohd.[[#This Row],[Nuorisotyöt. väh. ja osaamistarp. vast., työvoima-koulutus 4]],0)</f>
        <v>0</v>
      </c>
      <c r="AX22" s="208">
        <f>IFERROR(Opv.kohd.[[#This Row],[Yhteensä 5]]/Opv.kohd.[[#This Row],[Yhteensä 4]],0)</f>
        <v>0</v>
      </c>
      <c r="AY22" s="208">
        <f>IFERROR(Opv.kohd.[[#This Row],[Ensikertaisella suoritepäätöksellä jaetut tavoitteelliset opiskelijavuodet yhteensä 5]]/Opv.kohd.[[#This Row],[Ensikertaisella suoritepäätöksellä jaetut tavoitteelliset opiskelijavuodet yhteensä 4]],0)</f>
        <v>0</v>
      </c>
      <c r="AZ22" s="207">
        <f>Opv.kohd.[[#This Row],[Yhteensä 7a]]-Opv.kohd.[[#This Row],[Työvoima-koulutus 7a]]</f>
        <v>0</v>
      </c>
      <c r="BA22" s="207">
        <f>IFERROR(VLOOKUP(Opv.kohd.[[#This Row],[Y-tunnus]],#REF!,COLUMN(#REF!),FALSE),0)</f>
        <v>0</v>
      </c>
      <c r="BB22" s="207">
        <f>IFERROR(VLOOKUP(Opv.kohd.[[#This Row],[Y-tunnus]],#REF!,COLUMN(#REF!),FALSE),0)</f>
        <v>0</v>
      </c>
      <c r="BC22" s="207">
        <f>Opv.kohd.[[#This Row],[Muu kuin työvoima-koulutus 7c]]-Opv.kohd.[[#This Row],[Muu kuin työvoima-koulutus 7a]]</f>
        <v>0</v>
      </c>
      <c r="BD22" s="207">
        <f>Opv.kohd.[[#This Row],[Työvoima-koulutus 7c]]-Opv.kohd.[[#This Row],[Työvoima-koulutus 7a]]</f>
        <v>0</v>
      </c>
      <c r="BE22" s="207">
        <f>Opv.kohd.[[#This Row],[Yhteensä 7c]]-Opv.kohd.[[#This Row],[Yhteensä 7a]]</f>
        <v>0</v>
      </c>
      <c r="BF22" s="207">
        <f>Opv.kohd.[[#This Row],[Yhteensä 7c]]-Opv.kohd.[[#This Row],[Työvoima-koulutus 7c]]</f>
        <v>0</v>
      </c>
      <c r="BG22" s="207">
        <f>IFERROR(VLOOKUP(Opv.kohd.[[#This Row],[Y-tunnus]],#REF!,COLUMN(#REF!),FALSE),0)</f>
        <v>0</v>
      </c>
      <c r="BH22" s="207">
        <f>IFERROR(VLOOKUP(Opv.kohd.[[#This Row],[Y-tunnus]],#REF!,COLUMN(#REF!),FALSE),0)</f>
        <v>0</v>
      </c>
      <c r="BI22" s="207">
        <f>IFERROR(VLOOKUP(Opv.kohd.[[#This Row],[Y-tunnus]],#REF!,COLUMN(#REF!),FALSE),0)</f>
        <v>0</v>
      </c>
      <c r="BJ22" s="207">
        <f>IFERROR(VLOOKUP(Opv.kohd.[[#This Row],[Y-tunnus]],#REF!,COLUMN(#REF!),FALSE),0)</f>
        <v>0</v>
      </c>
      <c r="BK22" s="207">
        <f>Opv.kohd.[[#This Row],[Muu kuin työvoima-koulutus 7d]]+Opv.kohd.[[#This Row],[Työvoima-koulutus 7d]]</f>
        <v>0</v>
      </c>
      <c r="BL22" s="207">
        <f>Opv.kohd.[[#This Row],[Muu kuin työvoima-koulutus 7c]]-Opv.kohd.[[#This Row],[Muu kuin työvoima-koulutus 7d]]</f>
        <v>0</v>
      </c>
      <c r="BM22" s="207">
        <f>Opv.kohd.[[#This Row],[Työvoima-koulutus 7c]]-Opv.kohd.[[#This Row],[Työvoima-koulutus 7d]]</f>
        <v>0</v>
      </c>
      <c r="BN22" s="207">
        <f>Opv.kohd.[[#This Row],[Yhteensä 7c]]-Opv.kohd.[[#This Row],[Yhteensä 7d]]</f>
        <v>0</v>
      </c>
      <c r="BO22" s="207">
        <f>Opv.kohd.[[#This Row],[Muu kuin työvoima-koulutus 7e]]-(Opv.kohd.[[#This Row],[Järjestämisluvan mukaiset 4]]+Opv.kohd.[[#This Row],[Kohdentamat-tomat 4]]+Opv.kohd.[[#This Row],[Maahan-muuttajien koulutus 4]]+Opv.kohd.[[#This Row],[Nuorisotyöt. väh. ja osaamistarp. vast., muu kuin työvoima-koulutus 4]])</f>
        <v>0</v>
      </c>
      <c r="BP22" s="207">
        <f>Opv.kohd.[[#This Row],[Työvoima-koulutus 7e]]-(Opv.kohd.[[#This Row],[Työvoima-koulutus 4]]+Opv.kohd.[[#This Row],[Nuorisotyöt. väh. ja osaamistarp. vast., työvoima-koulutus 4]])</f>
        <v>0</v>
      </c>
      <c r="BQ22" s="207">
        <f>Opv.kohd.[[#This Row],[Yhteensä 7e]]-Opv.kohd.[[#This Row],[Ensikertaisella suoritepäätöksellä jaetut tavoitteelliset opiskelijavuodet yhteensä 4]]</f>
        <v>0</v>
      </c>
      <c r="BR22" s="263">
        <v>108</v>
      </c>
      <c r="BS22" s="263">
        <v>7</v>
      </c>
      <c r="BT22" s="263">
        <v>0</v>
      </c>
      <c r="BU22" s="263">
        <v>0</v>
      </c>
      <c r="BV22" s="263">
        <v>0</v>
      </c>
      <c r="BW22" s="263">
        <v>0</v>
      </c>
      <c r="BX22" s="263">
        <v>7</v>
      </c>
      <c r="BY22" s="263">
        <v>115</v>
      </c>
      <c r="BZ22" s="207">
        <f t="shared" si="2"/>
        <v>108</v>
      </c>
      <c r="CA22" s="207">
        <f t="shared" si="3"/>
        <v>7</v>
      </c>
      <c r="CB22" s="207">
        <f t="shared" si="4"/>
        <v>0</v>
      </c>
      <c r="CC22" s="207">
        <f t="shared" si="5"/>
        <v>0</v>
      </c>
      <c r="CD22" s="207">
        <f t="shared" si="6"/>
        <v>0</v>
      </c>
      <c r="CE22" s="207">
        <f t="shared" si="7"/>
        <v>0</v>
      </c>
      <c r="CF22" s="207">
        <f t="shared" si="8"/>
        <v>7</v>
      </c>
      <c r="CG22" s="207">
        <f t="shared" si="9"/>
        <v>115</v>
      </c>
      <c r="CH22" s="207">
        <f>Opv.kohd.[[#This Row],[Tavoitteelliset opiskelijavuodet yhteensä 9]]-Opv.kohd.[[#This Row],[Työvoima-koulutus 9]]-Opv.kohd.[[#This Row],[Nuorisotyöt. väh. ja osaamistarp. vast., työvoima-koulutus 9]]-Opv.kohd.[[#This Row],[Muu kuin työvoima-koulutus 7e]]</f>
        <v>115</v>
      </c>
      <c r="CI22" s="207">
        <f>(Opv.kohd.[[#This Row],[Työvoima-koulutus 9]]+Opv.kohd.[[#This Row],[Nuorisotyöt. väh. ja osaamistarp. vast., työvoima-koulutus 9]])-Opv.kohd.[[#This Row],[Työvoima-koulutus 7e]]</f>
        <v>0</v>
      </c>
      <c r="CJ22" s="207">
        <f>Opv.kohd.[[#This Row],[Tavoitteelliset opiskelijavuodet yhteensä 9]]-Opv.kohd.[[#This Row],[Yhteensä 7e]]</f>
        <v>115</v>
      </c>
      <c r="CK22" s="207">
        <f>Opv.kohd.[[#This Row],[Järjestämisluvan mukaiset 4]]+Opv.kohd.[[#This Row],[Järjestämisluvan mukaiset 13]]</f>
        <v>0</v>
      </c>
      <c r="CL22" s="207">
        <f>Opv.kohd.[[#This Row],[Kohdentamat-tomat 4]]+Opv.kohd.[[#This Row],[Kohdentamat-tomat 13]]</f>
        <v>0</v>
      </c>
      <c r="CM22" s="207">
        <f>Opv.kohd.[[#This Row],[Työvoima-koulutus 4]]+Opv.kohd.[[#This Row],[Työvoima-koulutus 13]]</f>
        <v>0</v>
      </c>
      <c r="CN22" s="207">
        <f>Opv.kohd.[[#This Row],[Maahan-muuttajien koulutus 4]]+Opv.kohd.[[#This Row],[Maahan-muuttajien koulutus 13]]</f>
        <v>0</v>
      </c>
      <c r="CO22" s="207">
        <f>Opv.kohd.[[#This Row],[Nuorisotyöt. väh. ja osaamistarp. vast., muu kuin työvoima-koulutus 4]]+Opv.kohd.[[#This Row],[Nuorisotyöt. väh. ja osaamistarp. vast., muu kuin työvoima-koulutus 13]]</f>
        <v>0</v>
      </c>
      <c r="CP22" s="207">
        <f>Opv.kohd.[[#This Row],[Nuorisotyöt. väh. ja osaamistarp. vast., työvoima-koulutus 4]]+Opv.kohd.[[#This Row],[Nuorisotyöt. väh. ja osaamistarp. vast., työvoima-koulutus 13]]</f>
        <v>0</v>
      </c>
      <c r="CQ22" s="207">
        <f>Opv.kohd.[[#This Row],[Yhteensä 4]]+Opv.kohd.[[#This Row],[Yhteensä 13]]</f>
        <v>0</v>
      </c>
      <c r="CR22" s="207">
        <f>Opv.kohd.[[#This Row],[Ensikertaisella suoritepäätöksellä jaetut tavoitteelliset opiskelijavuodet yhteensä 4]]+Opv.kohd.[[#This Row],[Tavoitteelliset opiskelijavuodet yhteensä 13]]</f>
        <v>0</v>
      </c>
      <c r="CS22" s="120">
        <v>0</v>
      </c>
      <c r="CT22" s="120">
        <v>0</v>
      </c>
      <c r="CU22" s="120">
        <v>0</v>
      </c>
      <c r="CV22" s="120">
        <v>0</v>
      </c>
      <c r="CW22" s="120">
        <v>0</v>
      </c>
      <c r="CX22" s="120">
        <v>0</v>
      </c>
      <c r="CY22" s="120">
        <v>0</v>
      </c>
      <c r="CZ22" s="120">
        <v>0</v>
      </c>
      <c r="DA22" s="209">
        <f>IFERROR(Opv.kohd.[[#This Row],[Järjestämisluvan mukaiset 13]]/Opv.kohd.[[#This Row],[Järjestämisluvan mukaiset 12]],0)</f>
        <v>0</v>
      </c>
      <c r="DB22" s="209">
        <f>IFERROR(Opv.kohd.[[#This Row],[Kohdentamat-tomat 13]]/Opv.kohd.[[#This Row],[Kohdentamat-tomat 12]],0)</f>
        <v>0</v>
      </c>
      <c r="DC22" s="209">
        <f>IFERROR(Opv.kohd.[[#This Row],[Työvoima-koulutus 13]]/Opv.kohd.[[#This Row],[Työvoima-koulutus 12]],0)</f>
        <v>0</v>
      </c>
      <c r="DD22" s="209">
        <f>IFERROR(Opv.kohd.[[#This Row],[Maahan-muuttajien koulutus 13]]/Opv.kohd.[[#This Row],[Maahan-muuttajien koulutus 12]],0)</f>
        <v>0</v>
      </c>
      <c r="DE22" s="209">
        <f>IFERROR(Opv.kohd.[[#This Row],[Nuorisotyöt. väh. ja osaamistarp. vast., muu kuin työvoima-koulutus 13]]/Opv.kohd.[[#This Row],[Nuorisotyöt. väh. ja osaamistarp. vast., muu kuin työvoima-koulutus 12]],0)</f>
        <v>0</v>
      </c>
      <c r="DF22" s="209">
        <f>IFERROR(Opv.kohd.[[#This Row],[Nuorisotyöt. väh. ja osaamistarp. vast., työvoima-koulutus 13]]/Opv.kohd.[[#This Row],[Nuorisotyöt. väh. ja osaamistarp. vast., työvoima-koulutus 12]],0)</f>
        <v>0</v>
      </c>
      <c r="DG22" s="209">
        <f>IFERROR(Opv.kohd.[[#This Row],[Yhteensä 13]]/Opv.kohd.[[#This Row],[Yhteensä 12]],0)</f>
        <v>0</v>
      </c>
      <c r="DH22" s="209">
        <f>IFERROR(Opv.kohd.[[#This Row],[Tavoitteelliset opiskelijavuodet yhteensä 13]]/Opv.kohd.[[#This Row],[Tavoitteelliset opiskelijavuodet yhteensä 12]],0)</f>
        <v>0</v>
      </c>
      <c r="DI22" s="207">
        <f>Opv.kohd.[[#This Row],[Järjestämisluvan mukaiset 12]]-Opv.kohd.[[#This Row],[Järjestämisluvan mukaiset 9]]</f>
        <v>-108</v>
      </c>
      <c r="DJ22" s="207">
        <f>Opv.kohd.[[#This Row],[Kohdentamat-tomat 12]]-Opv.kohd.[[#This Row],[Kohdentamat-tomat 9]]</f>
        <v>-7</v>
      </c>
      <c r="DK22" s="207">
        <f>Opv.kohd.[[#This Row],[Työvoima-koulutus 12]]-Opv.kohd.[[#This Row],[Työvoima-koulutus 9]]</f>
        <v>0</v>
      </c>
      <c r="DL22" s="207">
        <f>Opv.kohd.[[#This Row],[Maahan-muuttajien koulutus 12]]-Opv.kohd.[[#This Row],[Maahan-muuttajien koulutus 9]]</f>
        <v>0</v>
      </c>
      <c r="DM22" s="207">
        <f>Opv.kohd.[[#This Row],[Nuorisotyöt. väh. ja osaamistarp. vast., muu kuin työvoima-koulutus 12]]-Opv.kohd.[[#This Row],[Nuorisotyöt. väh. ja osaamistarp. vast., muu kuin työvoima-koulutus 9]]</f>
        <v>0</v>
      </c>
      <c r="DN22" s="207">
        <f>Opv.kohd.[[#This Row],[Nuorisotyöt. väh. ja osaamistarp. vast., työvoima-koulutus 12]]-Opv.kohd.[[#This Row],[Nuorisotyöt. väh. ja osaamistarp. vast., työvoima-koulutus 9]]</f>
        <v>0</v>
      </c>
      <c r="DO22" s="207">
        <f>Opv.kohd.[[#This Row],[Yhteensä 12]]-Opv.kohd.[[#This Row],[Yhteensä 9]]</f>
        <v>-7</v>
      </c>
      <c r="DP22" s="207">
        <f>Opv.kohd.[[#This Row],[Tavoitteelliset opiskelijavuodet yhteensä 12]]-Opv.kohd.[[#This Row],[Tavoitteelliset opiskelijavuodet yhteensä 9]]</f>
        <v>-115</v>
      </c>
      <c r="DQ22" s="209">
        <f>IFERROR(Opv.kohd.[[#This Row],[Järjestämisluvan mukaiset 15]]/Opv.kohd.[[#This Row],[Järjestämisluvan mukaiset 9]],0)</f>
        <v>-1</v>
      </c>
      <c r="DR22" s="209">
        <f t="shared" si="10"/>
        <v>0</v>
      </c>
      <c r="DS22" s="209">
        <f t="shared" si="11"/>
        <v>0</v>
      </c>
      <c r="DT22" s="209">
        <f t="shared" si="12"/>
        <v>0</v>
      </c>
      <c r="DU22" s="209">
        <f t="shared" si="13"/>
        <v>0</v>
      </c>
      <c r="DV22" s="209">
        <f t="shared" si="14"/>
        <v>0</v>
      </c>
      <c r="DW22" s="209">
        <f t="shared" si="15"/>
        <v>0</v>
      </c>
      <c r="DX22" s="209">
        <f t="shared" si="16"/>
        <v>0</v>
      </c>
    </row>
    <row r="23" spans="1:128" x14ac:dyDescent="0.25">
      <c r="A23" s="204" t="e">
        <f>IF(INDEX(#REF!,ROW(23:23)-1,1)=0,"",INDEX(#REF!,ROW(23:23)-1,1))</f>
        <v>#REF!</v>
      </c>
      <c r="B23" s="205" t="str">
        <f>IFERROR(VLOOKUP(Opv.kohd.[[#This Row],[Y-tunnus]],'0 Järjestäjätiedot'!$A:$H,2,FALSE),"")</f>
        <v/>
      </c>
      <c r="C23" s="204" t="str">
        <f>IFERROR(VLOOKUP(Opv.kohd.[[#This Row],[Y-tunnus]],'0 Järjestäjätiedot'!$A:$H,COLUMN('0 Järjestäjätiedot'!D:D),FALSE),"")</f>
        <v/>
      </c>
      <c r="D23" s="204" t="str">
        <f>IFERROR(VLOOKUP(Opv.kohd.[[#This Row],[Y-tunnus]],'0 Järjestäjätiedot'!$A:$H,COLUMN('0 Järjestäjätiedot'!H:H),FALSE),"")</f>
        <v/>
      </c>
      <c r="E23" s="204">
        <f>IFERROR(VLOOKUP(Opv.kohd.[[#This Row],[Y-tunnus]],#REF!,COLUMN(#REF!),FALSE),0)</f>
        <v>0</v>
      </c>
      <c r="F23" s="204">
        <f>IFERROR(VLOOKUP(Opv.kohd.[[#This Row],[Y-tunnus]],#REF!,COLUMN(#REF!),FALSE),0)</f>
        <v>0</v>
      </c>
      <c r="G23" s="204">
        <f>IFERROR(VLOOKUP(Opv.kohd.[[#This Row],[Y-tunnus]],#REF!,COLUMN(#REF!),FALSE),0)</f>
        <v>0</v>
      </c>
      <c r="H23" s="204">
        <f>IFERROR(VLOOKUP(Opv.kohd.[[#This Row],[Y-tunnus]],#REF!,COLUMN(#REF!),FALSE),0)</f>
        <v>0</v>
      </c>
      <c r="I23" s="204">
        <f>IFERROR(VLOOKUP(Opv.kohd.[[#This Row],[Y-tunnus]],#REF!,COLUMN(#REF!),FALSE),0)</f>
        <v>0</v>
      </c>
      <c r="J23" s="204">
        <f>IFERROR(VLOOKUP(Opv.kohd.[[#This Row],[Y-tunnus]],#REF!,COLUMN(#REF!),FALSE),0)</f>
        <v>0</v>
      </c>
      <c r="K2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23" s="204">
        <f>Opv.kohd.[[#This Row],[Järjestämisluvan mukaiset 1]]+Opv.kohd.[[#This Row],[Yhteensä  1]]</f>
        <v>0</v>
      </c>
      <c r="M23" s="204">
        <f>IFERROR(VLOOKUP(Opv.kohd.[[#This Row],[Y-tunnus]],#REF!,COLUMN(#REF!),FALSE),0)</f>
        <v>0</v>
      </c>
      <c r="N23" s="204">
        <f>IFERROR(VLOOKUP(Opv.kohd.[[#This Row],[Y-tunnus]],#REF!,COLUMN(#REF!),FALSE),0)</f>
        <v>0</v>
      </c>
      <c r="O23" s="204">
        <f>IFERROR(VLOOKUP(Opv.kohd.[[#This Row],[Y-tunnus]],#REF!,COLUMN(#REF!),FALSE)+VLOOKUP(Opv.kohd.[[#This Row],[Y-tunnus]],#REF!,COLUMN(#REF!),FALSE),0)</f>
        <v>0</v>
      </c>
      <c r="P23" s="204">
        <f>Opv.kohd.[[#This Row],[Talousarvion perusteella kohdentamattomat]]+Opv.kohd.[[#This Row],[Talousarvion perusteella työvoimakoulutus 1]]+Opv.kohd.[[#This Row],[Lisätalousarvioiden perusteella]]</f>
        <v>0</v>
      </c>
      <c r="Q23" s="204">
        <f>IFERROR(VLOOKUP(Opv.kohd.[[#This Row],[Y-tunnus]],#REF!,COLUMN(#REF!),FALSE),0)</f>
        <v>0</v>
      </c>
      <c r="R23" s="210">
        <f>IFERROR(VLOOKUP(Opv.kohd.[[#This Row],[Y-tunnus]],#REF!,COLUMN(#REF!),FALSE)-(Opv.kohd.[[#This Row],[Kohdentamaton työvoima-koulutus 2]]+Opv.kohd.[[#This Row],[Maahan-muuttajien koulutus 2]]+Opv.kohd.[[#This Row],[Lisätalousarvioiden perusteella jaetut 2]]),0)</f>
        <v>0</v>
      </c>
      <c r="S23" s="210">
        <f>IFERROR(VLOOKUP(Opv.kohd.[[#This Row],[Y-tunnus]],#REF!,COLUMN(#REF!),FALSE)+VLOOKUP(Opv.kohd.[[#This Row],[Y-tunnus]],#REF!,COLUMN(#REF!),FALSE),0)</f>
        <v>0</v>
      </c>
      <c r="T23" s="210">
        <f>IFERROR(VLOOKUP(Opv.kohd.[[#This Row],[Y-tunnus]],#REF!,COLUMN(#REF!),FALSE)+VLOOKUP(Opv.kohd.[[#This Row],[Y-tunnus]],#REF!,COLUMN(#REF!),FALSE),0)</f>
        <v>0</v>
      </c>
      <c r="U2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23" s="210">
        <f>Opv.kohd.[[#This Row],[Kohdentamat-tomat 2]]+Opv.kohd.[[#This Row],[Kohdentamaton työvoima-koulutus 2]]+Opv.kohd.[[#This Row],[Maahan-muuttajien koulutus 2]]+Opv.kohd.[[#This Row],[Lisätalousarvioiden perusteella jaetut 2]]</f>
        <v>0</v>
      </c>
      <c r="W23" s="210">
        <f>Opv.kohd.[[#This Row],[Kohdentamat-tomat 2]]-(Opv.kohd.[[#This Row],[Järjestämisluvan mukaiset 1]]+Opv.kohd.[[#This Row],[Kohdentamat-tomat 1]]+Opv.kohd.[[#This Row],[Nuorisotyöt. väh. ja osaamistarp. vast., muu kuin työvoima-koulutus 1]]+Opv.kohd.[[#This Row],[Talousarvion perusteella kohdentamattomat]])</f>
        <v>0</v>
      </c>
      <c r="X23" s="210">
        <f>Opv.kohd.[[#This Row],[Kohdentamaton työvoima-koulutus 2]]-(Opv.kohd.[[#This Row],[Työvoima-koulutus 1]]+Opv.kohd.[[#This Row],[Nuorisotyöt. väh. ja osaamistarp. vast., työvoima-koulutus 1]]+Opv.kohd.[[#This Row],[Talousarvion perusteella työvoimakoulutus 1]])</f>
        <v>0</v>
      </c>
      <c r="Y23" s="210">
        <f>Opv.kohd.[[#This Row],[Maahan-muuttajien koulutus 2]]-Opv.kohd.[[#This Row],[Maahan-muuttajien koulutus 1]]</f>
        <v>0</v>
      </c>
      <c r="Z23" s="210">
        <f>Opv.kohd.[[#This Row],[Lisätalousarvioiden perusteella jaetut 2]]-Opv.kohd.[[#This Row],[Lisätalousarvioiden perusteella]]</f>
        <v>0</v>
      </c>
      <c r="AA23" s="210">
        <f>Opv.kohd.[[#This Row],[Toteutuneet opiskelijavuodet yhteensä 2]]-Opv.kohd.[[#This Row],[Vuoden 2018 tavoitteelliset opiskelijavuodet yhteensä 1]]</f>
        <v>0</v>
      </c>
      <c r="AB23" s="207">
        <f>IFERROR(VLOOKUP(Opv.kohd.[[#This Row],[Y-tunnus]],#REF!,3,FALSE),0)</f>
        <v>0</v>
      </c>
      <c r="AC23" s="207">
        <f>IFERROR(VLOOKUP(Opv.kohd.[[#This Row],[Y-tunnus]],#REF!,4,FALSE),0)</f>
        <v>0</v>
      </c>
      <c r="AD23" s="207">
        <f>IFERROR(VLOOKUP(Opv.kohd.[[#This Row],[Y-tunnus]],#REF!,5,FALSE),0)</f>
        <v>0</v>
      </c>
      <c r="AE23" s="207">
        <f>IFERROR(VLOOKUP(Opv.kohd.[[#This Row],[Y-tunnus]],#REF!,6,FALSE),0)</f>
        <v>0</v>
      </c>
      <c r="AF23" s="207">
        <f>IFERROR(VLOOKUP(Opv.kohd.[[#This Row],[Y-tunnus]],#REF!,7,FALSE),0)</f>
        <v>0</v>
      </c>
      <c r="AG23" s="207">
        <f>IFERROR(VLOOKUP(Opv.kohd.[[#This Row],[Y-tunnus]],#REF!,8,FALSE),0)</f>
        <v>0</v>
      </c>
      <c r="AH23" s="207">
        <f>IFERROR(VLOOKUP(Opv.kohd.[[#This Row],[Y-tunnus]],#REF!,9,FALSE),0)</f>
        <v>0</v>
      </c>
      <c r="AI23" s="207">
        <f>IFERROR(VLOOKUP(Opv.kohd.[[#This Row],[Y-tunnus]],#REF!,10,FALSE),0)</f>
        <v>0</v>
      </c>
      <c r="AJ23" s="204">
        <f>Opv.kohd.[[#This Row],[Järjestämisluvan mukaiset 4]]-Opv.kohd.[[#This Row],[Järjestämisluvan mukaiset 1]]</f>
        <v>0</v>
      </c>
      <c r="AK23" s="204">
        <f>Opv.kohd.[[#This Row],[Kohdentamat-tomat 4]]-Opv.kohd.[[#This Row],[Kohdentamat-tomat 1]]</f>
        <v>0</v>
      </c>
      <c r="AL23" s="204">
        <f>Opv.kohd.[[#This Row],[Työvoima-koulutus 4]]-Opv.kohd.[[#This Row],[Työvoima-koulutus 1]]</f>
        <v>0</v>
      </c>
      <c r="AM23" s="204">
        <f>Opv.kohd.[[#This Row],[Maahan-muuttajien koulutus 4]]-Opv.kohd.[[#This Row],[Maahan-muuttajien koulutus 1]]</f>
        <v>0</v>
      </c>
      <c r="AN23" s="204">
        <f>Opv.kohd.[[#This Row],[Nuorisotyöt. väh. ja osaamistarp. vast., muu kuin työvoima-koulutus 4]]-Opv.kohd.[[#This Row],[Nuorisotyöt. väh. ja osaamistarp. vast., muu kuin työvoima-koulutus 1]]</f>
        <v>0</v>
      </c>
      <c r="AO23" s="204">
        <f>Opv.kohd.[[#This Row],[Nuorisotyöt. väh. ja osaamistarp. vast., työvoima-koulutus 4]]-Opv.kohd.[[#This Row],[Nuorisotyöt. väh. ja osaamistarp. vast., työvoima-koulutus 1]]</f>
        <v>0</v>
      </c>
      <c r="AP23" s="204">
        <f>Opv.kohd.[[#This Row],[Yhteensä 4]]-Opv.kohd.[[#This Row],[Yhteensä  1]]</f>
        <v>0</v>
      </c>
      <c r="AQ23" s="204">
        <f>Opv.kohd.[[#This Row],[Ensikertaisella suoritepäätöksellä jaetut tavoitteelliset opiskelijavuodet yhteensä 4]]-Opv.kohd.[[#This Row],[Ensikertaisella suoritepäätöksellä jaetut tavoitteelliset opiskelijavuodet yhteensä 1]]</f>
        <v>0</v>
      </c>
      <c r="AR23" s="208">
        <f>IFERROR(Opv.kohd.[[#This Row],[Järjestämisluvan mukaiset 5]]/Opv.kohd.[[#This Row],[Järjestämisluvan mukaiset 4]],0)</f>
        <v>0</v>
      </c>
      <c r="AS23" s="208">
        <f>IFERROR(Opv.kohd.[[#This Row],[Kohdentamat-tomat 5]]/Opv.kohd.[[#This Row],[Kohdentamat-tomat 4]],0)</f>
        <v>0</v>
      </c>
      <c r="AT23" s="208">
        <f>IFERROR(Opv.kohd.[[#This Row],[Työvoima-koulutus 5]]/Opv.kohd.[[#This Row],[Työvoima-koulutus 4]],0)</f>
        <v>0</v>
      </c>
      <c r="AU23" s="208">
        <f>IFERROR(Opv.kohd.[[#This Row],[Maahan-muuttajien koulutus 5]]/Opv.kohd.[[#This Row],[Maahan-muuttajien koulutus 4]],0)</f>
        <v>0</v>
      </c>
      <c r="AV23" s="208">
        <f>IFERROR(Opv.kohd.[[#This Row],[Nuorisotyöt. väh. ja osaamistarp. vast., muu kuin työvoima-koulutus 5]]/Opv.kohd.[[#This Row],[Nuorisotyöt. väh. ja osaamistarp. vast., muu kuin työvoima-koulutus 4]],0)</f>
        <v>0</v>
      </c>
      <c r="AW23" s="208">
        <f>IFERROR(Opv.kohd.[[#This Row],[Nuorisotyöt. väh. ja osaamistarp. vast., työvoima-koulutus 5]]/Opv.kohd.[[#This Row],[Nuorisotyöt. väh. ja osaamistarp. vast., työvoima-koulutus 4]],0)</f>
        <v>0</v>
      </c>
      <c r="AX23" s="208">
        <f>IFERROR(Opv.kohd.[[#This Row],[Yhteensä 5]]/Opv.kohd.[[#This Row],[Yhteensä 4]],0)</f>
        <v>0</v>
      </c>
      <c r="AY23" s="208">
        <f>IFERROR(Opv.kohd.[[#This Row],[Ensikertaisella suoritepäätöksellä jaetut tavoitteelliset opiskelijavuodet yhteensä 5]]/Opv.kohd.[[#This Row],[Ensikertaisella suoritepäätöksellä jaetut tavoitteelliset opiskelijavuodet yhteensä 4]],0)</f>
        <v>0</v>
      </c>
      <c r="AZ23" s="207">
        <f>Opv.kohd.[[#This Row],[Yhteensä 7a]]-Opv.kohd.[[#This Row],[Työvoima-koulutus 7a]]</f>
        <v>0</v>
      </c>
      <c r="BA23" s="207">
        <f>IFERROR(VLOOKUP(Opv.kohd.[[#This Row],[Y-tunnus]],#REF!,COLUMN(#REF!),FALSE),0)</f>
        <v>0</v>
      </c>
      <c r="BB23" s="207">
        <f>IFERROR(VLOOKUP(Opv.kohd.[[#This Row],[Y-tunnus]],#REF!,COLUMN(#REF!),FALSE),0)</f>
        <v>0</v>
      </c>
      <c r="BC23" s="207">
        <f>Opv.kohd.[[#This Row],[Muu kuin työvoima-koulutus 7c]]-Opv.kohd.[[#This Row],[Muu kuin työvoima-koulutus 7a]]</f>
        <v>0</v>
      </c>
      <c r="BD23" s="207">
        <f>Opv.kohd.[[#This Row],[Työvoima-koulutus 7c]]-Opv.kohd.[[#This Row],[Työvoima-koulutus 7a]]</f>
        <v>0</v>
      </c>
      <c r="BE23" s="207">
        <f>Opv.kohd.[[#This Row],[Yhteensä 7c]]-Opv.kohd.[[#This Row],[Yhteensä 7a]]</f>
        <v>0</v>
      </c>
      <c r="BF23" s="207">
        <f>Opv.kohd.[[#This Row],[Yhteensä 7c]]-Opv.kohd.[[#This Row],[Työvoima-koulutus 7c]]</f>
        <v>0</v>
      </c>
      <c r="BG23" s="207">
        <f>IFERROR(VLOOKUP(Opv.kohd.[[#This Row],[Y-tunnus]],#REF!,COLUMN(#REF!),FALSE),0)</f>
        <v>0</v>
      </c>
      <c r="BH23" s="207">
        <f>IFERROR(VLOOKUP(Opv.kohd.[[#This Row],[Y-tunnus]],#REF!,COLUMN(#REF!),FALSE),0)</f>
        <v>0</v>
      </c>
      <c r="BI23" s="207">
        <f>IFERROR(VLOOKUP(Opv.kohd.[[#This Row],[Y-tunnus]],#REF!,COLUMN(#REF!),FALSE),0)</f>
        <v>0</v>
      </c>
      <c r="BJ23" s="207">
        <f>IFERROR(VLOOKUP(Opv.kohd.[[#This Row],[Y-tunnus]],#REF!,COLUMN(#REF!),FALSE),0)</f>
        <v>0</v>
      </c>
      <c r="BK23" s="207">
        <f>Opv.kohd.[[#This Row],[Muu kuin työvoima-koulutus 7d]]+Opv.kohd.[[#This Row],[Työvoima-koulutus 7d]]</f>
        <v>0</v>
      </c>
      <c r="BL23" s="207">
        <f>Opv.kohd.[[#This Row],[Muu kuin työvoima-koulutus 7c]]-Opv.kohd.[[#This Row],[Muu kuin työvoima-koulutus 7d]]</f>
        <v>0</v>
      </c>
      <c r="BM23" s="207">
        <f>Opv.kohd.[[#This Row],[Työvoima-koulutus 7c]]-Opv.kohd.[[#This Row],[Työvoima-koulutus 7d]]</f>
        <v>0</v>
      </c>
      <c r="BN23" s="207">
        <f>Opv.kohd.[[#This Row],[Yhteensä 7c]]-Opv.kohd.[[#This Row],[Yhteensä 7d]]</f>
        <v>0</v>
      </c>
      <c r="BO23" s="207">
        <f>Opv.kohd.[[#This Row],[Muu kuin työvoima-koulutus 7e]]-(Opv.kohd.[[#This Row],[Järjestämisluvan mukaiset 4]]+Opv.kohd.[[#This Row],[Kohdentamat-tomat 4]]+Opv.kohd.[[#This Row],[Maahan-muuttajien koulutus 4]]+Opv.kohd.[[#This Row],[Nuorisotyöt. väh. ja osaamistarp. vast., muu kuin työvoima-koulutus 4]])</f>
        <v>0</v>
      </c>
      <c r="BP23" s="207">
        <f>Opv.kohd.[[#This Row],[Työvoima-koulutus 7e]]-(Opv.kohd.[[#This Row],[Työvoima-koulutus 4]]+Opv.kohd.[[#This Row],[Nuorisotyöt. väh. ja osaamistarp. vast., työvoima-koulutus 4]])</f>
        <v>0</v>
      </c>
      <c r="BQ23" s="207">
        <f>Opv.kohd.[[#This Row],[Yhteensä 7e]]-Opv.kohd.[[#This Row],[Ensikertaisella suoritepäätöksellä jaetut tavoitteelliset opiskelijavuodet yhteensä 4]]</f>
        <v>0</v>
      </c>
      <c r="BR23" s="263">
        <v>26</v>
      </c>
      <c r="BS23" s="263">
        <v>0</v>
      </c>
      <c r="BT23" s="263">
        <v>0</v>
      </c>
      <c r="BU23" s="263">
        <v>0</v>
      </c>
      <c r="BV23" s="263">
        <v>0</v>
      </c>
      <c r="BW23" s="263">
        <v>0</v>
      </c>
      <c r="BX23" s="263">
        <v>0</v>
      </c>
      <c r="BY23" s="263">
        <v>26</v>
      </c>
      <c r="BZ23" s="207">
        <f t="shared" si="2"/>
        <v>26</v>
      </c>
      <c r="CA23" s="207">
        <f t="shared" si="3"/>
        <v>0</v>
      </c>
      <c r="CB23" s="207">
        <f t="shared" si="4"/>
        <v>0</v>
      </c>
      <c r="CC23" s="207">
        <f t="shared" si="5"/>
        <v>0</v>
      </c>
      <c r="CD23" s="207">
        <f t="shared" si="6"/>
        <v>0</v>
      </c>
      <c r="CE23" s="207">
        <f t="shared" si="7"/>
        <v>0</v>
      </c>
      <c r="CF23" s="207">
        <f t="shared" si="8"/>
        <v>0</v>
      </c>
      <c r="CG23" s="207">
        <f t="shared" si="9"/>
        <v>26</v>
      </c>
      <c r="CH23" s="207">
        <f>Opv.kohd.[[#This Row],[Tavoitteelliset opiskelijavuodet yhteensä 9]]-Opv.kohd.[[#This Row],[Työvoima-koulutus 9]]-Opv.kohd.[[#This Row],[Nuorisotyöt. väh. ja osaamistarp. vast., työvoima-koulutus 9]]-Opv.kohd.[[#This Row],[Muu kuin työvoima-koulutus 7e]]</f>
        <v>26</v>
      </c>
      <c r="CI23" s="207">
        <f>(Opv.kohd.[[#This Row],[Työvoima-koulutus 9]]+Opv.kohd.[[#This Row],[Nuorisotyöt. väh. ja osaamistarp. vast., työvoima-koulutus 9]])-Opv.kohd.[[#This Row],[Työvoima-koulutus 7e]]</f>
        <v>0</v>
      </c>
      <c r="CJ23" s="207">
        <f>Opv.kohd.[[#This Row],[Tavoitteelliset opiskelijavuodet yhteensä 9]]-Opv.kohd.[[#This Row],[Yhteensä 7e]]</f>
        <v>26</v>
      </c>
      <c r="CK23" s="207">
        <f>Opv.kohd.[[#This Row],[Järjestämisluvan mukaiset 4]]+Opv.kohd.[[#This Row],[Järjestämisluvan mukaiset 13]]</f>
        <v>0</v>
      </c>
      <c r="CL23" s="207">
        <f>Opv.kohd.[[#This Row],[Kohdentamat-tomat 4]]+Opv.kohd.[[#This Row],[Kohdentamat-tomat 13]]</f>
        <v>0</v>
      </c>
      <c r="CM23" s="207">
        <f>Opv.kohd.[[#This Row],[Työvoima-koulutus 4]]+Opv.kohd.[[#This Row],[Työvoima-koulutus 13]]</f>
        <v>0</v>
      </c>
      <c r="CN23" s="207">
        <f>Opv.kohd.[[#This Row],[Maahan-muuttajien koulutus 4]]+Opv.kohd.[[#This Row],[Maahan-muuttajien koulutus 13]]</f>
        <v>0</v>
      </c>
      <c r="CO23" s="207">
        <f>Opv.kohd.[[#This Row],[Nuorisotyöt. väh. ja osaamistarp. vast., muu kuin työvoima-koulutus 4]]+Opv.kohd.[[#This Row],[Nuorisotyöt. väh. ja osaamistarp. vast., muu kuin työvoima-koulutus 13]]</f>
        <v>0</v>
      </c>
      <c r="CP23" s="207">
        <f>Opv.kohd.[[#This Row],[Nuorisotyöt. väh. ja osaamistarp. vast., työvoima-koulutus 4]]+Opv.kohd.[[#This Row],[Nuorisotyöt. väh. ja osaamistarp. vast., työvoima-koulutus 13]]</f>
        <v>0</v>
      </c>
      <c r="CQ23" s="207">
        <f>Opv.kohd.[[#This Row],[Yhteensä 4]]+Opv.kohd.[[#This Row],[Yhteensä 13]]</f>
        <v>0</v>
      </c>
      <c r="CR23" s="207">
        <f>Opv.kohd.[[#This Row],[Ensikertaisella suoritepäätöksellä jaetut tavoitteelliset opiskelijavuodet yhteensä 4]]+Opv.kohd.[[#This Row],[Tavoitteelliset opiskelijavuodet yhteensä 13]]</f>
        <v>0</v>
      </c>
      <c r="CS23" s="120">
        <v>0</v>
      </c>
      <c r="CT23" s="120">
        <v>0</v>
      </c>
      <c r="CU23" s="120">
        <v>0</v>
      </c>
      <c r="CV23" s="120">
        <v>0</v>
      </c>
      <c r="CW23" s="120">
        <v>0</v>
      </c>
      <c r="CX23" s="120">
        <v>0</v>
      </c>
      <c r="CY23" s="120">
        <v>0</v>
      </c>
      <c r="CZ23" s="120">
        <v>0</v>
      </c>
      <c r="DA23" s="209">
        <f>IFERROR(Opv.kohd.[[#This Row],[Järjestämisluvan mukaiset 13]]/Opv.kohd.[[#This Row],[Järjestämisluvan mukaiset 12]],0)</f>
        <v>0</v>
      </c>
      <c r="DB23" s="209">
        <f>IFERROR(Opv.kohd.[[#This Row],[Kohdentamat-tomat 13]]/Opv.kohd.[[#This Row],[Kohdentamat-tomat 12]],0)</f>
        <v>0</v>
      </c>
      <c r="DC23" s="209">
        <f>IFERROR(Opv.kohd.[[#This Row],[Työvoima-koulutus 13]]/Opv.kohd.[[#This Row],[Työvoima-koulutus 12]],0)</f>
        <v>0</v>
      </c>
      <c r="DD23" s="209">
        <f>IFERROR(Opv.kohd.[[#This Row],[Maahan-muuttajien koulutus 13]]/Opv.kohd.[[#This Row],[Maahan-muuttajien koulutus 12]],0)</f>
        <v>0</v>
      </c>
      <c r="DE23" s="209">
        <f>IFERROR(Opv.kohd.[[#This Row],[Nuorisotyöt. väh. ja osaamistarp. vast., muu kuin työvoima-koulutus 13]]/Opv.kohd.[[#This Row],[Nuorisotyöt. väh. ja osaamistarp. vast., muu kuin työvoima-koulutus 12]],0)</f>
        <v>0</v>
      </c>
      <c r="DF23" s="209">
        <f>IFERROR(Opv.kohd.[[#This Row],[Nuorisotyöt. väh. ja osaamistarp. vast., työvoima-koulutus 13]]/Opv.kohd.[[#This Row],[Nuorisotyöt. väh. ja osaamistarp. vast., työvoima-koulutus 12]],0)</f>
        <v>0</v>
      </c>
      <c r="DG23" s="209">
        <f>IFERROR(Opv.kohd.[[#This Row],[Yhteensä 13]]/Opv.kohd.[[#This Row],[Yhteensä 12]],0)</f>
        <v>0</v>
      </c>
      <c r="DH23" s="209">
        <f>IFERROR(Opv.kohd.[[#This Row],[Tavoitteelliset opiskelijavuodet yhteensä 13]]/Opv.kohd.[[#This Row],[Tavoitteelliset opiskelijavuodet yhteensä 12]],0)</f>
        <v>0</v>
      </c>
      <c r="DI23" s="207">
        <f>Opv.kohd.[[#This Row],[Järjestämisluvan mukaiset 12]]-Opv.kohd.[[#This Row],[Järjestämisluvan mukaiset 9]]</f>
        <v>-26</v>
      </c>
      <c r="DJ23" s="207">
        <f>Opv.kohd.[[#This Row],[Kohdentamat-tomat 12]]-Opv.kohd.[[#This Row],[Kohdentamat-tomat 9]]</f>
        <v>0</v>
      </c>
      <c r="DK23" s="207">
        <f>Opv.kohd.[[#This Row],[Työvoima-koulutus 12]]-Opv.kohd.[[#This Row],[Työvoima-koulutus 9]]</f>
        <v>0</v>
      </c>
      <c r="DL23" s="207">
        <f>Opv.kohd.[[#This Row],[Maahan-muuttajien koulutus 12]]-Opv.kohd.[[#This Row],[Maahan-muuttajien koulutus 9]]</f>
        <v>0</v>
      </c>
      <c r="DM23" s="207">
        <f>Opv.kohd.[[#This Row],[Nuorisotyöt. väh. ja osaamistarp. vast., muu kuin työvoima-koulutus 12]]-Opv.kohd.[[#This Row],[Nuorisotyöt. väh. ja osaamistarp. vast., muu kuin työvoima-koulutus 9]]</f>
        <v>0</v>
      </c>
      <c r="DN23" s="207">
        <f>Opv.kohd.[[#This Row],[Nuorisotyöt. väh. ja osaamistarp. vast., työvoima-koulutus 12]]-Opv.kohd.[[#This Row],[Nuorisotyöt. väh. ja osaamistarp. vast., työvoima-koulutus 9]]</f>
        <v>0</v>
      </c>
      <c r="DO23" s="207">
        <f>Opv.kohd.[[#This Row],[Yhteensä 12]]-Opv.kohd.[[#This Row],[Yhteensä 9]]</f>
        <v>0</v>
      </c>
      <c r="DP23" s="207">
        <f>Opv.kohd.[[#This Row],[Tavoitteelliset opiskelijavuodet yhteensä 12]]-Opv.kohd.[[#This Row],[Tavoitteelliset opiskelijavuodet yhteensä 9]]</f>
        <v>-26</v>
      </c>
      <c r="DQ23" s="209">
        <f>IFERROR(Opv.kohd.[[#This Row],[Järjestämisluvan mukaiset 15]]/Opv.kohd.[[#This Row],[Järjestämisluvan mukaiset 9]],0)</f>
        <v>-1</v>
      </c>
      <c r="DR23" s="209">
        <f t="shared" si="10"/>
        <v>0</v>
      </c>
      <c r="DS23" s="209">
        <f t="shared" si="11"/>
        <v>0</v>
      </c>
      <c r="DT23" s="209">
        <f t="shared" si="12"/>
        <v>0</v>
      </c>
      <c r="DU23" s="209">
        <f t="shared" si="13"/>
        <v>0</v>
      </c>
      <c r="DV23" s="209">
        <f t="shared" si="14"/>
        <v>0</v>
      </c>
      <c r="DW23" s="209">
        <f t="shared" si="15"/>
        <v>0</v>
      </c>
      <c r="DX23" s="209">
        <f t="shared" si="16"/>
        <v>0</v>
      </c>
    </row>
    <row r="24" spans="1:128" x14ac:dyDescent="0.25">
      <c r="A24" s="204" t="e">
        <f>IF(INDEX(#REF!,ROW(24:24)-1,1)=0,"",INDEX(#REF!,ROW(24:24)-1,1))</f>
        <v>#REF!</v>
      </c>
      <c r="B24" s="205" t="str">
        <f>IFERROR(VLOOKUP(Opv.kohd.[[#This Row],[Y-tunnus]],'0 Järjestäjätiedot'!$A:$H,2,FALSE),"")</f>
        <v/>
      </c>
      <c r="C24" s="204" t="str">
        <f>IFERROR(VLOOKUP(Opv.kohd.[[#This Row],[Y-tunnus]],'0 Järjestäjätiedot'!$A:$H,COLUMN('0 Järjestäjätiedot'!D:D),FALSE),"")</f>
        <v/>
      </c>
      <c r="D24" s="204" t="str">
        <f>IFERROR(VLOOKUP(Opv.kohd.[[#This Row],[Y-tunnus]],'0 Järjestäjätiedot'!$A:$H,COLUMN('0 Järjestäjätiedot'!H:H),FALSE),"")</f>
        <v/>
      </c>
      <c r="E24" s="204">
        <f>IFERROR(VLOOKUP(Opv.kohd.[[#This Row],[Y-tunnus]],#REF!,COLUMN(#REF!),FALSE),0)</f>
        <v>0</v>
      </c>
      <c r="F24" s="204">
        <f>IFERROR(VLOOKUP(Opv.kohd.[[#This Row],[Y-tunnus]],#REF!,COLUMN(#REF!),FALSE),0)</f>
        <v>0</v>
      </c>
      <c r="G24" s="204">
        <f>IFERROR(VLOOKUP(Opv.kohd.[[#This Row],[Y-tunnus]],#REF!,COLUMN(#REF!),FALSE),0)</f>
        <v>0</v>
      </c>
      <c r="H24" s="204">
        <f>IFERROR(VLOOKUP(Opv.kohd.[[#This Row],[Y-tunnus]],#REF!,COLUMN(#REF!),FALSE),0)</f>
        <v>0</v>
      </c>
      <c r="I24" s="204">
        <f>IFERROR(VLOOKUP(Opv.kohd.[[#This Row],[Y-tunnus]],#REF!,COLUMN(#REF!),FALSE),0)</f>
        <v>0</v>
      </c>
      <c r="J24" s="204">
        <f>IFERROR(VLOOKUP(Opv.kohd.[[#This Row],[Y-tunnus]],#REF!,COLUMN(#REF!),FALSE),0)</f>
        <v>0</v>
      </c>
      <c r="K2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24" s="204">
        <f>Opv.kohd.[[#This Row],[Järjestämisluvan mukaiset 1]]+Opv.kohd.[[#This Row],[Yhteensä  1]]</f>
        <v>0</v>
      </c>
      <c r="M24" s="204">
        <f>IFERROR(VLOOKUP(Opv.kohd.[[#This Row],[Y-tunnus]],#REF!,COLUMN(#REF!),FALSE),0)</f>
        <v>0</v>
      </c>
      <c r="N24" s="204">
        <f>IFERROR(VLOOKUP(Opv.kohd.[[#This Row],[Y-tunnus]],#REF!,COLUMN(#REF!),FALSE),0)</f>
        <v>0</v>
      </c>
      <c r="O24" s="204">
        <f>IFERROR(VLOOKUP(Opv.kohd.[[#This Row],[Y-tunnus]],#REF!,COLUMN(#REF!),FALSE)+VLOOKUP(Opv.kohd.[[#This Row],[Y-tunnus]],#REF!,COLUMN(#REF!),FALSE),0)</f>
        <v>0</v>
      </c>
      <c r="P24" s="204">
        <f>Opv.kohd.[[#This Row],[Talousarvion perusteella kohdentamattomat]]+Opv.kohd.[[#This Row],[Talousarvion perusteella työvoimakoulutus 1]]+Opv.kohd.[[#This Row],[Lisätalousarvioiden perusteella]]</f>
        <v>0</v>
      </c>
      <c r="Q24" s="204">
        <f>IFERROR(VLOOKUP(Opv.kohd.[[#This Row],[Y-tunnus]],#REF!,COLUMN(#REF!),FALSE),0)</f>
        <v>0</v>
      </c>
      <c r="R24" s="210">
        <f>IFERROR(VLOOKUP(Opv.kohd.[[#This Row],[Y-tunnus]],#REF!,COLUMN(#REF!),FALSE)-(Opv.kohd.[[#This Row],[Kohdentamaton työvoima-koulutus 2]]+Opv.kohd.[[#This Row],[Maahan-muuttajien koulutus 2]]+Opv.kohd.[[#This Row],[Lisätalousarvioiden perusteella jaetut 2]]),0)</f>
        <v>0</v>
      </c>
      <c r="S24" s="210">
        <f>IFERROR(VLOOKUP(Opv.kohd.[[#This Row],[Y-tunnus]],#REF!,COLUMN(#REF!),FALSE)+VLOOKUP(Opv.kohd.[[#This Row],[Y-tunnus]],#REF!,COLUMN(#REF!),FALSE),0)</f>
        <v>0</v>
      </c>
      <c r="T24" s="210">
        <f>IFERROR(VLOOKUP(Opv.kohd.[[#This Row],[Y-tunnus]],#REF!,COLUMN(#REF!),FALSE)+VLOOKUP(Opv.kohd.[[#This Row],[Y-tunnus]],#REF!,COLUMN(#REF!),FALSE),0)</f>
        <v>0</v>
      </c>
      <c r="U2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24" s="210">
        <f>Opv.kohd.[[#This Row],[Kohdentamat-tomat 2]]+Opv.kohd.[[#This Row],[Kohdentamaton työvoima-koulutus 2]]+Opv.kohd.[[#This Row],[Maahan-muuttajien koulutus 2]]+Opv.kohd.[[#This Row],[Lisätalousarvioiden perusteella jaetut 2]]</f>
        <v>0</v>
      </c>
      <c r="W24" s="210">
        <f>Opv.kohd.[[#This Row],[Kohdentamat-tomat 2]]-(Opv.kohd.[[#This Row],[Järjestämisluvan mukaiset 1]]+Opv.kohd.[[#This Row],[Kohdentamat-tomat 1]]+Opv.kohd.[[#This Row],[Nuorisotyöt. väh. ja osaamistarp. vast., muu kuin työvoima-koulutus 1]]+Opv.kohd.[[#This Row],[Talousarvion perusteella kohdentamattomat]])</f>
        <v>0</v>
      </c>
      <c r="X24" s="210">
        <f>Opv.kohd.[[#This Row],[Kohdentamaton työvoima-koulutus 2]]-(Opv.kohd.[[#This Row],[Työvoima-koulutus 1]]+Opv.kohd.[[#This Row],[Nuorisotyöt. väh. ja osaamistarp. vast., työvoima-koulutus 1]]+Opv.kohd.[[#This Row],[Talousarvion perusteella työvoimakoulutus 1]])</f>
        <v>0</v>
      </c>
      <c r="Y24" s="210">
        <f>Opv.kohd.[[#This Row],[Maahan-muuttajien koulutus 2]]-Opv.kohd.[[#This Row],[Maahan-muuttajien koulutus 1]]</f>
        <v>0</v>
      </c>
      <c r="Z24" s="210">
        <f>Opv.kohd.[[#This Row],[Lisätalousarvioiden perusteella jaetut 2]]-Opv.kohd.[[#This Row],[Lisätalousarvioiden perusteella]]</f>
        <v>0</v>
      </c>
      <c r="AA24" s="210">
        <f>Opv.kohd.[[#This Row],[Toteutuneet opiskelijavuodet yhteensä 2]]-Opv.kohd.[[#This Row],[Vuoden 2018 tavoitteelliset opiskelijavuodet yhteensä 1]]</f>
        <v>0</v>
      </c>
      <c r="AB24" s="207">
        <f>IFERROR(VLOOKUP(Opv.kohd.[[#This Row],[Y-tunnus]],#REF!,3,FALSE),0)</f>
        <v>0</v>
      </c>
      <c r="AC24" s="207">
        <f>IFERROR(VLOOKUP(Opv.kohd.[[#This Row],[Y-tunnus]],#REF!,4,FALSE),0)</f>
        <v>0</v>
      </c>
      <c r="AD24" s="207">
        <f>IFERROR(VLOOKUP(Opv.kohd.[[#This Row],[Y-tunnus]],#REF!,5,FALSE),0)</f>
        <v>0</v>
      </c>
      <c r="AE24" s="207">
        <f>IFERROR(VLOOKUP(Opv.kohd.[[#This Row],[Y-tunnus]],#REF!,6,FALSE),0)</f>
        <v>0</v>
      </c>
      <c r="AF24" s="207">
        <f>IFERROR(VLOOKUP(Opv.kohd.[[#This Row],[Y-tunnus]],#REF!,7,FALSE),0)</f>
        <v>0</v>
      </c>
      <c r="AG24" s="207">
        <f>IFERROR(VLOOKUP(Opv.kohd.[[#This Row],[Y-tunnus]],#REF!,8,FALSE),0)</f>
        <v>0</v>
      </c>
      <c r="AH24" s="207">
        <f>IFERROR(VLOOKUP(Opv.kohd.[[#This Row],[Y-tunnus]],#REF!,9,FALSE),0)</f>
        <v>0</v>
      </c>
      <c r="AI24" s="207">
        <f>IFERROR(VLOOKUP(Opv.kohd.[[#This Row],[Y-tunnus]],#REF!,10,FALSE),0)</f>
        <v>0</v>
      </c>
      <c r="AJ24" s="204">
        <f>Opv.kohd.[[#This Row],[Järjestämisluvan mukaiset 4]]-Opv.kohd.[[#This Row],[Järjestämisluvan mukaiset 1]]</f>
        <v>0</v>
      </c>
      <c r="AK24" s="204">
        <f>Opv.kohd.[[#This Row],[Kohdentamat-tomat 4]]-Opv.kohd.[[#This Row],[Kohdentamat-tomat 1]]</f>
        <v>0</v>
      </c>
      <c r="AL24" s="204">
        <f>Opv.kohd.[[#This Row],[Työvoima-koulutus 4]]-Opv.kohd.[[#This Row],[Työvoima-koulutus 1]]</f>
        <v>0</v>
      </c>
      <c r="AM24" s="204">
        <f>Opv.kohd.[[#This Row],[Maahan-muuttajien koulutus 4]]-Opv.kohd.[[#This Row],[Maahan-muuttajien koulutus 1]]</f>
        <v>0</v>
      </c>
      <c r="AN24" s="204">
        <f>Opv.kohd.[[#This Row],[Nuorisotyöt. väh. ja osaamistarp. vast., muu kuin työvoima-koulutus 4]]-Opv.kohd.[[#This Row],[Nuorisotyöt. väh. ja osaamistarp. vast., muu kuin työvoima-koulutus 1]]</f>
        <v>0</v>
      </c>
      <c r="AO24" s="204">
        <f>Opv.kohd.[[#This Row],[Nuorisotyöt. väh. ja osaamistarp. vast., työvoima-koulutus 4]]-Opv.kohd.[[#This Row],[Nuorisotyöt. väh. ja osaamistarp. vast., työvoima-koulutus 1]]</f>
        <v>0</v>
      </c>
      <c r="AP24" s="204">
        <f>Opv.kohd.[[#This Row],[Yhteensä 4]]-Opv.kohd.[[#This Row],[Yhteensä  1]]</f>
        <v>0</v>
      </c>
      <c r="AQ24" s="204">
        <f>Opv.kohd.[[#This Row],[Ensikertaisella suoritepäätöksellä jaetut tavoitteelliset opiskelijavuodet yhteensä 4]]-Opv.kohd.[[#This Row],[Ensikertaisella suoritepäätöksellä jaetut tavoitteelliset opiskelijavuodet yhteensä 1]]</f>
        <v>0</v>
      </c>
      <c r="AR24" s="208">
        <f>IFERROR(Opv.kohd.[[#This Row],[Järjestämisluvan mukaiset 5]]/Opv.kohd.[[#This Row],[Järjestämisluvan mukaiset 4]],0)</f>
        <v>0</v>
      </c>
      <c r="AS24" s="208">
        <f>IFERROR(Opv.kohd.[[#This Row],[Kohdentamat-tomat 5]]/Opv.kohd.[[#This Row],[Kohdentamat-tomat 4]],0)</f>
        <v>0</v>
      </c>
      <c r="AT24" s="208">
        <f>IFERROR(Opv.kohd.[[#This Row],[Työvoima-koulutus 5]]/Opv.kohd.[[#This Row],[Työvoima-koulutus 4]],0)</f>
        <v>0</v>
      </c>
      <c r="AU24" s="208">
        <f>IFERROR(Opv.kohd.[[#This Row],[Maahan-muuttajien koulutus 5]]/Opv.kohd.[[#This Row],[Maahan-muuttajien koulutus 4]],0)</f>
        <v>0</v>
      </c>
      <c r="AV24" s="208">
        <f>IFERROR(Opv.kohd.[[#This Row],[Nuorisotyöt. väh. ja osaamistarp. vast., muu kuin työvoima-koulutus 5]]/Opv.kohd.[[#This Row],[Nuorisotyöt. väh. ja osaamistarp. vast., muu kuin työvoima-koulutus 4]],0)</f>
        <v>0</v>
      </c>
      <c r="AW24" s="208">
        <f>IFERROR(Opv.kohd.[[#This Row],[Nuorisotyöt. väh. ja osaamistarp. vast., työvoima-koulutus 5]]/Opv.kohd.[[#This Row],[Nuorisotyöt. väh. ja osaamistarp. vast., työvoima-koulutus 4]],0)</f>
        <v>0</v>
      </c>
      <c r="AX24" s="208">
        <f>IFERROR(Opv.kohd.[[#This Row],[Yhteensä 5]]/Opv.kohd.[[#This Row],[Yhteensä 4]],0)</f>
        <v>0</v>
      </c>
      <c r="AY24" s="208">
        <f>IFERROR(Opv.kohd.[[#This Row],[Ensikertaisella suoritepäätöksellä jaetut tavoitteelliset opiskelijavuodet yhteensä 5]]/Opv.kohd.[[#This Row],[Ensikertaisella suoritepäätöksellä jaetut tavoitteelliset opiskelijavuodet yhteensä 4]],0)</f>
        <v>0</v>
      </c>
      <c r="AZ24" s="207">
        <f>Opv.kohd.[[#This Row],[Yhteensä 7a]]-Opv.kohd.[[#This Row],[Työvoima-koulutus 7a]]</f>
        <v>0</v>
      </c>
      <c r="BA24" s="207">
        <f>IFERROR(VLOOKUP(Opv.kohd.[[#This Row],[Y-tunnus]],#REF!,COLUMN(#REF!),FALSE),0)</f>
        <v>0</v>
      </c>
      <c r="BB24" s="207">
        <f>IFERROR(VLOOKUP(Opv.kohd.[[#This Row],[Y-tunnus]],#REF!,COLUMN(#REF!),FALSE),0)</f>
        <v>0</v>
      </c>
      <c r="BC24" s="207">
        <f>Opv.kohd.[[#This Row],[Muu kuin työvoima-koulutus 7c]]-Opv.kohd.[[#This Row],[Muu kuin työvoima-koulutus 7a]]</f>
        <v>0</v>
      </c>
      <c r="BD24" s="207">
        <f>Opv.kohd.[[#This Row],[Työvoima-koulutus 7c]]-Opv.kohd.[[#This Row],[Työvoima-koulutus 7a]]</f>
        <v>0</v>
      </c>
      <c r="BE24" s="207">
        <f>Opv.kohd.[[#This Row],[Yhteensä 7c]]-Opv.kohd.[[#This Row],[Yhteensä 7a]]</f>
        <v>0</v>
      </c>
      <c r="BF24" s="207">
        <f>Opv.kohd.[[#This Row],[Yhteensä 7c]]-Opv.kohd.[[#This Row],[Työvoima-koulutus 7c]]</f>
        <v>0</v>
      </c>
      <c r="BG24" s="207">
        <f>IFERROR(VLOOKUP(Opv.kohd.[[#This Row],[Y-tunnus]],#REF!,COLUMN(#REF!),FALSE),0)</f>
        <v>0</v>
      </c>
      <c r="BH24" s="207">
        <f>IFERROR(VLOOKUP(Opv.kohd.[[#This Row],[Y-tunnus]],#REF!,COLUMN(#REF!),FALSE),0)</f>
        <v>0</v>
      </c>
      <c r="BI24" s="207">
        <f>IFERROR(VLOOKUP(Opv.kohd.[[#This Row],[Y-tunnus]],#REF!,COLUMN(#REF!),FALSE),0)</f>
        <v>0</v>
      </c>
      <c r="BJ24" s="207">
        <f>IFERROR(VLOOKUP(Opv.kohd.[[#This Row],[Y-tunnus]],#REF!,COLUMN(#REF!),FALSE),0)</f>
        <v>0</v>
      </c>
      <c r="BK24" s="207">
        <f>Opv.kohd.[[#This Row],[Muu kuin työvoima-koulutus 7d]]+Opv.kohd.[[#This Row],[Työvoima-koulutus 7d]]</f>
        <v>0</v>
      </c>
      <c r="BL24" s="207">
        <f>Opv.kohd.[[#This Row],[Muu kuin työvoima-koulutus 7c]]-Opv.kohd.[[#This Row],[Muu kuin työvoima-koulutus 7d]]</f>
        <v>0</v>
      </c>
      <c r="BM24" s="207">
        <f>Opv.kohd.[[#This Row],[Työvoima-koulutus 7c]]-Opv.kohd.[[#This Row],[Työvoima-koulutus 7d]]</f>
        <v>0</v>
      </c>
      <c r="BN24" s="207">
        <f>Opv.kohd.[[#This Row],[Yhteensä 7c]]-Opv.kohd.[[#This Row],[Yhteensä 7d]]</f>
        <v>0</v>
      </c>
      <c r="BO24" s="207">
        <f>Opv.kohd.[[#This Row],[Muu kuin työvoima-koulutus 7e]]-(Opv.kohd.[[#This Row],[Järjestämisluvan mukaiset 4]]+Opv.kohd.[[#This Row],[Kohdentamat-tomat 4]]+Opv.kohd.[[#This Row],[Maahan-muuttajien koulutus 4]]+Opv.kohd.[[#This Row],[Nuorisotyöt. väh. ja osaamistarp. vast., muu kuin työvoima-koulutus 4]])</f>
        <v>0</v>
      </c>
      <c r="BP24" s="207">
        <f>Opv.kohd.[[#This Row],[Työvoima-koulutus 7e]]-(Opv.kohd.[[#This Row],[Työvoima-koulutus 4]]+Opv.kohd.[[#This Row],[Nuorisotyöt. väh. ja osaamistarp. vast., työvoima-koulutus 4]])</f>
        <v>0</v>
      </c>
      <c r="BQ24" s="207">
        <f>Opv.kohd.[[#This Row],[Yhteensä 7e]]-Opv.kohd.[[#This Row],[Ensikertaisella suoritepäätöksellä jaetut tavoitteelliset opiskelijavuodet yhteensä 4]]</f>
        <v>0</v>
      </c>
      <c r="BR24" s="263">
        <v>29</v>
      </c>
      <c r="BS24" s="263">
        <v>7</v>
      </c>
      <c r="BT24" s="263">
        <v>0</v>
      </c>
      <c r="BU24" s="263">
        <v>0</v>
      </c>
      <c r="BV24" s="263">
        <v>0</v>
      </c>
      <c r="BW24" s="263">
        <v>0</v>
      </c>
      <c r="BX24" s="263">
        <v>7</v>
      </c>
      <c r="BY24" s="263">
        <v>36</v>
      </c>
      <c r="BZ24" s="207">
        <f t="shared" si="2"/>
        <v>29</v>
      </c>
      <c r="CA24" s="207">
        <f t="shared" si="3"/>
        <v>7</v>
      </c>
      <c r="CB24" s="207">
        <f t="shared" si="4"/>
        <v>0</v>
      </c>
      <c r="CC24" s="207">
        <f t="shared" si="5"/>
        <v>0</v>
      </c>
      <c r="CD24" s="207">
        <f t="shared" si="6"/>
        <v>0</v>
      </c>
      <c r="CE24" s="207">
        <f t="shared" si="7"/>
        <v>0</v>
      </c>
      <c r="CF24" s="207">
        <f t="shared" si="8"/>
        <v>7</v>
      </c>
      <c r="CG24" s="207">
        <f t="shared" si="9"/>
        <v>36</v>
      </c>
      <c r="CH24" s="207">
        <f>Opv.kohd.[[#This Row],[Tavoitteelliset opiskelijavuodet yhteensä 9]]-Opv.kohd.[[#This Row],[Työvoima-koulutus 9]]-Opv.kohd.[[#This Row],[Nuorisotyöt. väh. ja osaamistarp. vast., työvoima-koulutus 9]]-Opv.kohd.[[#This Row],[Muu kuin työvoima-koulutus 7e]]</f>
        <v>36</v>
      </c>
      <c r="CI24" s="207">
        <f>(Opv.kohd.[[#This Row],[Työvoima-koulutus 9]]+Opv.kohd.[[#This Row],[Nuorisotyöt. väh. ja osaamistarp. vast., työvoima-koulutus 9]])-Opv.kohd.[[#This Row],[Työvoima-koulutus 7e]]</f>
        <v>0</v>
      </c>
      <c r="CJ24" s="207">
        <f>Opv.kohd.[[#This Row],[Tavoitteelliset opiskelijavuodet yhteensä 9]]-Opv.kohd.[[#This Row],[Yhteensä 7e]]</f>
        <v>36</v>
      </c>
      <c r="CK24" s="207">
        <f>Opv.kohd.[[#This Row],[Järjestämisluvan mukaiset 4]]+Opv.kohd.[[#This Row],[Järjestämisluvan mukaiset 13]]</f>
        <v>0</v>
      </c>
      <c r="CL24" s="207">
        <f>Opv.kohd.[[#This Row],[Kohdentamat-tomat 4]]+Opv.kohd.[[#This Row],[Kohdentamat-tomat 13]]</f>
        <v>0</v>
      </c>
      <c r="CM24" s="207">
        <f>Opv.kohd.[[#This Row],[Työvoima-koulutus 4]]+Opv.kohd.[[#This Row],[Työvoima-koulutus 13]]</f>
        <v>0</v>
      </c>
      <c r="CN24" s="207">
        <f>Opv.kohd.[[#This Row],[Maahan-muuttajien koulutus 4]]+Opv.kohd.[[#This Row],[Maahan-muuttajien koulutus 13]]</f>
        <v>0</v>
      </c>
      <c r="CO24" s="207">
        <f>Opv.kohd.[[#This Row],[Nuorisotyöt. väh. ja osaamistarp. vast., muu kuin työvoima-koulutus 4]]+Opv.kohd.[[#This Row],[Nuorisotyöt. väh. ja osaamistarp. vast., muu kuin työvoima-koulutus 13]]</f>
        <v>0</v>
      </c>
      <c r="CP24" s="207">
        <f>Opv.kohd.[[#This Row],[Nuorisotyöt. väh. ja osaamistarp. vast., työvoima-koulutus 4]]+Opv.kohd.[[#This Row],[Nuorisotyöt. väh. ja osaamistarp. vast., työvoima-koulutus 13]]</f>
        <v>0</v>
      </c>
      <c r="CQ24" s="207">
        <f>Opv.kohd.[[#This Row],[Yhteensä 4]]+Opv.kohd.[[#This Row],[Yhteensä 13]]</f>
        <v>0</v>
      </c>
      <c r="CR24" s="207">
        <f>Opv.kohd.[[#This Row],[Ensikertaisella suoritepäätöksellä jaetut tavoitteelliset opiskelijavuodet yhteensä 4]]+Opv.kohd.[[#This Row],[Tavoitteelliset opiskelijavuodet yhteensä 13]]</f>
        <v>0</v>
      </c>
      <c r="CS24" s="120">
        <v>0</v>
      </c>
      <c r="CT24" s="120">
        <v>0</v>
      </c>
      <c r="CU24" s="120">
        <v>0</v>
      </c>
      <c r="CV24" s="120">
        <v>0</v>
      </c>
      <c r="CW24" s="120">
        <v>0</v>
      </c>
      <c r="CX24" s="120">
        <v>0</v>
      </c>
      <c r="CY24" s="120">
        <v>0</v>
      </c>
      <c r="CZ24" s="120">
        <v>0</v>
      </c>
      <c r="DA24" s="209">
        <f>IFERROR(Opv.kohd.[[#This Row],[Järjestämisluvan mukaiset 13]]/Opv.kohd.[[#This Row],[Järjestämisluvan mukaiset 12]],0)</f>
        <v>0</v>
      </c>
      <c r="DB24" s="209">
        <f>IFERROR(Opv.kohd.[[#This Row],[Kohdentamat-tomat 13]]/Opv.kohd.[[#This Row],[Kohdentamat-tomat 12]],0)</f>
        <v>0</v>
      </c>
      <c r="DC24" s="209">
        <f>IFERROR(Opv.kohd.[[#This Row],[Työvoima-koulutus 13]]/Opv.kohd.[[#This Row],[Työvoima-koulutus 12]],0)</f>
        <v>0</v>
      </c>
      <c r="DD24" s="209">
        <f>IFERROR(Opv.kohd.[[#This Row],[Maahan-muuttajien koulutus 13]]/Opv.kohd.[[#This Row],[Maahan-muuttajien koulutus 12]],0)</f>
        <v>0</v>
      </c>
      <c r="DE24" s="209">
        <f>IFERROR(Opv.kohd.[[#This Row],[Nuorisotyöt. väh. ja osaamistarp. vast., muu kuin työvoima-koulutus 13]]/Opv.kohd.[[#This Row],[Nuorisotyöt. väh. ja osaamistarp. vast., muu kuin työvoima-koulutus 12]],0)</f>
        <v>0</v>
      </c>
      <c r="DF24" s="209">
        <f>IFERROR(Opv.kohd.[[#This Row],[Nuorisotyöt. väh. ja osaamistarp. vast., työvoima-koulutus 13]]/Opv.kohd.[[#This Row],[Nuorisotyöt. väh. ja osaamistarp. vast., työvoima-koulutus 12]],0)</f>
        <v>0</v>
      </c>
      <c r="DG24" s="209">
        <f>IFERROR(Opv.kohd.[[#This Row],[Yhteensä 13]]/Opv.kohd.[[#This Row],[Yhteensä 12]],0)</f>
        <v>0</v>
      </c>
      <c r="DH24" s="209">
        <f>IFERROR(Opv.kohd.[[#This Row],[Tavoitteelliset opiskelijavuodet yhteensä 13]]/Opv.kohd.[[#This Row],[Tavoitteelliset opiskelijavuodet yhteensä 12]],0)</f>
        <v>0</v>
      </c>
      <c r="DI24" s="207">
        <f>Opv.kohd.[[#This Row],[Järjestämisluvan mukaiset 12]]-Opv.kohd.[[#This Row],[Järjestämisluvan mukaiset 9]]</f>
        <v>-29</v>
      </c>
      <c r="DJ24" s="207">
        <f>Opv.kohd.[[#This Row],[Kohdentamat-tomat 12]]-Opv.kohd.[[#This Row],[Kohdentamat-tomat 9]]</f>
        <v>-7</v>
      </c>
      <c r="DK24" s="207">
        <f>Opv.kohd.[[#This Row],[Työvoima-koulutus 12]]-Opv.kohd.[[#This Row],[Työvoima-koulutus 9]]</f>
        <v>0</v>
      </c>
      <c r="DL24" s="207">
        <f>Opv.kohd.[[#This Row],[Maahan-muuttajien koulutus 12]]-Opv.kohd.[[#This Row],[Maahan-muuttajien koulutus 9]]</f>
        <v>0</v>
      </c>
      <c r="DM24" s="207">
        <f>Opv.kohd.[[#This Row],[Nuorisotyöt. väh. ja osaamistarp. vast., muu kuin työvoima-koulutus 12]]-Opv.kohd.[[#This Row],[Nuorisotyöt. väh. ja osaamistarp. vast., muu kuin työvoima-koulutus 9]]</f>
        <v>0</v>
      </c>
      <c r="DN24" s="207">
        <f>Opv.kohd.[[#This Row],[Nuorisotyöt. väh. ja osaamistarp. vast., työvoima-koulutus 12]]-Opv.kohd.[[#This Row],[Nuorisotyöt. väh. ja osaamistarp. vast., työvoima-koulutus 9]]</f>
        <v>0</v>
      </c>
      <c r="DO24" s="207">
        <f>Opv.kohd.[[#This Row],[Yhteensä 12]]-Opv.kohd.[[#This Row],[Yhteensä 9]]</f>
        <v>-7</v>
      </c>
      <c r="DP24" s="207">
        <f>Opv.kohd.[[#This Row],[Tavoitteelliset opiskelijavuodet yhteensä 12]]-Opv.kohd.[[#This Row],[Tavoitteelliset opiskelijavuodet yhteensä 9]]</f>
        <v>-36</v>
      </c>
      <c r="DQ24" s="209">
        <f>IFERROR(Opv.kohd.[[#This Row],[Järjestämisluvan mukaiset 15]]/Opv.kohd.[[#This Row],[Järjestämisluvan mukaiset 9]],0)</f>
        <v>-1</v>
      </c>
      <c r="DR24" s="209">
        <f t="shared" si="10"/>
        <v>0</v>
      </c>
      <c r="DS24" s="209">
        <f t="shared" si="11"/>
        <v>0</v>
      </c>
      <c r="DT24" s="209">
        <f t="shared" si="12"/>
        <v>0</v>
      </c>
      <c r="DU24" s="209">
        <f t="shared" si="13"/>
        <v>0</v>
      </c>
      <c r="DV24" s="209">
        <f t="shared" si="14"/>
        <v>0</v>
      </c>
      <c r="DW24" s="209">
        <f t="shared" si="15"/>
        <v>0</v>
      </c>
      <c r="DX24" s="209">
        <f t="shared" si="16"/>
        <v>0</v>
      </c>
    </row>
    <row r="25" spans="1:128" x14ac:dyDescent="0.25">
      <c r="A25" s="204" t="e">
        <f>IF(INDEX(#REF!,ROW(25:25)-1,1)=0,"",INDEX(#REF!,ROW(25:25)-1,1))</f>
        <v>#REF!</v>
      </c>
      <c r="B25" s="205" t="str">
        <f>IFERROR(VLOOKUP(Opv.kohd.[[#This Row],[Y-tunnus]],'0 Järjestäjätiedot'!$A:$H,2,FALSE),"")</f>
        <v/>
      </c>
      <c r="C25" s="204" t="str">
        <f>IFERROR(VLOOKUP(Opv.kohd.[[#This Row],[Y-tunnus]],'0 Järjestäjätiedot'!$A:$H,COLUMN('0 Järjestäjätiedot'!D:D),FALSE),"")</f>
        <v/>
      </c>
      <c r="D25" s="204" t="str">
        <f>IFERROR(VLOOKUP(Opv.kohd.[[#This Row],[Y-tunnus]],'0 Järjestäjätiedot'!$A:$H,COLUMN('0 Järjestäjätiedot'!H:H),FALSE),"")</f>
        <v/>
      </c>
      <c r="E25" s="204">
        <f>IFERROR(VLOOKUP(Opv.kohd.[[#This Row],[Y-tunnus]],#REF!,COLUMN(#REF!),FALSE),0)</f>
        <v>0</v>
      </c>
      <c r="F25" s="204">
        <f>IFERROR(VLOOKUP(Opv.kohd.[[#This Row],[Y-tunnus]],#REF!,COLUMN(#REF!),FALSE),0)</f>
        <v>0</v>
      </c>
      <c r="G25" s="204">
        <f>IFERROR(VLOOKUP(Opv.kohd.[[#This Row],[Y-tunnus]],#REF!,COLUMN(#REF!),FALSE),0)</f>
        <v>0</v>
      </c>
      <c r="H25" s="204">
        <f>IFERROR(VLOOKUP(Opv.kohd.[[#This Row],[Y-tunnus]],#REF!,COLUMN(#REF!),FALSE),0)</f>
        <v>0</v>
      </c>
      <c r="I25" s="204">
        <f>IFERROR(VLOOKUP(Opv.kohd.[[#This Row],[Y-tunnus]],#REF!,COLUMN(#REF!),FALSE),0)</f>
        <v>0</v>
      </c>
      <c r="J25" s="204">
        <f>IFERROR(VLOOKUP(Opv.kohd.[[#This Row],[Y-tunnus]],#REF!,COLUMN(#REF!),FALSE),0)</f>
        <v>0</v>
      </c>
      <c r="K2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25" s="204">
        <f>Opv.kohd.[[#This Row],[Järjestämisluvan mukaiset 1]]+Opv.kohd.[[#This Row],[Yhteensä  1]]</f>
        <v>0</v>
      </c>
      <c r="M25" s="204">
        <f>IFERROR(VLOOKUP(Opv.kohd.[[#This Row],[Y-tunnus]],#REF!,COLUMN(#REF!),FALSE),0)</f>
        <v>0</v>
      </c>
      <c r="N25" s="204">
        <f>IFERROR(VLOOKUP(Opv.kohd.[[#This Row],[Y-tunnus]],#REF!,COLUMN(#REF!),FALSE),0)</f>
        <v>0</v>
      </c>
      <c r="O25" s="204">
        <f>IFERROR(VLOOKUP(Opv.kohd.[[#This Row],[Y-tunnus]],#REF!,COLUMN(#REF!),FALSE)+VLOOKUP(Opv.kohd.[[#This Row],[Y-tunnus]],#REF!,COLUMN(#REF!),FALSE),0)</f>
        <v>0</v>
      </c>
      <c r="P25" s="204">
        <f>Opv.kohd.[[#This Row],[Talousarvion perusteella kohdentamattomat]]+Opv.kohd.[[#This Row],[Talousarvion perusteella työvoimakoulutus 1]]+Opv.kohd.[[#This Row],[Lisätalousarvioiden perusteella]]</f>
        <v>0</v>
      </c>
      <c r="Q25" s="204">
        <f>IFERROR(VLOOKUP(Opv.kohd.[[#This Row],[Y-tunnus]],#REF!,COLUMN(#REF!),FALSE),0)</f>
        <v>0</v>
      </c>
      <c r="R25" s="210">
        <f>IFERROR(VLOOKUP(Opv.kohd.[[#This Row],[Y-tunnus]],#REF!,COLUMN(#REF!),FALSE)-(Opv.kohd.[[#This Row],[Kohdentamaton työvoima-koulutus 2]]+Opv.kohd.[[#This Row],[Maahan-muuttajien koulutus 2]]+Opv.kohd.[[#This Row],[Lisätalousarvioiden perusteella jaetut 2]]),0)</f>
        <v>0</v>
      </c>
      <c r="S25" s="210">
        <f>IFERROR(VLOOKUP(Opv.kohd.[[#This Row],[Y-tunnus]],#REF!,COLUMN(#REF!),FALSE)+VLOOKUP(Opv.kohd.[[#This Row],[Y-tunnus]],#REF!,COLUMN(#REF!),FALSE),0)</f>
        <v>0</v>
      </c>
      <c r="T25" s="210">
        <f>IFERROR(VLOOKUP(Opv.kohd.[[#This Row],[Y-tunnus]],#REF!,COLUMN(#REF!),FALSE)+VLOOKUP(Opv.kohd.[[#This Row],[Y-tunnus]],#REF!,COLUMN(#REF!),FALSE),0)</f>
        <v>0</v>
      </c>
      <c r="U2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25" s="210">
        <f>Opv.kohd.[[#This Row],[Kohdentamat-tomat 2]]+Opv.kohd.[[#This Row],[Kohdentamaton työvoima-koulutus 2]]+Opv.kohd.[[#This Row],[Maahan-muuttajien koulutus 2]]+Opv.kohd.[[#This Row],[Lisätalousarvioiden perusteella jaetut 2]]</f>
        <v>0</v>
      </c>
      <c r="W25" s="210">
        <f>Opv.kohd.[[#This Row],[Kohdentamat-tomat 2]]-(Opv.kohd.[[#This Row],[Järjestämisluvan mukaiset 1]]+Opv.kohd.[[#This Row],[Kohdentamat-tomat 1]]+Opv.kohd.[[#This Row],[Nuorisotyöt. väh. ja osaamistarp. vast., muu kuin työvoima-koulutus 1]]+Opv.kohd.[[#This Row],[Talousarvion perusteella kohdentamattomat]])</f>
        <v>0</v>
      </c>
      <c r="X25" s="210">
        <f>Opv.kohd.[[#This Row],[Kohdentamaton työvoima-koulutus 2]]-(Opv.kohd.[[#This Row],[Työvoima-koulutus 1]]+Opv.kohd.[[#This Row],[Nuorisotyöt. väh. ja osaamistarp. vast., työvoima-koulutus 1]]+Opv.kohd.[[#This Row],[Talousarvion perusteella työvoimakoulutus 1]])</f>
        <v>0</v>
      </c>
      <c r="Y25" s="210">
        <f>Opv.kohd.[[#This Row],[Maahan-muuttajien koulutus 2]]-Opv.kohd.[[#This Row],[Maahan-muuttajien koulutus 1]]</f>
        <v>0</v>
      </c>
      <c r="Z25" s="210">
        <f>Opv.kohd.[[#This Row],[Lisätalousarvioiden perusteella jaetut 2]]-Opv.kohd.[[#This Row],[Lisätalousarvioiden perusteella]]</f>
        <v>0</v>
      </c>
      <c r="AA25" s="210">
        <f>Opv.kohd.[[#This Row],[Toteutuneet opiskelijavuodet yhteensä 2]]-Opv.kohd.[[#This Row],[Vuoden 2018 tavoitteelliset opiskelijavuodet yhteensä 1]]</f>
        <v>0</v>
      </c>
      <c r="AB25" s="207">
        <f>IFERROR(VLOOKUP(Opv.kohd.[[#This Row],[Y-tunnus]],#REF!,3,FALSE),0)</f>
        <v>0</v>
      </c>
      <c r="AC25" s="207">
        <f>IFERROR(VLOOKUP(Opv.kohd.[[#This Row],[Y-tunnus]],#REF!,4,FALSE),0)</f>
        <v>0</v>
      </c>
      <c r="AD25" s="207">
        <f>IFERROR(VLOOKUP(Opv.kohd.[[#This Row],[Y-tunnus]],#REF!,5,FALSE),0)</f>
        <v>0</v>
      </c>
      <c r="AE25" s="207">
        <f>IFERROR(VLOOKUP(Opv.kohd.[[#This Row],[Y-tunnus]],#REF!,6,FALSE),0)</f>
        <v>0</v>
      </c>
      <c r="AF25" s="207">
        <f>IFERROR(VLOOKUP(Opv.kohd.[[#This Row],[Y-tunnus]],#REF!,7,FALSE),0)</f>
        <v>0</v>
      </c>
      <c r="AG25" s="207">
        <f>IFERROR(VLOOKUP(Opv.kohd.[[#This Row],[Y-tunnus]],#REF!,8,FALSE),0)</f>
        <v>0</v>
      </c>
      <c r="AH25" s="207">
        <f>IFERROR(VLOOKUP(Opv.kohd.[[#This Row],[Y-tunnus]],#REF!,9,FALSE),0)</f>
        <v>0</v>
      </c>
      <c r="AI25" s="207">
        <f>IFERROR(VLOOKUP(Opv.kohd.[[#This Row],[Y-tunnus]],#REF!,10,FALSE),0)</f>
        <v>0</v>
      </c>
      <c r="AJ25" s="204">
        <f>Opv.kohd.[[#This Row],[Järjestämisluvan mukaiset 4]]-Opv.kohd.[[#This Row],[Järjestämisluvan mukaiset 1]]</f>
        <v>0</v>
      </c>
      <c r="AK25" s="204">
        <f>Opv.kohd.[[#This Row],[Kohdentamat-tomat 4]]-Opv.kohd.[[#This Row],[Kohdentamat-tomat 1]]</f>
        <v>0</v>
      </c>
      <c r="AL25" s="204">
        <f>Opv.kohd.[[#This Row],[Työvoima-koulutus 4]]-Opv.kohd.[[#This Row],[Työvoima-koulutus 1]]</f>
        <v>0</v>
      </c>
      <c r="AM25" s="204">
        <f>Opv.kohd.[[#This Row],[Maahan-muuttajien koulutus 4]]-Opv.kohd.[[#This Row],[Maahan-muuttajien koulutus 1]]</f>
        <v>0</v>
      </c>
      <c r="AN25" s="204">
        <f>Opv.kohd.[[#This Row],[Nuorisotyöt. väh. ja osaamistarp. vast., muu kuin työvoima-koulutus 4]]-Opv.kohd.[[#This Row],[Nuorisotyöt. väh. ja osaamistarp. vast., muu kuin työvoima-koulutus 1]]</f>
        <v>0</v>
      </c>
      <c r="AO25" s="204">
        <f>Opv.kohd.[[#This Row],[Nuorisotyöt. väh. ja osaamistarp. vast., työvoima-koulutus 4]]-Opv.kohd.[[#This Row],[Nuorisotyöt. väh. ja osaamistarp. vast., työvoima-koulutus 1]]</f>
        <v>0</v>
      </c>
      <c r="AP25" s="204">
        <f>Opv.kohd.[[#This Row],[Yhteensä 4]]-Opv.kohd.[[#This Row],[Yhteensä  1]]</f>
        <v>0</v>
      </c>
      <c r="AQ25" s="204">
        <f>Opv.kohd.[[#This Row],[Ensikertaisella suoritepäätöksellä jaetut tavoitteelliset opiskelijavuodet yhteensä 4]]-Opv.kohd.[[#This Row],[Ensikertaisella suoritepäätöksellä jaetut tavoitteelliset opiskelijavuodet yhteensä 1]]</f>
        <v>0</v>
      </c>
      <c r="AR25" s="208">
        <f>IFERROR(Opv.kohd.[[#This Row],[Järjestämisluvan mukaiset 5]]/Opv.kohd.[[#This Row],[Järjestämisluvan mukaiset 4]],0)</f>
        <v>0</v>
      </c>
      <c r="AS25" s="208">
        <f>IFERROR(Opv.kohd.[[#This Row],[Kohdentamat-tomat 5]]/Opv.kohd.[[#This Row],[Kohdentamat-tomat 4]],0)</f>
        <v>0</v>
      </c>
      <c r="AT25" s="208">
        <f>IFERROR(Opv.kohd.[[#This Row],[Työvoima-koulutus 5]]/Opv.kohd.[[#This Row],[Työvoima-koulutus 4]],0)</f>
        <v>0</v>
      </c>
      <c r="AU25" s="208">
        <f>IFERROR(Opv.kohd.[[#This Row],[Maahan-muuttajien koulutus 5]]/Opv.kohd.[[#This Row],[Maahan-muuttajien koulutus 4]],0)</f>
        <v>0</v>
      </c>
      <c r="AV25" s="208">
        <f>IFERROR(Opv.kohd.[[#This Row],[Nuorisotyöt. väh. ja osaamistarp. vast., muu kuin työvoima-koulutus 5]]/Opv.kohd.[[#This Row],[Nuorisotyöt. väh. ja osaamistarp. vast., muu kuin työvoima-koulutus 4]],0)</f>
        <v>0</v>
      </c>
      <c r="AW25" s="208">
        <f>IFERROR(Opv.kohd.[[#This Row],[Nuorisotyöt. väh. ja osaamistarp. vast., työvoima-koulutus 5]]/Opv.kohd.[[#This Row],[Nuorisotyöt. väh. ja osaamistarp. vast., työvoima-koulutus 4]],0)</f>
        <v>0</v>
      </c>
      <c r="AX25" s="208">
        <f>IFERROR(Opv.kohd.[[#This Row],[Yhteensä 5]]/Opv.kohd.[[#This Row],[Yhteensä 4]],0)</f>
        <v>0</v>
      </c>
      <c r="AY25" s="208">
        <f>IFERROR(Opv.kohd.[[#This Row],[Ensikertaisella suoritepäätöksellä jaetut tavoitteelliset opiskelijavuodet yhteensä 5]]/Opv.kohd.[[#This Row],[Ensikertaisella suoritepäätöksellä jaetut tavoitteelliset opiskelijavuodet yhteensä 4]],0)</f>
        <v>0</v>
      </c>
      <c r="AZ25" s="207">
        <f>Opv.kohd.[[#This Row],[Yhteensä 7a]]-Opv.kohd.[[#This Row],[Työvoima-koulutus 7a]]</f>
        <v>0</v>
      </c>
      <c r="BA25" s="207">
        <f>IFERROR(VLOOKUP(Opv.kohd.[[#This Row],[Y-tunnus]],#REF!,COLUMN(#REF!),FALSE),0)</f>
        <v>0</v>
      </c>
      <c r="BB25" s="207">
        <f>IFERROR(VLOOKUP(Opv.kohd.[[#This Row],[Y-tunnus]],#REF!,COLUMN(#REF!),FALSE),0)</f>
        <v>0</v>
      </c>
      <c r="BC25" s="207">
        <f>Opv.kohd.[[#This Row],[Muu kuin työvoima-koulutus 7c]]-Opv.kohd.[[#This Row],[Muu kuin työvoima-koulutus 7a]]</f>
        <v>0</v>
      </c>
      <c r="BD25" s="207">
        <f>Opv.kohd.[[#This Row],[Työvoima-koulutus 7c]]-Opv.kohd.[[#This Row],[Työvoima-koulutus 7a]]</f>
        <v>0</v>
      </c>
      <c r="BE25" s="207">
        <f>Opv.kohd.[[#This Row],[Yhteensä 7c]]-Opv.kohd.[[#This Row],[Yhteensä 7a]]</f>
        <v>0</v>
      </c>
      <c r="BF25" s="207">
        <f>Opv.kohd.[[#This Row],[Yhteensä 7c]]-Opv.kohd.[[#This Row],[Työvoima-koulutus 7c]]</f>
        <v>0</v>
      </c>
      <c r="BG25" s="207">
        <f>IFERROR(VLOOKUP(Opv.kohd.[[#This Row],[Y-tunnus]],#REF!,COLUMN(#REF!),FALSE),0)</f>
        <v>0</v>
      </c>
      <c r="BH25" s="207">
        <f>IFERROR(VLOOKUP(Opv.kohd.[[#This Row],[Y-tunnus]],#REF!,COLUMN(#REF!),FALSE),0)</f>
        <v>0</v>
      </c>
      <c r="BI25" s="207">
        <f>IFERROR(VLOOKUP(Opv.kohd.[[#This Row],[Y-tunnus]],#REF!,COLUMN(#REF!),FALSE),0)</f>
        <v>0</v>
      </c>
      <c r="BJ25" s="207">
        <f>IFERROR(VLOOKUP(Opv.kohd.[[#This Row],[Y-tunnus]],#REF!,COLUMN(#REF!),FALSE),0)</f>
        <v>0</v>
      </c>
      <c r="BK25" s="207">
        <f>Opv.kohd.[[#This Row],[Muu kuin työvoima-koulutus 7d]]+Opv.kohd.[[#This Row],[Työvoima-koulutus 7d]]</f>
        <v>0</v>
      </c>
      <c r="BL25" s="207">
        <f>Opv.kohd.[[#This Row],[Muu kuin työvoima-koulutus 7c]]-Opv.kohd.[[#This Row],[Muu kuin työvoima-koulutus 7d]]</f>
        <v>0</v>
      </c>
      <c r="BM25" s="207">
        <f>Opv.kohd.[[#This Row],[Työvoima-koulutus 7c]]-Opv.kohd.[[#This Row],[Työvoima-koulutus 7d]]</f>
        <v>0</v>
      </c>
      <c r="BN25" s="207">
        <f>Opv.kohd.[[#This Row],[Yhteensä 7c]]-Opv.kohd.[[#This Row],[Yhteensä 7d]]</f>
        <v>0</v>
      </c>
      <c r="BO25" s="207">
        <f>Opv.kohd.[[#This Row],[Muu kuin työvoima-koulutus 7e]]-(Opv.kohd.[[#This Row],[Järjestämisluvan mukaiset 4]]+Opv.kohd.[[#This Row],[Kohdentamat-tomat 4]]+Opv.kohd.[[#This Row],[Maahan-muuttajien koulutus 4]]+Opv.kohd.[[#This Row],[Nuorisotyöt. väh. ja osaamistarp. vast., muu kuin työvoima-koulutus 4]])</f>
        <v>0</v>
      </c>
      <c r="BP25" s="207">
        <f>Opv.kohd.[[#This Row],[Työvoima-koulutus 7e]]-(Opv.kohd.[[#This Row],[Työvoima-koulutus 4]]+Opv.kohd.[[#This Row],[Nuorisotyöt. väh. ja osaamistarp. vast., työvoima-koulutus 4]])</f>
        <v>0</v>
      </c>
      <c r="BQ25" s="207">
        <f>Opv.kohd.[[#This Row],[Yhteensä 7e]]-Opv.kohd.[[#This Row],[Ensikertaisella suoritepäätöksellä jaetut tavoitteelliset opiskelijavuodet yhteensä 4]]</f>
        <v>0</v>
      </c>
      <c r="BR25" s="263">
        <v>120</v>
      </c>
      <c r="BS25" s="263">
        <v>5</v>
      </c>
      <c r="BT25" s="263">
        <v>0</v>
      </c>
      <c r="BU25" s="263">
        <v>0</v>
      </c>
      <c r="BV25" s="263">
        <v>0</v>
      </c>
      <c r="BW25" s="263">
        <v>0</v>
      </c>
      <c r="BX25" s="263">
        <v>5</v>
      </c>
      <c r="BY25" s="263">
        <v>125</v>
      </c>
      <c r="BZ25" s="207">
        <f t="shared" si="2"/>
        <v>120</v>
      </c>
      <c r="CA25" s="207">
        <f t="shared" si="3"/>
        <v>5</v>
      </c>
      <c r="CB25" s="207">
        <f t="shared" si="4"/>
        <v>0</v>
      </c>
      <c r="CC25" s="207">
        <f t="shared" si="5"/>
        <v>0</v>
      </c>
      <c r="CD25" s="207">
        <f t="shared" si="6"/>
        <v>0</v>
      </c>
      <c r="CE25" s="207">
        <f t="shared" si="7"/>
        <v>0</v>
      </c>
      <c r="CF25" s="207">
        <f t="shared" si="8"/>
        <v>5</v>
      </c>
      <c r="CG25" s="207">
        <f t="shared" si="9"/>
        <v>125</v>
      </c>
      <c r="CH25" s="207">
        <f>Opv.kohd.[[#This Row],[Tavoitteelliset opiskelijavuodet yhteensä 9]]-Opv.kohd.[[#This Row],[Työvoima-koulutus 9]]-Opv.kohd.[[#This Row],[Nuorisotyöt. väh. ja osaamistarp. vast., työvoima-koulutus 9]]-Opv.kohd.[[#This Row],[Muu kuin työvoima-koulutus 7e]]</f>
        <v>125</v>
      </c>
      <c r="CI25" s="207">
        <f>(Opv.kohd.[[#This Row],[Työvoima-koulutus 9]]+Opv.kohd.[[#This Row],[Nuorisotyöt. väh. ja osaamistarp. vast., työvoima-koulutus 9]])-Opv.kohd.[[#This Row],[Työvoima-koulutus 7e]]</f>
        <v>0</v>
      </c>
      <c r="CJ25" s="207">
        <f>Opv.kohd.[[#This Row],[Tavoitteelliset opiskelijavuodet yhteensä 9]]-Opv.kohd.[[#This Row],[Yhteensä 7e]]</f>
        <v>125</v>
      </c>
      <c r="CK25" s="207">
        <f>Opv.kohd.[[#This Row],[Järjestämisluvan mukaiset 4]]+Opv.kohd.[[#This Row],[Järjestämisluvan mukaiset 13]]</f>
        <v>0</v>
      </c>
      <c r="CL25" s="207">
        <f>Opv.kohd.[[#This Row],[Kohdentamat-tomat 4]]+Opv.kohd.[[#This Row],[Kohdentamat-tomat 13]]</f>
        <v>0</v>
      </c>
      <c r="CM25" s="207">
        <f>Opv.kohd.[[#This Row],[Työvoima-koulutus 4]]+Opv.kohd.[[#This Row],[Työvoima-koulutus 13]]</f>
        <v>0</v>
      </c>
      <c r="CN25" s="207">
        <f>Opv.kohd.[[#This Row],[Maahan-muuttajien koulutus 4]]+Opv.kohd.[[#This Row],[Maahan-muuttajien koulutus 13]]</f>
        <v>0</v>
      </c>
      <c r="CO25" s="207">
        <f>Opv.kohd.[[#This Row],[Nuorisotyöt. väh. ja osaamistarp. vast., muu kuin työvoima-koulutus 4]]+Opv.kohd.[[#This Row],[Nuorisotyöt. väh. ja osaamistarp. vast., muu kuin työvoima-koulutus 13]]</f>
        <v>0</v>
      </c>
      <c r="CP25" s="207">
        <f>Opv.kohd.[[#This Row],[Nuorisotyöt. väh. ja osaamistarp. vast., työvoima-koulutus 4]]+Opv.kohd.[[#This Row],[Nuorisotyöt. väh. ja osaamistarp. vast., työvoima-koulutus 13]]</f>
        <v>0</v>
      </c>
      <c r="CQ25" s="207">
        <f>Opv.kohd.[[#This Row],[Yhteensä 4]]+Opv.kohd.[[#This Row],[Yhteensä 13]]</f>
        <v>0</v>
      </c>
      <c r="CR25" s="207">
        <f>Opv.kohd.[[#This Row],[Ensikertaisella suoritepäätöksellä jaetut tavoitteelliset opiskelijavuodet yhteensä 4]]+Opv.kohd.[[#This Row],[Tavoitteelliset opiskelijavuodet yhteensä 13]]</f>
        <v>0</v>
      </c>
      <c r="CS25" s="120">
        <v>0</v>
      </c>
      <c r="CT25" s="120">
        <v>0</v>
      </c>
      <c r="CU25" s="120">
        <v>0</v>
      </c>
      <c r="CV25" s="120">
        <v>0</v>
      </c>
      <c r="CW25" s="120">
        <v>0</v>
      </c>
      <c r="CX25" s="120">
        <v>0</v>
      </c>
      <c r="CY25" s="120">
        <v>0</v>
      </c>
      <c r="CZ25" s="120">
        <v>0</v>
      </c>
      <c r="DA25" s="209">
        <f>IFERROR(Opv.kohd.[[#This Row],[Järjestämisluvan mukaiset 13]]/Opv.kohd.[[#This Row],[Järjestämisluvan mukaiset 12]],0)</f>
        <v>0</v>
      </c>
      <c r="DB25" s="209">
        <f>IFERROR(Opv.kohd.[[#This Row],[Kohdentamat-tomat 13]]/Opv.kohd.[[#This Row],[Kohdentamat-tomat 12]],0)</f>
        <v>0</v>
      </c>
      <c r="DC25" s="209">
        <f>IFERROR(Opv.kohd.[[#This Row],[Työvoima-koulutus 13]]/Opv.kohd.[[#This Row],[Työvoima-koulutus 12]],0)</f>
        <v>0</v>
      </c>
      <c r="DD25" s="209">
        <f>IFERROR(Opv.kohd.[[#This Row],[Maahan-muuttajien koulutus 13]]/Opv.kohd.[[#This Row],[Maahan-muuttajien koulutus 12]],0)</f>
        <v>0</v>
      </c>
      <c r="DE25" s="209">
        <f>IFERROR(Opv.kohd.[[#This Row],[Nuorisotyöt. väh. ja osaamistarp. vast., muu kuin työvoima-koulutus 13]]/Opv.kohd.[[#This Row],[Nuorisotyöt. väh. ja osaamistarp. vast., muu kuin työvoima-koulutus 12]],0)</f>
        <v>0</v>
      </c>
      <c r="DF25" s="209">
        <f>IFERROR(Opv.kohd.[[#This Row],[Nuorisotyöt. väh. ja osaamistarp. vast., työvoima-koulutus 13]]/Opv.kohd.[[#This Row],[Nuorisotyöt. väh. ja osaamistarp. vast., työvoima-koulutus 12]],0)</f>
        <v>0</v>
      </c>
      <c r="DG25" s="209">
        <f>IFERROR(Opv.kohd.[[#This Row],[Yhteensä 13]]/Opv.kohd.[[#This Row],[Yhteensä 12]],0)</f>
        <v>0</v>
      </c>
      <c r="DH25" s="209">
        <f>IFERROR(Opv.kohd.[[#This Row],[Tavoitteelliset opiskelijavuodet yhteensä 13]]/Opv.kohd.[[#This Row],[Tavoitteelliset opiskelijavuodet yhteensä 12]],0)</f>
        <v>0</v>
      </c>
      <c r="DI25" s="207">
        <f>Opv.kohd.[[#This Row],[Järjestämisluvan mukaiset 12]]-Opv.kohd.[[#This Row],[Järjestämisluvan mukaiset 9]]</f>
        <v>-120</v>
      </c>
      <c r="DJ25" s="207">
        <f>Opv.kohd.[[#This Row],[Kohdentamat-tomat 12]]-Opv.kohd.[[#This Row],[Kohdentamat-tomat 9]]</f>
        <v>-5</v>
      </c>
      <c r="DK25" s="207">
        <f>Opv.kohd.[[#This Row],[Työvoima-koulutus 12]]-Opv.kohd.[[#This Row],[Työvoima-koulutus 9]]</f>
        <v>0</v>
      </c>
      <c r="DL25" s="207">
        <f>Opv.kohd.[[#This Row],[Maahan-muuttajien koulutus 12]]-Opv.kohd.[[#This Row],[Maahan-muuttajien koulutus 9]]</f>
        <v>0</v>
      </c>
      <c r="DM25" s="207">
        <f>Opv.kohd.[[#This Row],[Nuorisotyöt. väh. ja osaamistarp. vast., muu kuin työvoima-koulutus 12]]-Opv.kohd.[[#This Row],[Nuorisotyöt. väh. ja osaamistarp. vast., muu kuin työvoima-koulutus 9]]</f>
        <v>0</v>
      </c>
      <c r="DN25" s="207">
        <f>Opv.kohd.[[#This Row],[Nuorisotyöt. väh. ja osaamistarp. vast., työvoima-koulutus 12]]-Opv.kohd.[[#This Row],[Nuorisotyöt. väh. ja osaamistarp. vast., työvoima-koulutus 9]]</f>
        <v>0</v>
      </c>
      <c r="DO25" s="207">
        <f>Opv.kohd.[[#This Row],[Yhteensä 12]]-Opv.kohd.[[#This Row],[Yhteensä 9]]</f>
        <v>-5</v>
      </c>
      <c r="DP25" s="207">
        <f>Opv.kohd.[[#This Row],[Tavoitteelliset opiskelijavuodet yhteensä 12]]-Opv.kohd.[[#This Row],[Tavoitteelliset opiskelijavuodet yhteensä 9]]</f>
        <v>-125</v>
      </c>
      <c r="DQ25" s="209">
        <f>IFERROR(Opv.kohd.[[#This Row],[Järjestämisluvan mukaiset 15]]/Opv.kohd.[[#This Row],[Järjestämisluvan mukaiset 9]],0)</f>
        <v>-1</v>
      </c>
      <c r="DR25" s="209">
        <f t="shared" si="10"/>
        <v>0</v>
      </c>
      <c r="DS25" s="209">
        <f t="shared" si="11"/>
        <v>0</v>
      </c>
      <c r="DT25" s="209">
        <f t="shared" si="12"/>
        <v>0</v>
      </c>
      <c r="DU25" s="209">
        <f t="shared" si="13"/>
        <v>0</v>
      </c>
      <c r="DV25" s="209">
        <f t="shared" si="14"/>
        <v>0</v>
      </c>
      <c r="DW25" s="209">
        <f t="shared" si="15"/>
        <v>0</v>
      </c>
      <c r="DX25" s="209">
        <f t="shared" si="16"/>
        <v>0</v>
      </c>
    </row>
    <row r="26" spans="1:128" x14ac:dyDescent="0.25">
      <c r="A26" s="204" t="e">
        <f>IF(INDEX(#REF!,ROW(26:26)-1,1)=0,"",INDEX(#REF!,ROW(26:26)-1,1))</f>
        <v>#REF!</v>
      </c>
      <c r="B26" s="205" t="str">
        <f>IFERROR(VLOOKUP(Opv.kohd.[[#This Row],[Y-tunnus]],'0 Järjestäjätiedot'!$A:$H,2,FALSE),"")</f>
        <v/>
      </c>
      <c r="C26" s="204" t="str">
        <f>IFERROR(VLOOKUP(Opv.kohd.[[#This Row],[Y-tunnus]],'0 Järjestäjätiedot'!$A:$H,COLUMN('0 Järjestäjätiedot'!D:D),FALSE),"")</f>
        <v/>
      </c>
      <c r="D26" s="204" t="str">
        <f>IFERROR(VLOOKUP(Opv.kohd.[[#This Row],[Y-tunnus]],'0 Järjestäjätiedot'!$A:$H,COLUMN('0 Järjestäjätiedot'!H:H),FALSE),"")</f>
        <v/>
      </c>
      <c r="E26" s="204">
        <f>IFERROR(VLOOKUP(Opv.kohd.[[#This Row],[Y-tunnus]],#REF!,COLUMN(#REF!),FALSE),0)</f>
        <v>0</v>
      </c>
      <c r="F26" s="204">
        <f>IFERROR(VLOOKUP(Opv.kohd.[[#This Row],[Y-tunnus]],#REF!,COLUMN(#REF!),FALSE),0)</f>
        <v>0</v>
      </c>
      <c r="G26" s="204">
        <f>IFERROR(VLOOKUP(Opv.kohd.[[#This Row],[Y-tunnus]],#REF!,COLUMN(#REF!),FALSE),0)</f>
        <v>0</v>
      </c>
      <c r="H26" s="204">
        <f>IFERROR(VLOOKUP(Opv.kohd.[[#This Row],[Y-tunnus]],#REF!,COLUMN(#REF!),FALSE),0)</f>
        <v>0</v>
      </c>
      <c r="I26" s="204">
        <f>IFERROR(VLOOKUP(Opv.kohd.[[#This Row],[Y-tunnus]],#REF!,COLUMN(#REF!),FALSE),0)</f>
        <v>0</v>
      </c>
      <c r="J26" s="204">
        <f>IFERROR(VLOOKUP(Opv.kohd.[[#This Row],[Y-tunnus]],#REF!,COLUMN(#REF!),FALSE),0)</f>
        <v>0</v>
      </c>
      <c r="K2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26" s="204">
        <f>Opv.kohd.[[#This Row],[Järjestämisluvan mukaiset 1]]+Opv.kohd.[[#This Row],[Yhteensä  1]]</f>
        <v>0</v>
      </c>
      <c r="M26" s="204">
        <f>IFERROR(VLOOKUP(Opv.kohd.[[#This Row],[Y-tunnus]],#REF!,COLUMN(#REF!),FALSE),0)</f>
        <v>0</v>
      </c>
      <c r="N26" s="204">
        <f>IFERROR(VLOOKUP(Opv.kohd.[[#This Row],[Y-tunnus]],#REF!,COLUMN(#REF!),FALSE),0)</f>
        <v>0</v>
      </c>
      <c r="O26" s="204">
        <f>IFERROR(VLOOKUP(Opv.kohd.[[#This Row],[Y-tunnus]],#REF!,COLUMN(#REF!),FALSE)+VLOOKUP(Opv.kohd.[[#This Row],[Y-tunnus]],#REF!,COLUMN(#REF!),FALSE),0)</f>
        <v>0</v>
      </c>
      <c r="P26" s="204">
        <f>Opv.kohd.[[#This Row],[Talousarvion perusteella kohdentamattomat]]+Opv.kohd.[[#This Row],[Talousarvion perusteella työvoimakoulutus 1]]+Opv.kohd.[[#This Row],[Lisätalousarvioiden perusteella]]</f>
        <v>0</v>
      </c>
      <c r="Q26" s="204">
        <f>IFERROR(VLOOKUP(Opv.kohd.[[#This Row],[Y-tunnus]],#REF!,COLUMN(#REF!),FALSE),0)</f>
        <v>0</v>
      </c>
      <c r="R26" s="210">
        <f>IFERROR(VLOOKUP(Opv.kohd.[[#This Row],[Y-tunnus]],#REF!,COLUMN(#REF!),FALSE)-(Opv.kohd.[[#This Row],[Kohdentamaton työvoima-koulutus 2]]+Opv.kohd.[[#This Row],[Maahan-muuttajien koulutus 2]]+Opv.kohd.[[#This Row],[Lisätalousarvioiden perusteella jaetut 2]]),0)</f>
        <v>0</v>
      </c>
      <c r="S26" s="210">
        <f>IFERROR(VLOOKUP(Opv.kohd.[[#This Row],[Y-tunnus]],#REF!,COLUMN(#REF!),FALSE)+VLOOKUP(Opv.kohd.[[#This Row],[Y-tunnus]],#REF!,COLUMN(#REF!),FALSE),0)</f>
        <v>0</v>
      </c>
      <c r="T26" s="210">
        <f>IFERROR(VLOOKUP(Opv.kohd.[[#This Row],[Y-tunnus]],#REF!,COLUMN(#REF!),FALSE)+VLOOKUP(Opv.kohd.[[#This Row],[Y-tunnus]],#REF!,COLUMN(#REF!),FALSE),0)</f>
        <v>0</v>
      </c>
      <c r="U2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26" s="210">
        <f>Opv.kohd.[[#This Row],[Kohdentamat-tomat 2]]+Opv.kohd.[[#This Row],[Kohdentamaton työvoima-koulutus 2]]+Opv.kohd.[[#This Row],[Maahan-muuttajien koulutus 2]]+Opv.kohd.[[#This Row],[Lisätalousarvioiden perusteella jaetut 2]]</f>
        <v>0</v>
      </c>
      <c r="W26" s="210">
        <f>Opv.kohd.[[#This Row],[Kohdentamat-tomat 2]]-(Opv.kohd.[[#This Row],[Järjestämisluvan mukaiset 1]]+Opv.kohd.[[#This Row],[Kohdentamat-tomat 1]]+Opv.kohd.[[#This Row],[Nuorisotyöt. väh. ja osaamistarp. vast., muu kuin työvoima-koulutus 1]]+Opv.kohd.[[#This Row],[Talousarvion perusteella kohdentamattomat]])</f>
        <v>0</v>
      </c>
      <c r="X26" s="210">
        <f>Opv.kohd.[[#This Row],[Kohdentamaton työvoima-koulutus 2]]-(Opv.kohd.[[#This Row],[Työvoima-koulutus 1]]+Opv.kohd.[[#This Row],[Nuorisotyöt. väh. ja osaamistarp. vast., työvoima-koulutus 1]]+Opv.kohd.[[#This Row],[Talousarvion perusteella työvoimakoulutus 1]])</f>
        <v>0</v>
      </c>
      <c r="Y26" s="210">
        <f>Opv.kohd.[[#This Row],[Maahan-muuttajien koulutus 2]]-Opv.kohd.[[#This Row],[Maahan-muuttajien koulutus 1]]</f>
        <v>0</v>
      </c>
      <c r="Z26" s="210">
        <f>Opv.kohd.[[#This Row],[Lisätalousarvioiden perusteella jaetut 2]]-Opv.kohd.[[#This Row],[Lisätalousarvioiden perusteella]]</f>
        <v>0</v>
      </c>
      <c r="AA26" s="210">
        <f>Opv.kohd.[[#This Row],[Toteutuneet opiskelijavuodet yhteensä 2]]-Opv.kohd.[[#This Row],[Vuoden 2018 tavoitteelliset opiskelijavuodet yhteensä 1]]</f>
        <v>0</v>
      </c>
      <c r="AB26" s="207">
        <f>IFERROR(VLOOKUP(Opv.kohd.[[#This Row],[Y-tunnus]],#REF!,3,FALSE),0)</f>
        <v>0</v>
      </c>
      <c r="AC26" s="207">
        <f>IFERROR(VLOOKUP(Opv.kohd.[[#This Row],[Y-tunnus]],#REF!,4,FALSE),0)</f>
        <v>0</v>
      </c>
      <c r="AD26" s="207">
        <f>IFERROR(VLOOKUP(Opv.kohd.[[#This Row],[Y-tunnus]],#REF!,5,FALSE),0)</f>
        <v>0</v>
      </c>
      <c r="AE26" s="207">
        <f>IFERROR(VLOOKUP(Opv.kohd.[[#This Row],[Y-tunnus]],#REF!,6,FALSE),0)</f>
        <v>0</v>
      </c>
      <c r="AF26" s="207">
        <f>IFERROR(VLOOKUP(Opv.kohd.[[#This Row],[Y-tunnus]],#REF!,7,FALSE),0)</f>
        <v>0</v>
      </c>
      <c r="AG26" s="207">
        <f>IFERROR(VLOOKUP(Opv.kohd.[[#This Row],[Y-tunnus]],#REF!,8,FALSE),0)</f>
        <v>0</v>
      </c>
      <c r="AH26" s="207">
        <f>IFERROR(VLOOKUP(Opv.kohd.[[#This Row],[Y-tunnus]],#REF!,9,FALSE),0)</f>
        <v>0</v>
      </c>
      <c r="AI26" s="207">
        <f>IFERROR(VLOOKUP(Opv.kohd.[[#This Row],[Y-tunnus]],#REF!,10,FALSE),0)</f>
        <v>0</v>
      </c>
      <c r="AJ26" s="204">
        <f>Opv.kohd.[[#This Row],[Järjestämisluvan mukaiset 4]]-Opv.kohd.[[#This Row],[Järjestämisluvan mukaiset 1]]</f>
        <v>0</v>
      </c>
      <c r="AK26" s="204">
        <f>Opv.kohd.[[#This Row],[Kohdentamat-tomat 4]]-Opv.kohd.[[#This Row],[Kohdentamat-tomat 1]]</f>
        <v>0</v>
      </c>
      <c r="AL26" s="204">
        <f>Opv.kohd.[[#This Row],[Työvoima-koulutus 4]]-Opv.kohd.[[#This Row],[Työvoima-koulutus 1]]</f>
        <v>0</v>
      </c>
      <c r="AM26" s="204">
        <f>Opv.kohd.[[#This Row],[Maahan-muuttajien koulutus 4]]-Opv.kohd.[[#This Row],[Maahan-muuttajien koulutus 1]]</f>
        <v>0</v>
      </c>
      <c r="AN26" s="204">
        <f>Opv.kohd.[[#This Row],[Nuorisotyöt. väh. ja osaamistarp. vast., muu kuin työvoima-koulutus 4]]-Opv.kohd.[[#This Row],[Nuorisotyöt. väh. ja osaamistarp. vast., muu kuin työvoima-koulutus 1]]</f>
        <v>0</v>
      </c>
      <c r="AO26" s="204">
        <f>Opv.kohd.[[#This Row],[Nuorisotyöt. väh. ja osaamistarp. vast., työvoima-koulutus 4]]-Opv.kohd.[[#This Row],[Nuorisotyöt. väh. ja osaamistarp. vast., työvoima-koulutus 1]]</f>
        <v>0</v>
      </c>
      <c r="AP26" s="204">
        <f>Opv.kohd.[[#This Row],[Yhteensä 4]]-Opv.kohd.[[#This Row],[Yhteensä  1]]</f>
        <v>0</v>
      </c>
      <c r="AQ26" s="204">
        <f>Opv.kohd.[[#This Row],[Ensikertaisella suoritepäätöksellä jaetut tavoitteelliset opiskelijavuodet yhteensä 4]]-Opv.kohd.[[#This Row],[Ensikertaisella suoritepäätöksellä jaetut tavoitteelliset opiskelijavuodet yhteensä 1]]</f>
        <v>0</v>
      </c>
      <c r="AR26" s="208">
        <f>IFERROR(Opv.kohd.[[#This Row],[Järjestämisluvan mukaiset 5]]/Opv.kohd.[[#This Row],[Järjestämisluvan mukaiset 4]],0)</f>
        <v>0</v>
      </c>
      <c r="AS26" s="208">
        <f>IFERROR(Opv.kohd.[[#This Row],[Kohdentamat-tomat 5]]/Opv.kohd.[[#This Row],[Kohdentamat-tomat 4]],0)</f>
        <v>0</v>
      </c>
      <c r="AT26" s="208">
        <f>IFERROR(Opv.kohd.[[#This Row],[Työvoima-koulutus 5]]/Opv.kohd.[[#This Row],[Työvoima-koulutus 4]],0)</f>
        <v>0</v>
      </c>
      <c r="AU26" s="208">
        <f>IFERROR(Opv.kohd.[[#This Row],[Maahan-muuttajien koulutus 5]]/Opv.kohd.[[#This Row],[Maahan-muuttajien koulutus 4]],0)</f>
        <v>0</v>
      </c>
      <c r="AV26" s="208">
        <f>IFERROR(Opv.kohd.[[#This Row],[Nuorisotyöt. väh. ja osaamistarp. vast., muu kuin työvoima-koulutus 5]]/Opv.kohd.[[#This Row],[Nuorisotyöt. väh. ja osaamistarp. vast., muu kuin työvoima-koulutus 4]],0)</f>
        <v>0</v>
      </c>
      <c r="AW26" s="208">
        <f>IFERROR(Opv.kohd.[[#This Row],[Nuorisotyöt. väh. ja osaamistarp. vast., työvoima-koulutus 5]]/Opv.kohd.[[#This Row],[Nuorisotyöt. väh. ja osaamistarp. vast., työvoima-koulutus 4]],0)</f>
        <v>0</v>
      </c>
      <c r="AX26" s="208">
        <f>IFERROR(Opv.kohd.[[#This Row],[Yhteensä 5]]/Opv.kohd.[[#This Row],[Yhteensä 4]],0)</f>
        <v>0</v>
      </c>
      <c r="AY26" s="208">
        <f>IFERROR(Opv.kohd.[[#This Row],[Ensikertaisella suoritepäätöksellä jaetut tavoitteelliset opiskelijavuodet yhteensä 5]]/Opv.kohd.[[#This Row],[Ensikertaisella suoritepäätöksellä jaetut tavoitteelliset opiskelijavuodet yhteensä 4]],0)</f>
        <v>0</v>
      </c>
      <c r="AZ26" s="207">
        <f>Opv.kohd.[[#This Row],[Yhteensä 7a]]-Opv.kohd.[[#This Row],[Työvoima-koulutus 7a]]</f>
        <v>0</v>
      </c>
      <c r="BA26" s="207">
        <f>IFERROR(VLOOKUP(Opv.kohd.[[#This Row],[Y-tunnus]],#REF!,COLUMN(#REF!),FALSE),0)</f>
        <v>0</v>
      </c>
      <c r="BB26" s="207">
        <f>IFERROR(VLOOKUP(Opv.kohd.[[#This Row],[Y-tunnus]],#REF!,COLUMN(#REF!),FALSE),0)</f>
        <v>0</v>
      </c>
      <c r="BC26" s="207">
        <f>Opv.kohd.[[#This Row],[Muu kuin työvoima-koulutus 7c]]-Opv.kohd.[[#This Row],[Muu kuin työvoima-koulutus 7a]]</f>
        <v>0</v>
      </c>
      <c r="BD26" s="207">
        <f>Opv.kohd.[[#This Row],[Työvoima-koulutus 7c]]-Opv.kohd.[[#This Row],[Työvoima-koulutus 7a]]</f>
        <v>0</v>
      </c>
      <c r="BE26" s="207">
        <f>Opv.kohd.[[#This Row],[Yhteensä 7c]]-Opv.kohd.[[#This Row],[Yhteensä 7a]]</f>
        <v>0</v>
      </c>
      <c r="BF26" s="207">
        <f>Opv.kohd.[[#This Row],[Yhteensä 7c]]-Opv.kohd.[[#This Row],[Työvoima-koulutus 7c]]</f>
        <v>0</v>
      </c>
      <c r="BG26" s="207">
        <f>IFERROR(VLOOKUP(Opv.kohd.[[#This Row],[Y-tunnus]],#REF!,COLUMN(#REF!),FALSE),0)</f>
        <v>0</v>
      </c>
      <c r="BH26" s="207">
        <f>IFERROR(VLOOKUP(Opv.kohd.[[#This Row],[Y-tunnus]],#REF!,COLUMN(#REF!),FALSE),0)</f>
        <v>0</v>
      </c>
      <c r="BI26" s="207">
        <f>IFERROR(VLOOKUP(Opv.kohd.[[#This Row],[Y-tunnus]],#REF!,COLUMN(#REF!),FALSE),0)</f>
        <v>0</v>
      </c>
      <c r="BJ26" s="207">
        <f>IFERROR(VLOOKUP(Opv.kohd.[[#This Row],[Y-tunnus]],#REF!,COLUMN(#REF!),FALSE),0)</f>
        <v>0</v>
      </c>
      <c r="BK26" s="207">
        <f>Opv.kohd.[[#This Row],[Muu kuin työvoima-koulutus 7d]]+Opv.kohd.[[#This Row],[Työvoima-koulutus 7d]]</f>
        <v>0</v>
      </c>
      <c r="BL26" s="207">
        <f>Opv.kohd.[[#This Row],[Muu kuin työvoima-koulutus 7c]]-Opv.kohd.[[#This Row],[Muu kuin työvoima-koulutus 7d]]</f>
        <v>0</v>
      </c>
      <c r="BM26" s="207">
        <f>Opv.kohd.[[#This Row],[Työvoima-koulutus 7c]]-Opv.kohd.[[#This Row],[Työvoima-koulutus 7d]]</f>
        <v>0</v>
      </c>
      <c r="BN26" s="207">
        <f>Opv.kohd.[[#This Row],[Yhteensä 7c]]-Opv.kohd.[[#This Row],[Yhteensä 7d]]</f>
        <v>0</v>
      </c>
      <c r="BO26" s="207">
        <f>Opv.kohd.[[#This Row],[Muu kuin työvoima-koulutus 7e]]-(Opv.kohd.[[#This Row],[Järjestämisluvan mukaiset 4]]+Opv.kohd.[[#This Row],[Kohdentamat-tomat 4]]+Opv.kohd.[[#This Row],[Maahan-muuttajien koulutus 4]]+Opv.kohd.[[#This Row],[Nuorisotyöt. väh. ja osaamistarp. vast., muu kuin työvoima-koulutus 4]])</f>
        <v>0</v>
      </c>
      <c r="BP26" s="207">
        <f>Opv.kohd.[[#This Row],[Työvoima-koulutus 7e]]-(Opv.kohd.[[#This Row],[Työvoima-koulutus 4]]+Opv.kohd.[[#This Row],[Nuorisotyöt. väh. ja osaamistarp. vast., työvoima-koulutus 4]])</f>
        <v>0</v>
      </c>
      <c r="BQ26" s="207">
        <f>Opv.kohd.[[#This Row],[Yhteensä 7e]]-Opv.kohd.[[#This Row],[Ensikertaisella suoritepäätöksellä jaetut tavoitteelliset opiskelijavuodet yhteensä 4]]</f>
        <v>0</v>
      </c>
      <c r="BR26" s="263">
        <v>183</v>
      </c>
      <c r="BS26" s="263">
        <v>27</v>
      </c>
      <c r="BT26" s="263">
        <v>0</v>
      </c>
      <c r="BU26" s="263">
        <v>0</v>
      </c>
      <c r="BV26" s="263">
        <v>0</v>
      </c>
      <c r="BW26" s="263">
        <v>0</v>
      </c>
      <c r="BX26" s="263">
        <v>27</v>
      </c>
      <c r="BY26" s="263">
        <v>210</v>
      </c>
      <c r="BZ26" s="207">
        <f t="shared" si="2"/>
        <v>183</v>
      </c>
      <c r="CA26" s="207">
        <f t="shared" si="3"/>
        <v>27</v>
      </c>
      <c r="CB26" s="207">
        <f t="shared" si="4"/>
        <v>0</v>
      </c>
      <c r="CC26" s="207">
        <f t="shared" si="5"/>
        <v>0</v>
      </c>
      <c r="CD26" s="207">
        <f t="shared" si="6"/>
        <v>0</v>
      </c>
      <c r="CE26" s="207">
        <f t="shared" si="7"/>
        <v>0</v>
      </c>
      <c r="CF26" s="207">
        <f t="shared" si="8"/>
        <v>27</v>
      </c>
      <c r="CG26" s="207">
        <f t="shared" si="9"/>
        <v>210</v>
      </c>
      <c r="CH26" s="207">
        <f>Opv.kohd.[[#This Row],[Tavoitteelliset opiskelijavuodet yhteensä 9]]-Opv.kohd.[[#This Row],[Työvoima-koulutus 9]]-Opv.kohd.[[#This Row],[Nuorisotyöt. väh. ja osaamistarp. vast., työvoima-koulutus 9]]-Opv.kohd.[[#This Row],[Muu kuin työvoima-koulutus 7e]]</f>
        <v>210</v>
      </c>
      <c r="CI26" s="207">
        <f>(Opv.kohd.[[#This Row],[Työvoima-koulutus 9]]+Opv.kohd.[[#This Row],[Nuorisotyöt. väh. ja osaamistarp. vast., työvoima-koulutus 9]])-Opv.kohd.[[#This Row],[Työvoima-koulutus 7e]]</f>
        <v>0</v>
      </c>
      <c r="CJ26" s="207">
        <f>Opv.kohd.[[#This Row],[Tavoitteelliset opiskelijavuodet yhteensä 9]]-Opv.kohd.[[#This Row],[Yhteensä 7e]]</f>
        <v>210</v>
      </c>
      <c r="CK26" s="207">
        <f>Opv.kohd.[[#This Row],[Järjestämisluvan mukaiset 4]]+Opv.kohd.[[#This Row],[Järjestämisluvan mukaiset 13]]</f>
        <v>0</v>
      </c>
      <c r="CL26" s="207">
        <f>Opv.kohd.[[#This Row],[Kohdentamat-tomat 4]]+Opv.kohd.[[#This Row],[Kohdentamat-tomat 13]]</f>
        <v>0</v>
      </c>
      <c r="CM26" s="207">
        <f>Opv.kohd.[[#This Row],[Työvoima-koulutus 4]]+Opv.kohd.[[#This Row],[Työvoima-koulutus 13]]</f>
        <v>0</v>
      </c>
      <c r="CN26" s="207">
        <f>Opv.kohd.[[#This Row],[Maahan-muuttajien koulutus 4]]+Opv.kohd.[[#This Row],[Maahan-muuttajien koulutus 13]]</f>
        <v>0</v>
      </c>
      <c r="CO26" s="207">
        <f>Opv.kohd.[[#This Row],[Nuorisotyöt. väh. ja osaamistarp. vast., muu kuin työvoima-koulutus 4]]+Opv.kohd.[[#This Row],[Nuorisotyöt. väh. ja osaamistarp. vast., muu kuin työvoima-koulutus 13]]</f>
        <v>0</v>
      </c>
      <c r="CP26" s="207">
        <f>Opv.kohd.[[#This Row],[Nuorisotyöt. väh. ja osaamistarp. vast., työvoima-koulutus 4]]+Opv.kohd.[[#This Row],[Nuorisotyöt. väh. ja osaamistarp. vast., työvoima-koulutus 13]]</f>
        <v>0</v>
      </c>
      <c r="CQ26" s="207">
        <f>Opv.kohd.[[#This Row],[Yhteensä 4]]+Opv.kohd.[[#This Row],[Yhteensä 13]]</f>
        <v>0</v>
      </c>
      <c r="CR26" s="207">
        <f>Opv.kohd.[[#This Row],[Ensikertaisella suoritepäätöksellä jaetut tavoitteelliset opiskelijavuodet yhteensä 4]]+Opv.kohd.[[#This Row],[Tavoitteelliset opiskelijavuodet yhteensä 13]]</f>
        <v>0</v>
      </c>
      <c r="CS26" s="120">
        <v>0</v>
      </c>
      <c r="CT26" s="120">
        <v>0</v>
      </c>
      <c r="CU26" s="120">
        <v>0</v>
      </c>
      <c r="CV26" s="120">
        <v>0</v>
      </c>
      <c r="CW26" s="120">
        <v>0</v>
      </c>
      <c r="CX26" s="120">
        <v>0</v>
      </c>
      <c r="CY26" s="120">
        <v>0</v>
      </c>
      <c r="CZ26" s="120">
        <v>0</v>
      </c>
      <c r="DA26" s="209">
        <f>IFERROR(Opv.kohd.[[#This Row],[Järjestämisluvan mukaiset 13]]/Opv.kohd.[[#This Row],[Järjestämisluvan mukaiset 12]],0)</f>
        <v>0</v>
      </c>
      <c r="DB26" s="209">
        <f>IFERROR(Opv.kohd.[[#This Row],[Kohdentamat-tomat 13]]/Opv.kohd.[[#This Row],[Kohdentamat-tomat 12]],0)</f>
        <v>0</v>
      </c>
      <c r="DC26" s="209">
        <f>IFERROR(Opv.kohd.[[#This Row],[Työvoima-koulutus 13]]/Opv.kohd.[[#This Row],[Työvoima-koulutus 12]],0)</f>
        <v>0</v>
      </c>
      <c r="DD26" s="209">
        <f>IFERROR(Opv.kohd.[[#This Row],[Maahan-muuttajien koulutus 13]]/Opv.kohd.[[#This Row],[Maahan-muuttajien koulutus 12]],0)</f>
        <v>0</v>
      </c>
      <c r="DE26" s="209">
        <f>IFERROR(Opv.kohd.[[#This Row],[Nuorisotyöt. väh. ja osaamistarp. vast., muu kuin työvoima-koulutus 13]]/Opv.kohd.[[#This Row],[Nuorisotyöt. väh. ja osaamistarp. vast., muu kuin työvoima-koulutus 12]],0)</f>
        <v>0</v>
      </c>
      <c r="DF26" s="209">
        <f>IFERROR(Opv.kohd.[[#This Row],[Nuorisotyöt. väh. ja osaamistarp. vast., työvoima-koulutus 13]]/Opv.kohd.[[#This Row],[Nuorisotyöt. väh. ja osaamistarp. vast., työvoima-koulutus 12]],0)</f>
        <v>0</v>
      </c>
      <c r="DG26" s="209">
        <f>IFERROR(Opv.kohd.[[#This Row],[Yhteensä 13]]/Opv.kohd.[[#This Row],[Yhteensä 12]],0)</f>
        <v>0</v>
      </c>
      <c r="DH26" s="209">
        <f>IFERROR(Opv.kohd.[[#This Row],[Tavoitteelliset opiskelijavuodet yhteensä 13]]/Opv.kohd.[[#This Row],[Tavoitteelliset opiskelijavuodet yhteensä 12]],0)</f>
        <v>0</v>
      </c>
      <c r="DI26" s="207">
        <f>Opv.kohd.[[#This Row],[Järjestämisluvan mukaiset 12]]-Opv.kohd.[[#This Row],[Järjestämisluvan mukaiset 9]]</f>
        <v>-183</v>
      </c>
      <c r="DJ26" s="207">
        <f>Opv.kohd.[[#This Row],[Kohdentamat-tomat 12]]-Opv.kohd.[[#This Row],[Kohdentamat-tomat 9]]</f>
        <v>-27</v>
      </c>
      <c r="DK26" s="207">
        <f>Opv.kohd.[[#This Row],[Työvoima-koulutus 12]]-Opv.kohd.[[#This Row],[Työvoima-koulutus 9]]</f>
        <v>0</v>
      </c>
      <c r="DL26" s="207">
        <f>Opv.kohd.[[#This Row],[Maahan-muuttajien koulutus 12]]-Opv.kohd.[[#This Row],[Maahan-muuttajien koulutus 9]]</f>
        <v>0</v>
      </c>
      <c r="DM26" s="207">
        <f>Opv.kohd.[[#This Row],[Nuorisotyöt. väh. ja osaamistarp. vast., muu kuin työvoima-koulutus 12]]-Opv.kohd.[[#This Row],[Nuorisotyöt. väh. ja osaamistarp. vast., muu kuin työvoima-koulutus 9]]</f>
        <v>0</v>
      </c>
      <c r="DN26" s="207">
        <f>Opv.kohd.[[#This Row],[Nuorisotyöt. väh. ja osaamistarp. vast., työvoima-koulutus 12]]-Opv.kohd.[[#This Row],[Nuorisotyöt. väh. ja osaamistarp. vast., työvoima-koulutus 9]]</f>
        <v>0</v>
      </c>
      <c r="DO26" s="207">
        <f>Opv.kohd.[[#This Row],[Yhteensä 12]]-Opv.kohd.[[#This Row],[Yhteensä 9]]</f>
        <v>-27</v>
      </c>
      <c r="DP26" s="207">
        <f>Opv.kohd.[[#This Row],[Tavoitteelliset opiskelijavuodet yhteensä 12]]-Opv.kohd.[[#This Row],[Tavoitteelliset opiskelijavuodet yhteensä 9]]</f>
        <v>-210</v>
      </c>
      <c r="DQ26" s="209">
        <f>IFERROR(Opv.kohd.[[#This Row],[Järjestämisluvan mukaiset 15]]/Opv.kohd.[[#This Row],[Järjestämisluvan mukaiset 9]],0)</f>
        <v>-1</v>
      </c>
      <c r="DR26" s="209">
        <f t="shared" si="10"/>
        <v>0</v>
      </c>
      <c r="DS26" s="209">
        <f t="shared" si="11"/>
        <v>0</v>
      </c>
      <c r="DT26" s="209">
        <f t="shared" si="12"/>
        <v>0</v>
      </c>
      <c r="DU26" s="209">
        <f t="shared" si="13"/>
        <v>0</v>
      </c>
      <c r="DV26" s="209">
        <f t="shared" si="14"/>
        <v>0</v>
      </c>
      <c r="DW26" s="209">
        <f t="shared" si="15"/>
        <v>0</v>
      </c>
      <c r="DX26" s="209">
        <f t="shared" si="16"/>
        <v>0</v>
      </c>
    </row>
    <row r="27" spans="1:128" x14ac:dyDescent="0.25">
      <c r="A27" s="204" t="e">
        <f>IF(INDEX(#REF!,ROW(27:27)-1,1)=0,"",INDEX(#REF!,ROW(27:27)-1,1))</f>
        <v>#REF!</v>
      </c>
      <c r="B27" s="205" t="str">
        <f>IFERROR(VLOOKUP(Opv.kohd.[[#This Row],[Y-tunnus]],'0 Järjestäjätiedot'!$A:$H,2,FALSE),"")</f>
        <v/>
      </c>
      <c r="C27" s="204" t="str">
        <f>IFERROR(VLOOKUP(Opv.kohd.[[#This Row],[Y-tunnus]],'0 Järjestäjätiedot'!$A:$H,COLUMN('0 Järjestäjätiedot'!D:D),FALSE),"")</f>
        <v/>
      </c>
      <c r="D27" s="204" t="str">
        <f>IFERROR(VLOOKUP(Opv.kohd.[[#This Row],[Y-tunnus]],'0 Järjestäjätiedot'!$A:$H,COLUMN('0 Järjestäjätiedot'!H:H),FALSE),"")</f>
        <v/>
      </c>
      <c r="E27" s="204">
        <f>IFERROR(VLOOKUP(Opv.kohd.[[#This Row],[Y-tunnus]],#REF!,COLUMN(#REF!),FALSE),0)</f>
        <v>0</v>
      </c>
      <c r="F27" s="204">
        <f>IFERROR(VLOOKUP(Opv.kohd.[[#This Row],[Y-tunnus]],#REF!,COLUMN(#REF!),FALSE),0)</f>
        <v>0</v>
      </c>
      <c r="G27" s="204">
        <f>IFERROR(VLOOKUP(Opv.kohd.[[#This Row],[Y-tunnus]],#REF!,COLUMN(#REF!),FALSE),0)</f>
        <v>0</v>
      </c>
      <c r="H27" s="204">
        <f>IFERROR(VLOOKUP(Opv.kohd.[[#This Row],[Y-tunnus]],#REF!,COLUMN(#REF!),FALSE),0)</f>
        <v>0</v>
      </c>
      <c r="I27" s="204">
        <f>IFERROR(VLOOKUP(Opv.kohd.[[#This Row],[Y-tunnus]],#REF!,COLUMN(#REF!),FALSE),0)</f>
        <v>0</v>
      </c>
      <c r="J27" s="204">
        <f>IFERROR(VLOOKUP(Opv.kohd.[[#This Row],[Y-tunnus]],#REF!,COLUMN(#REF!),FALSE),0)</f>
        <v>0</v>
      </c>
      <c r="K2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27" s="204">
        <f>Opv.kohd.[[#This Row],[Järjestämisluvan mukaiset 1]]+Opv.kohd.[[#This Row],[Yhteensä  1]]</f>
        <v>0</v>
      </c>
      <c r="M27" s="204">
        <f>IFERROR(VLOOKUP(Opv.kohd.[[#This Row],[Y-tunnus]],#REF!,COLUMN(#REF!),FALSE),0)</f>
        <v>0</v>
      </c>
      <c r="N27" s="204">
        <f>IFERROR(VLOOKUP(Opv.kohd.[[#This Row],[Y-tunnus]],#REF!,COLUMN(#REF!),FALSE),0)</f>
        <v>0</v>
      </c>
      <c r="O27" s="204">
        <f>IFERROR(VLOOKUP(Opv.kohd.[[#This Row],[Y-tunnus]],#REF!,COLUMN(#REF!),FALSE)+VLOOKUP(Opv.kohd.[[#This Row],[Y-tunnus]],#REF!,COLUMN(#REF!),FALSE),0)</f>
        <v>0</v>
      </c>
      <c r="P27" s="204">
        <f>Opv.kohd.[[#This Row],[Talousarvion perusteella kohdentamattomat]]+Opv.kohd.[[#This Row],[Talousarvion perusteella työvoimakoulutus 1]]+Opv.kohd.[[#This Row],[Lisätalousarvioiden perusteella]]</f>
        <v>0</v>
      </c>
      <c r="Q27" s="204">
        <f>IFERROR(VLOOKUP(Opv.kohd.[[#This Row],[Y-tunnus]],#REF!,COLUMN(#REF!),FALSE),0)</f>
        <v>0</v>
      </c>
      <c r="R27" s="210">
        <f>IFERROR(VLOOKUP(Opv.kohd.[[#This Row],[Y-tunnus]],#REF!,COLUMN(#REF!),FALSE)-(Opv.kohd.[[#This Row],[Kohdentamaton työvoima-koulutus 2]]+Opv.kohd.[[#This Row],[Maahan-muuttajien koulutus 2]]+Opv.kohd.[[#This Row],[Lisätalousarvioiden perusteella jaetut 2]]),0)</f>
        <v>0</v>
      </c>
      <c r="S27" s="210">
        <f>IFERROR(VLOOKUP(Opv.kohd.[[#This Row],[Y-tunnus]],#REF!,COLUMN(#REF!),FALSE)+VLOOKUP(Opv.kohd.[[#This Row],[Y-tunnus]],#REF!,COLUMN(#REF!),FALSE),0)</f>
        <v>0</v>
      </c>
      <c r="T27" s="210">
        <f>IFERROR(VLOOKUP(Opv.kohd.[[#This Row],[Y-tunnus]],#REF!,COLUMN(#REF!),FALSE)+VLOOKUP(Opv.kohd.[[#This Row],[Y-tunnus]],#REF!,COLUMN(#REF!),FALSE),0)</f>
        <v>0</v>
      </c>
      <c r="U2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27" s="210">
        <f>Opv.kohd.[[#This Row],[Kohdentamat-tomat 2]]+Opv.kohd.[[#This Row],[Kohdentamaton työvoima-koulutus 2]]+Opv.kohd.[[#This Row],[Maahan-muuttajien koulutus 2]]+Opv.kohd.[[#This Row],[Lisätalousarvioiden perusteella jaetut 2]]</f>
        <v>0</v>
      </c>
      <c r="W27" s="210">
        <f>Opv.kohd.[[#This Row],[Kohdentamat-tomat 2]]-(Opv.kohd.[[#This Row],[Järjestämisluvan mukaiset 1]]+Opv.kohd.[[#This Row],[Kohdentamat-tomat 1]]+Opv.kohd.[[#This Row],[Nuorisotyöt. väh. ja osaamistarp. vast., muu kuin työvoima-koulutus 1]]+Opv.kohd.[[#This Row],[Talousarvion perusteella kohdentamattomat]])</f>
        <v>0</v>
      </c>
      <c r="X27" s="210">
        <f>Opv.kohd.[[#This Row],[Kohdentamaton työvoima-koulutus 2]]-(Opv.kohd.[[#This Row],[Työvoima-koulutus 1]]+Opv.kohd.[[#This Row],[Nuorisotyöt. väh. ja osaamistarp. vast., työvoima-koulutus 1]]+Opv.kohd.[[#This Row],[Talousarvion perusteella työvoimakoulutus 1]])</f>
        <v>0</v>
      </c>
      <c r="Y27" s="210">
        <f>Opv.kohd.[[#This Row],[Maahan-muuttajien koulutus 2]]-Opv.kohd.[[#This Row],[Maahan-muuttajien koulutus 1]]</f>
        <v>0</v>
      </c>
      <c r="Z27" s="210">
        <f>Opv.kohd.[[#This Row],[Lisätalousarvioiden perusteella jaetut 2]]-Opv.kohd.[[#This Row],[Lisätalousarvioiden perusteella]]</f>
        <v>0</v>
      </c>
      <c r="AA27" s="210">
        <f>Opv.kohd.[[#This Row],[Toteutuneet opiskelijavuodet yhteensä 2]]-Opv.kohd.[[#This Row],[Vuoden 2018 tavoitteelliset opiskelijavuodet yhteensä 1]]</f>
        <v>0</v>
      </c>
      <c r="AB27" s="207">
        <f>IFERROR(VLOOKUP(Opv.kohd.[[#This Row],[Y-tunnus]],#REF!,3,FALSE),0)</f>
        <v>0</v>
      </c>
      <c r="AC27" s="207">
        <f>IFERROR(VLOOKUP(Opv.kohd.[[#This Row],[Y-tunnus]],#REF!,4,FALSE),0)</f>
        <v>0</v>
      </c>
      <c r="AD27" s="207">
        <f>IFERROR(VLOOKUP(Opv.kohd.[[#This Row],[Y-tunnus]],#REF!,5,FALSE),0)</f>
        <v>0</v>
      </c>
      <c r="AE27" s="207">
        <f>IFERROR(VLOOKUP(Opv.kohd.[[#This Row],[Y-tunnus]],#REF!,6,FALSE),0)</f>
        <v>0</v>
      </c>
      <c r="AF27" s="207">
        <f>IFERROR(VLOOKUP(Opv.kohd.[[#This Row],[Y-tunnus]],#REF!,7,FALSE),0)</f>
        <v>0</v>
      </c>
      <c r="AG27" s="207">
        <f>IFERROR(VLOOKUP(Opv.kohd.[[#This Row],[Y-tunnus]],#REF!,8,FALSE),0)</f>
        <v>0</v>
      </c>
      <c r="AH27" s="207">
        <f>IFERROR(VLOOKUP(Opv.kohd.[[#This Row],[Y-tunnus]],#REF!,9,FALSE),0)</f>
        <v>0</v>
      </c>
      <c r="AI27" s="207">
        <f>IFERROR(VLOOKUP(Opv.kohd.[[#This Row],[Y-tunnus]],#REF!,10,FALSE),0)</f>
        <v>0</v>
      </c>
      <c r="AJ27" s="204">
        <f>Opv.kohd.[[#This Row],[Järjestämisluvan mukaiset 4]]-Opv.kohd.[[#This Row],[Järjestämisluvan mukaiset 1]]</f>
        <v>0</v>
      </c>
      <c r="AK27" s="204">
        <f>Opv.kohd.[[#This Row],[Kohdentamat-tomat 4]]-Opv.kohd.[[#This Row],[Kohdentamat-tomat 1]]</f>
        <v>0</v>
      </c>
      <c r="AL27" s="204">
        <f>Opv.kohd.[[#This Row],[Työvoima-koulutus 4]]-Opv.kohd.[[#This Row],[Työvoima-koulutus 1]]</f>
        <v>0</v>
      </c>
      <c r="AM27" s="204">
        <f>Opv.kohd.[[#This Row],[Maahan-muuttajien koulutus 4]]-Opv.kohd.[[#This Row],[Maahan-muuttajien koulutus 1]]</f>
        <v>0</v>
      </c>
      <c r="AN27" s="204">
        <f>Opv.kohd.[[#This Row],[Nuorisotyöt. väh. ja osaamistarp. vast., muu kuin työvoima-koulutus 4]]-Opv.kohd.[[#This Row],[Nuorisotyöt. väh. ja osaamistarp. vast., muu kuin työvoima-koulutus 1]]</f>
        <v>0</v>
      </c>
      <c r="AO27" s="204">
        <f>Opv.kohd.[[#This Row],[Nuorisotyöt. väh. ja osaamistarp. vast., työvoima-koulutus 4]]-Opv.kohd.[[#This Row],[Nuorisotyöt. väh. ja osaamistarp. vast., työvoima-koulutus 1]]</f>
        <v>0</v>
      </c>
      <c r="AP27" s="204">
        <f>Opv.kohd.[[#This Row],[Yhteensä 4]]-Opv.kohd.[[#This Row],[Yhteensä  1]]</f>
        <v>0</v>
      </c>
      <c r="AQ27" s="204">
        <f>Opv.kohd.[[#This Row],[Ensikertaisella suoritepäätöksellä jaetut tavoitteelliset opiskelijavuodet yhteensä 4]]-Opv.kohd.[[#This Row],[Ensikertaisella suoritepäätöksellä jaetut tavoitteelliset opiskelijavuodet yhteensä 1]]</f>
        <v>0</v>
      </c>
      <c r="AR27" s="208">
        <f>IFERROR(Opv.kohd.[[#This Row],[Järjestämisluvan mukaiset 5]]/Opv.kohd.[[#This Row],[Järjestämisluvan mukaiset 4]],0)</f>
        <v>0</v>
      </c>
      <c r="AS27" s="208">
        <f>IFERROR(Opv.kohd.[[#This Row],[Kohdentamat-tomat 5]]/Opv.kohd.[[#This Row],[Kohdentamat-tomat 4]],0)</f>
        <v>0</v>
      </c>
      <c r="AT27" s="208">
        <f>IFERROR(Opv.kohd.[[#This Row],[Työvoima-koulutus 5]]/Opv.kohd.[[#This Row],[Työvoima-koulutus 4]],0)</f>
        <v>0</v>
      </c>
      <c r="AU27" s="208">
        <f>IFERROR(Opv.kohd.[[#This Row],[Maahan-muuttajien koulutus 5]]/Opv.kohd.[[#This Row],[Maahan-muuttajien koulutus 4]],0)</f>
        <v>0</v>
      </c>
      <c r="AV27" s="208">
        <f>IFERROR(Opv.kohd.[[#This Row],[Nuorisotyöt. väh. ja osaamistarp. vast., muu kuin työvoima-koulutus 5]]/Opv.kohd.[[#This Row],[Nuorisotyöt. väh. ja osaamistarp. vast., muu kuin työvoima-koulutus 4]],0)</f>
        <v>0</v>
      </c>
      <c r="AW27" s="208">
        <f>IFERROR(Opv.kohd.[[#This Row],[Nuorisotyöt. väh. ja osaamistarp. vast., työvoima-koulutus 5]]/Opv.kohd.[[#This Row],[Nuorisotyöt. väh. ja osaamistarp. vast., työvoima-koulutus 4]],0)</f>
        <v>0</v>
      </c>
      <c r="AX27" s="208">
        <f>IFERROR(Opv.kohd.[[#This Row],[Yhteensä 5]]/Opv.kohd.[[#This Row],[Yhteensä 4]],0)</f>
        <v>0</v>
      </c>
      <c r="AY27" s="208">
        <f>IFERROR(Opv.kohd.[[#This Row],[Ensikertaisella suoritepäätöksellä jaetut tavoitteelliset opiskelijavuodet yhteensä 5]]/Opv.kohd.[[#This Row],[Ensikertaisella suoritepäätöksellä jaetut tavoitteelliset opiskelijavuodet yhteensä 4]],0)</f>
        <v>0</v>
      </c>
      <c r="AZ27" s="207">
        <f>Opv.kohd.[[#This Row],[Yhteensä 7a]]-Opv.kohd.[[#This Row],[Työvoima-koulutus 7a]]</f>
        <v>0</v>
      </c>
      <c r="BA27" s="207">
        <f>IFERROR(VLOOKUP(Opv.kohd.[[#This Row],[Y-tunnus]],#REF!,COLUMN(#REF!),FALSE),0)</f>
        <v>0</v>
      </c>
      <c r="BB27" s="207">
        <f>IFERROR(VLOOKUP(Opv.kohd.[[#This Row],[Y-tunnus]],#REF!,COLUMN(#REF!),FALSE),0)</f>
        <v>0</v>
      </c>
      <c r="BC27" s="207">
        <f>Opv.kohd.[[#This Row],[Muu kuin työvoima-koulutus 7c]]-Opv.kohd.[[#This Row],[Muu kuin työvoima-koulutus 7a]]</f>
        <v>0</v>
      </c>
      <c r="BD27" s="207">
        <f>Opv.kohd.[[#This Row],[Työvoima-koulutus 7c]]-Opv.kohd.[[#This Row],[Työvoima-koulutus 7a]]</f>
        <v>0</v>
      </c>
      <c r="BE27" s="207">
        <f>Opv.kohd.[[#This Row],[Yhteensä 7c]]-Opv.kohd.[[#This Row],[Yhteensä 7a]]</f>
        <v>0</v>
      </c>
      <c r="BF27" s="207">
        <f>Opv.kohd.[[#This Row],[Yhteensä 7c]]-Opv.kohd.[[#This Row],[Työvoima-koulutus 7c]]</f>
        <v>0</v>
      </c>
      <c r="BG27" s="207">
        <f>IFERROR(VLOOKUP(Opv.kohd.[[#This Row],[Y-tunnus]],#REF!,COLUMN(#REF!),FALSE),0)</f>
        <v>0</v>
      </c>
      <c r="BH27" s="207">
        <f>IFERROR(VLOOKUP(Opv.kohd.[[#This Row],[Y-tunnus]],#REF!,COLUMN(#REF!),FALSE),0)</f>
        <v>0</v>
      </c>
      <c r="BI27" s="207">
        <f>IFERROR(VLOOKUP(Opv.kohd.[[#This Row],[Y-tunnus]],#REF!,COLUMN(#REF!),FALSE),0)</f>
        <v>0</v>
      </c>
      <c r="BJ27" s="207">
        <f>IFERROR(VLOOKUP(Opv.kohd.[[#This Row],[Y-tunnus]],#REF!,COLUMN(#REF!),FALSE),0)</f>
        <v>0</v>
      </c>
      <c r="BK27" s="207">
        <f>Opv.kohd.[[#This Row],[Muu kuin työvoima-koulutus 7d]]+Opv.kohd.[[#This Row],[Työvoima-koulutus 7d]]</f>
        <v>0</v>
      </c>
      <c r="BL27" s="207">
        <f>Opv.kohd.[[#This Row],[Muu kuin työvoima-koulutus 7c]]-Opv.kohd.[[#This Row],[Muu kuin työvoima-koulutus 7d]]</f>
        <v>0</v>
      </c>
      <c r="BM27" s="207">
        <f>Opv.kohd.[[#This Row],[Työvoima-koulutus 7c]]-Opv.kohd.[[#This Row],[Työvoima-koulutus 7d]]</f>
        <v>0</v>
      </c>
      <c r="BN27" s="207">
        <f>Opv.kohd.[[#This Row],[Yhteensä 7c]]-Opv.kohd.[[#This Row],[Yhteensä 7d]]</f>
        <v>0</v>
      </c>
      <c r="BO27" s="207">
        <f>Opv.kohd.[[#This Row],[Muu kuin työvoima-koulutus 7e]]-(Opv.kohd.[[#This Row],[Järjestämisluvan mukaiset 4]]+Opv.kohd.[[#This Row],[Kohdentamat-tomat 4]]+Opv.kohd.[[#This Row],[Maahan-muuttajien koulutus 4]]+Opv.kohd.[[#This Row],[Nuorisotyöt. väh. ja osaamistarp. vast., muu kuin työvoima-koulutus 4]])</f>
        <v>0</v>
      </c>
      <c r="BP27" s="207">
        <f>Opv.kohd.[[#This Row],[Työvoima-koulutus 7e]]-(Opv.kohd.[[#This Row],[Työvoima-koulutus 4]]+Opv.kohd.[[#This Row],[Nuorisotyöt. väh. ja osaamistarp. vast., työvoima-koulutus 4]])</f>
        <v>0</v>
      </c>
      <c r="BQ27" s="207">
        <f>Opv.kohd.[[#This Row],[Yhteensä 7e]]-Opv.kohd.[[#This Row],[Ensikertaisella suoritepäätöksellä jaetut tavoitteelliset opiskelijavuodet yhteensä 4]]</f>
        <v>0</v>
      </c>
      <c r="BR27" s="263">
        <v>11</v>
      </c>
      <c r="BS27" s="263">
        <v>39</v>
      </c>
      <c r="BT27" s="263">
        <v>0</v>
      </c>
      <c r="BU27" s="263">
        <v>0</v>
      </c>
      <c r="BV27" s="263">
        <v>0</v>
      </c>
      <c r="BW27" s="263">
        <v>0</v>
      </c>
      <c r="BX27" s="263">
        <v>39</v>
      </c>
      <c r="BY27" s="263">
        <v>50</v>
      </c>
      <c r="BZ27" s="207">
        <f t="shared" si="2"/>
        <v>11</v>
      </c>
      <c r="CA27" s="207">
        <f t="shared" si="3"/>
        <v>39</v>
      </c>
      <c r="CB27" s="207">
        <f t="shared" si="4"/>
        <v>0</v>
      </c>
      <c r="CC27" s="207">
        <f t="shared" si="5"/>
        <v>0</v>
      </c>
      <c r="CD27" s="207">
        <f t="shared" si="6"/>
        <v>0</v>
      </c>
      <c r="CE27" s="207">
        <f t="shared" si="7"/>
        <v>0</v>
      </c>
      <c r="CF27" s="207">
        <f t="shared" si="8"/>
        <v>39</v>
      </c>
      <c r="CG27" s="207">
        <f t="shared" si="9"/>
        <v>50</v>
      </c>
      <c r="CH27" s="207">
        <f>Opv.kohd.[[#This Row],[Tavoitteelliset opiskelijavuodet yhteensä 9]]-Opv.kohd.[[#This Row],[Työvoima-koulutus 9]]-Opv.kohd.[[#This Row],[Nuorisotyöt. väh. ja osaamistarp. vast., työvoima-koulutus 9]]-Opv.kohd.[[#This Row],[Muu kuin työvoima-koulutus 7e]]</f>
        <v>50</v>
      </c>
      <c r="CI27" s="207">
        <f>(Opv.kohd.[[#This Row],[Työvoima-koulutus 9]]+Opv.kohd.[[#This Row],[Nuorisotyöt. väh. ja osaamistarp. vast., työvoima-koulutus 9]])-Opv.kohd.[[#This Row],[Työvoima-koulutus 7e]]</f>
        <v>0</v>
      </c>
      <c r="CJ27" s="207">
        <f>Opv.kohd.[[#This Row],[Tavoitteelliset opiskelijavuodet yhteensä 9]]-Opv.kohd.[[#This Row],[Yhteensä 7e]]</f>
        <v>50</v>
      </c>
      <c r="CK27" s="207">
        <f>Opv.kohd.[[#This Row],[Järjestämisluvan mukaiset 4]]+Opv.kohd.[[#This Row],[Järjestämisluvan mukaiset 13]]</f>
        <v>0</v>
      </c>
      <c r="CL27" s="207">
        <f>Opv.kohd.[[#This Row],[Kohdentamat-tomat 4]]+Opv.kohd.[[#This Row],[Kohdentamat-tomat 13]]</f>
        <v>0</v>
      </c>
      <c r="CM27" s="207">
        <f>Opv.kohd.[[#This Row],[Työvoima-koulutus 4]]+Opv.kohd.[[#This Row],[Työvoima-koulutus 13]]</f>
        <v>0</v>
      </c>
      <c r="CN27" s="207">
        <f>Opv.kohd.[[#This Row],[Maahan-muuttajien koulutus 4]]+Opv.kohd.[[#This Row],[Maahan-muuttajien koulutus 13]]</f>
        <v>0</v>
      </c>
      <c r="CO27" s="207">
        <f>Opv.kohd.[[#This Row],[Nuorisotyöt. väh. ja osaamistarp. vast., muu kuin työvoima-koulutus 4]]+Opv.kohd.[[#This Row],[Nuorisotyöt. väh. ja osaamistarp. vast., muu kuin työvoima-koulutus 13]]</f>
        <v>0</v>
      </c>
      <c r="CP27" s="207">
        <f>Opv.kohd.[[#This Row],[Nuorisotyöt. väh. ja osaamistarp. vast., työvoima-koulutus 4]]+Opv.kohd.[[#This Row],[Nuorisotyöt. väh. ja osaamistarp. vast., työvoima-koulutus 13]]</f>
        <v>0</v>
      </c>
      <c r="CQ27" s="207">
        <f>Opv.kohd.[[#This Row],[Yhteensä 4]]+Opv.kohd.[[#This Row],[Yhteensä 13]]</f>
        <v>0</v>
      </c>
      <c r="CR27" s="207">
        <f>Opv.kohd.[[#This Row],[Ensikertaisella suoritepäätöksellä jaetut tavoitteelliset opiskelijavuodet yhteensä 4]]+Opv.kohd.[[#This Row],[Tavoitteelliset opiskelijavuodet yhteensä 13]]</f>
        <v>0</v>
      </c>
      <c r="CS27" s="120">
        <v>0</v>
      </c>
      <c r="CT27" s="120">
        <v>0</v>
      </c>
      <c r="CU27" s="120">
        <v>0</v>
      </c>
      <c r="CV27" s="120">
        <v>0</v>
      </c>
      <c r="CW27" s="120">
        <v>0</v>
      </c>
      <c r="CX27" s="120">
        <v>0</v>
      </c>
      <c r="CY27" s="120">
        <v>0</v>
      </c>
      <c r="CZ27" s="120">
        <v>0</v>
      </c>
      <c r="DA27" s="209">
        <f>IFERROR(Opv.kohd.[[#This Row],[Järjestämisluvan mukaiset 13]]/Opv.kohd.[[#This Row],[Järjestämisluvan mukaiset 12]],0)</f>
        <v>0</v>
      </c>
      <c r="DB27" s="209">
        <f>IFERROR(Opv.kohd.[[#This Row],[Kohdentamat-tomat 13]]/Opv.kohd.[[#This Row],[Kohdentamat-tomat 12]],0)</f>
        <v>0</v>
      </c>
      <c r="DC27" s="209">
        <f>IFERROR(Opv.kohd.[[#This Row],[Työvoima-koulutus 13]]/Opv.kohd.[[#This Row],[Työvoima-koulutus 12]],0)</f>
        <v>0</v>
      </c>
      <c r="DD27" s="209">
        <f>IFERROR(Opv.kohd.[[#This Row],[Maahan-muuttajien koulutus 13]]/Opv.kohd.[[#This Row],[Maahan-muuttajien koulutus 12]],0)</f>
        <v>0</v>
      </c>
      <c r="DE27" s="209">
        <f>IFERROR(Opv.kohd.[[#This Row],[Nuorisotyöt. väh. ja osaamistarp. vast., muu kuin työvoima-koulutus 13]]/Opv.kohd.[[#This Row],[Nuorisotyöt. väh. ja osaamistarp. vast., muu kuin työvoima-koulutus 12]],0)</f>
        <v>0</v>
      </c>
      <c r="DF27" s="209">
        <f>IFERROR(Opv.kohd.[[#This Row],[Nuorisotyöt. väh. ja osaamistarp. vast., työvoima-koulutus 13]]/Opv.kohd.[[#This Row],[Nuorisotyöt. väh. ja osaamistarp. vast., työvoima-koulutus 12]],0)</f>
        <v>0</v>
      </c>
      <c r="DG27" s="209">
        <f>IFERROR(Opv.kohd.[[#This Row],[Yhteensä 13]]/Opv.kohd.[[#This Row],[Yhteensä 12]],0)</f>
        <v>0</v>
      </c>
      <c r="DH27" s="209">
        <f>IFERROR(Opv.kohd.[[#This Row],[Tavoitteelliset opiskelijavuodet yhteensä 13]]/Opv.kohd.[[#This Row],[Tavoitteelliset opiskelijavuodet yhteensä 12]],0)</f>
        <v>0</v>
      </c>
      <c r="DI27" s="207">
        <f>Opv.kohd.[[#This Row],[Järjestämisluvan mukaiset 12]]-Opv.kohd.[[#This Row],[Järjestämisluvan mukaiset 9]]</f>
        <v>-11</v>
      </c>
      <c r="DJ27" s="207">
        <f>Opv.kohd.[[#This Row],[Kohdentamat-tomat 12]]-Opv.kohd.[[#This Row],[Kohdentamat-tomat 9]]</f>
        <v>-39</v>
      </c>
      <c r="DK27" s="207">
        <f>Opv.kohd.[[#This Row],[Työvoima-koulutus 12]]-Opv.kohd.[[#This Row],[Työvoima-koulutus 9]]</f>
        <v>0</v>
      </c>
      <c r="DL27" s="207">
        <f>Opv.kohd.[[#This Row],[Maahan-muuttajien koulutus 12]]-Opv.kohd.[[#This Row],[Maahan-muuttajien koulutus 9]]</f>
        <v>0</v>
      </c>
      <c r="DM27" s="207">
        <f>Opv.kohd.[[#This Row],[Nuorisotyöt. väh. ja osaamistarp. vast., muu kuin työvoima-koulutus 12]]-Opv.kohd.[[#This Row],[Nuorisotyöt. väh. ja osaamistarp. vast., muu kuin työvoima-koulutus 9]]</f>
        <v>0</v>
      </c>
      <c r="DN27" s="207">
        <f>Opv.kohd.[[#This Row],[Nuorisotyöt. väh. ja osaamistarp. vast., työvoima-koulutus 12]]-Opv.kohd.[[#This Row],[Nuorisotyöt. väh. ja osaamistarp. vast., työvoima-koulutus 9]]</f>
        <v>0</v>
      </c>
      <c r="DO27" s="207">
        <f>Opv.kohd.[[#This Row],[Yhteensä 12]]-Opv.kohd.[[#This Row],[Yhteensä 9]]</f>
        <v>-39</v>
      </c>
      <c r="DP27" s="207">
        <f>Opv.kohd.[[#This Row],[Tavoitteelliset opiskelijavuodet yhteensä 12]]-Opv.kohd.[[#This Row],[Tavoitteelliset opiskelijavuodet yhteensä 9]]</f>
        <v>-50</v>
      </c>
      <c r="DQ27" s="209">
        <f>IFERROR(Opv.kohd.[[#This Row],[Järjestämisluvan mukaiset 15]]/Opv.kohd.[[#This Row],[Järjestämisluvan mukaiset 9]],0)</f>
        <v>-1</v>
      </c>
      <c r="DR27" s="209">
        <f t="shared" si="10"/>
        <v>0</v>
      </c>
      <c r="DS27" s="209">
        <f t="shared" si="11"/>
        <v>0</v>
      </c>
      <c r="DT27" s="209">
        <f t="shared" si="12"/>
        <v>0</v>
      </c>
      <c r="DU27" s="209">
        <f t="shared" si="13"/>
        <v>0</v>
      </c>
      <c r="DV27" s="209">
        <f t="shared" si="14"/>
        <v>0</v>
      </c>
      <c r="DW27" s="209">
        <f t="shared" si="15"/>
        <v>0</v>
      </c>
      <c r="DX27" s="209">
        <f t="shared" si="16"/>
        <v>0</v>
      </c>
    </row>
    <row r="28" spans="1:128" x14ac:dyDescent="0.25">
      <c r="A28" s="204" t="e">
        <f>IF(INDEX(#REF!,ROW(28:28)-1,1)=0,"",INDEX(#REF!,ROW(28:28)-1,1))</f>
        <v>#REF!</v>
      </c>
      <c r="B28" s="205" t="str">
        <f>IFERROR(VLOOKUP(Opv.kohd.[[#This Row],[Y-tunnus]],'0 Järjestäjätiedot'!$A:$H,2,FALSE),"")</f>
        <v/>
      </c>
      <c r="C28" s="204" t="str">
        <f>IFERROR(VLOOKUP(Opv.kohd.[[#This Row],[Y-tunnus]],'0 Järjestäjätiedot'!$A:$H,COLUMN('0 Järjestäjätiedot'!D:D),FALSE),"")</f>
        <v/>
      </c>
      <c r="D28" s="204" t="str">
        <f>IFERROR(VLOOKUP(Opv.kohd.[[#This Row],[Y-tunnus]],'0 Järjestäjätiedot'!$A:$H,COLUMN('0 Järjestäjätiedot'!H:H),FALSE),"")</f>
        <v/>
      </c>
      <c r="E28" s="204">
        <f>IFERROR(VLOOKUP(Opv.kohd.[[#This Row],[Y-tunnus]],#REF!,COLUMN(#REF!),FALSE),0)</f>
        <v>0</v>
      </c>
      <c r="F28" s="204">
        <f>IFERROR(VLOOKUP(Opv.kohd.[[#This Row],[Y-tunnus]],#REF!,COLUMN(#REF!),FALSE),0)</f>
        <v>0</v>
      </c>
      <c r="G28" s="204">
        <f>IFERROR(VLOOKUP(Opv.kohd.[[#This Row],[Y-tunnus]],#REF!,COLUMN(#REF!),FALSE),0)</f>
        <v>0</v>
      </c>
      <c r="H28" s="204">
        <f>IFERROR(VLOOKUP(Opv.kohd.[[#This Row],[Y-tunnus]],#REF!,COLUMN(#REF!),FALSE),0)</f>
        <v>0</v>
      </c>
      <c r="I28" s="204">
        <f>IFERROR(VLOOKUP(Opv.kohd.[[#This Row],[Y-tunnus]],#REF!,COLUMN(#REF!),FALSE),0)</f>
        <v>0</v>
      </c>
      <c r="J28" s="204">
        <f>IFERROR(VLOOKUP(Opv.kohd.[[#This Row],[Y-tunnus]],#REF!,COLUMN(#REF!),FALSE),0)</f>
        <v>0</v>
      </c>
      <c r="K2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28" s="204">
        <f>Opv.kohd.[[#This Row],[Järjestämisluvan mukaiset 1]]+Opv.kohd.[[#This Row],[Yhteensä  1]]</f>
        <v>0</v>
      </c>
      <c r="M28" s="204">
        <f>IFERROR(VLOOKUP(Opv.kohd.[[#This Row],[Y-tunnus]],#REF!,COLUMN(#REF!),FALSE),0)</f>
        <v>0</v>
      </c>
      <c r="N28" s="204">
        <f>IFERROR(VLOOKUP(Opv.kohd.[[#This Row],[Y-tunnus]],#REF!,COLUMN(#REF!),FALSE),0)</f>
        <v>0</v>
      </c>
      <c r="O28" s="204">
        <f>IFERROR(VLOOKUP(Opv.kohd.[[#This Row],[Y-tunnus]],#REF!,COLUMN(#REF!),FALSE)+VLOOKUP(Opv.kohd.[[#This Row],[Y-tunnus]],#REF!,COLUMN(#REF!),FALSE),0)</f>
        <v>0</v>
      </c>
      <c r="P28" s="204">
        <f>Opv.kohd.[[#This Row],[Talousarvion perusteella kohdentamattomat]]+Opv.kohd.[[#This Row],[Talousarvion perusteella työvoimakoulutus 1]]+Opv.kohd.[[#This Row],[Lisätalousarvioiden perusteella]]</f>
        <v>0</v>
      </c>
      <c r="Q28" s="204">
        <f>IFERROR(VLOOKUP(Opv.kohd.[[#This Row],[Y-tunnus]],#REF!,COLUMN(#REF!),FALSE),0)</f>
        <v>0</v>
      </c>
      <c r="R28" s="210">
        <f>IFERROR(VLOOKUP(Opv.kohd.[[#This Row],[Y-tunnus]],#REF!,COLUMN(#REF!),FALSE)-(Opv.kohd.[[#This Row],[Kohdentamaton työvoima-koulutus 2]]+Opv.kohd.[[#This Row],[Maahan-muuttajien koulutus 2]]+Opv.kohd.[[#This Row],[Lisätalousarvioiden perusteella jaetut 2]]),0)</f>
        <v>0</v>
      </c>
      <c r="S28" s="210">
        <f>IFERROR(VLOOKUP(Opv.kohd.[[#This Row],[Y-tunnus]],#REF!,COLUMN(#REF!),FALSE)+VLOOKUP(Opv.kohd.[[#This Row],[Y-tunnus]],#REF!,COLUMN(#REF!),FALSE),0)</f>
        <v>0</v>
      </c>
      <c r="T28" s="210">
        <f>IFERROR(VLOOKUP(Opv.kohd.[[#This Row],[Y-tunnus]],#REF!,COLUMN(#REF!),FALSE)+VLOOKUP(Opv.kohd.[[#This Row],[Y-tunnus]],#REF!,COLUMN(#REF!),FALSE),0)</f>
        <v>0</v>
      </c>
      <c r="U2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28" s="210">
        <f>Opv.kohd.[[#This Row],[Kohdentamat-tomat 2]]+Opv.kohd.[[#This Row],[Kohdentamaton työvoima-koulutus 2]]+Opv.kohd.[[#This Row],[Maahan-muuttajien koulutus 2]]+Opv.kohd.[[#This Row],[Lisätalousarvioiden perusteella jaetut 2]]</f>
        <v>0</v>
      </c>
      <c r="W28" s="210">
        <f>Opv.kohd.[[#This Row],[Kohdentamat-tomat 2]]-(Opv.kohd.[[#This Row],[Järjestämisluvan mukaiset 1]]+Opv.kohd.[[#This Row],[Kohdentamat-tomat 1]]+Opv.kohd.[[#This Row],[Nuorisotyöt. väh. ja osaamistarp. vast., muu kuin työvoima-koulutus 1]]+Opv.kohd.[[#This Row],[Talousarvion perusteella kohdentamattomat]])</f>
        <v>0</v>
      </c>
      <c r="X28" s="210">
        <f>Opv.kohd.[[#This Row],[Kohdentamaton työvoima-koulutus 2]]-(Opv.kohd.[[#This Row],[Työvoima-koulutus 1]]+Opv.kohd.[[#This Row],[Nuorisotyöt. väh. ja osaamistarp. vast., työvoima-koulutus 1]]+Opv.kohd.[[#This Row],[Talousarvion perusteella työvoimakoulutus 1]])</f>
        <v>0</v>
      </c>
      <c r="Y28" s="210">
        <f>Opv.kohd.[[#This Row],[Maahan-muuttajien koulutus 2]]-Opv.kohd.[[#This Row],[Maahan-muuttajien koulutus 1]]</f>
        <v>0</v>
      </c>
      <c r="Z28" s="210">
        <f>Opv.kohd.[[#This Row],[Lisätalousarvioiden perusteella jaetut 2]]-Opv.kohd.[[#This Row],[Lisätalousarvioiden perusteella]]</f>
        <v>0</v>
      </c>
      <c r="AA28" s="210">
        <f>Opv.kohd.[[#This Row],[Toteutuneet opiskelijavuodet yhteensä 2]]-Opv.kohd.[[#This Row],[Vuoden 2018 tavoitteelliset opiskelijavuodet yhteensä 1]]</f>
        <v>0</v>
      </c>
      <c r="AB28" s="207">
        <f>IFERROR(VLOOKUP(Opv.kohd.[[#This Row],[Y-tunnus]],#REF!,3,FALSE),0)</f>
        <v>0</v>
      </c>
      <c r="AC28" s="207">
        <f>IFERROR(VLOOKUP(Opv.kohd.[[#This Row],[Y-tunnus]],#REF!,4,FALSE),0)</f>
        <v>0</v>
      </c>
      <c r="AD28" s="207">
        <f>IFERROR(VLOOKUP(Opv.kohd.[[#This Row],[Y-tunnus]],#REF!,5,FALSE),0)</f>
        <v>0</v>
      </c>
      <c r="AE28" s="207">
        <f>IFERROR(VLOOKUP(Opv.kohd.[[#This Row],[Y-tunnus]],#REF!,6,FALSE),0)</f>
        <v>0</v>
      </c>
      <c r="AF28" s="207">
        <f>IFERROR(VLOOKUP(Opv.kohd.[[#This Row],[Y-tunnus]],#REF!,7,FALSE),0)</f>
        <v>0</v>
      </c>
      <c r="AG28" s="207">
        <f>IFERROR(VLOOKUP(Opv.kohd.[[#This Row],[Y-tunnus]],#REF!,8,FALSE),0)</f>
        <v>0</v>
      </c>
      <c r="AH28" s="207">
        <f>IFERROR(VLOOKUP(Opv.kohd.[[#This Row],[Y-tunnus]],#REF!,9,FALSE),0)</f>
        <v>0</v>
      </c>
      <c r="AI28" s="207">
        <f>IFERROR(VLOOKUP(Opv.kohd.[[#This Row],[Y-tunnus]],#REF!,10,FALSE),0)</f>
        <v>0</v>
      </c>
      <c r="AJ28" s="204">
        <f>Opv.kohd.[[#This Row],[Järjestämisluvan mukaiset 4]]-Opv.kohd.[[#This Row],[Järjestämisluvan mukaiset 1]]</f>
        <v>0</v>
      </c>
      <c r="AK28" s="204">
        <f>Opv.kohd.[[#This Row],[Kohdentamat-tomat 4]]-Opv.kohd.[[#This Row],[Kohdentamat-tomat 1]]</f>
        <v>0</v>
      </c>
      <c r="AL28" s="204">
        <f>Opv.kohd.[[#This Row],[Työvoima-koulutus 4]]-Opv.kohd.[[#This Row],[Työvoima-koulutus 1]]</f>
        <v>0</v>
      </c>
      <c r="AM28" s="204">
        <f>Opv.kohd.[[#This Row],[Maahan-muuttajien koulutus 4]]-Opv.kohd.[[#This Row],[Maahan-muuttajien koulutus 1]]</f>
        <v>0</v>
      </c>
      <c r="AN28" s="204">
        <f>Opv.kohd.[[#This Row],[Nuorisotyöt. väh. ja osaamistarp. vast., muu kuin työvoima-koulutus 4]]-Opv.kohd.[[#This Row],[Nuorisotyöt. väh. ja osaamistarp. vast., muu kuin työvoima-koulutus 1]]</f>
        <v>0</v>
      </c>
      <c r="AO28" s="204">
        <f>Opv.kohd.[[#This Row],[Nuorisotyöt. väh. ja osaamistarp. vast., työvoima-koulutus 4]]-Opv.kohd.[[#This Row],[Nuorisotyöt. väh. ja osaamistarp. vast., työvoima-koulutus 1]]</f>
        <v>0</v>
      </c>
      <c r="AP28" s="204">
        <f>Opv.kohd.[[#This Row],[Yhteensä 4]]-Opv.kohd.[[#This Row],[Yhteensä  1]]</f>
        <v>0</v>
      </c>
      <c r="AQ28" s="204">
        <f>Opv.kohd.[[#This Row],[Ensikertaisella suoritepäätöksellä jaetut tavoitteelliset opiskelijavuodet yhteensä 4]]-Opv.kohd.[[#This Row],[Ensikertaisella suoritepäätöksellä jaetut tavoitteelliset opiskelijavuodet yhteensä 1]]</f>
        <v>0</v>
      </c>
      <c r="AR28" s="208">
        <f>IFERROR(Opv.kohd.[[#This Row],[Järjestämisluvan mukaiset 5]]/Opv.kohd.[[#This Row],[Järjestämisluvan mukaiset 4]],0)</f>
        <v>0</v>
      </c>
      <c r="AS28" s="208">
        <f>IFERROR(Opv.kohd.[[#This Row],[Kohdentamat-tomat 5]]/Opv.kohd.[[#This Row],[Kohdentamat-tomat 4]],0)</f>
        <v>0</v>
      </c>
      <c r="AT28" s="208">
        <f>IFERROR(Opv.kohd.[[#This Row],[Työvoima-koulutus 5]]/Opv.kohd.[[#This Row],[Työvoima-koulutus 4]],0)</f>
        <v>0</v>
      </c>
      <c r="AU28" s="208">
        <f>IFERROR(Opv.kohd.[[#This Row],[Maahan-muuttajien koulutus 5]]/Opv.kohd.[[#This Row],[Maahan-muuttajien koulutus 4]],0)</f>
        <v>0</v>
      </c>
      <c r="AV28" s="208">
        <f>IFERROR(Opv.kohd.[[#This Row],[Nuorisotyöt. väh. ja osaamistarp. vast., muu kuin työvoima-koulutus 5]]/Opv.kohd.[[#This Row],[Nuorisotyöt. väh. ja osaamistarp. vast., muu kuin työvoima-koulutus 4]],0)</f>
        <v>0</v>
      </c>
      <c r="AW28" s="208">
        <f>IFERROR(Opv.kohd.[[#This Row],[Nuorisotyöt. väh. ja osaamistarp. vast., työvoima-koulutus 5]]/Opv.kohd.[[#This Row],[Nuorisotyöt. väh. ja osaamistarp. vast., työvoima-koulutus 4]],0)</f>
        <v>0</v>
      </c>
      <c r="AX28" s="208">
        <f>IFERROR(Opv.kohd.[[#This Row],[Yhteensä 5]]/Opv.kohd.[[#This Row],[Yhteensä 4]],0)</f>
        <v>0</v>
      </c>
      <c r="AY28" s="208">
        <f>IFERROR(Opv.kohd.[[#This Row],[Ensikertaisella suoritepäätöksellä jaetut tavoitteelliset opiskelijavuodet yhteensä 5]]/Opv.kohd.[[#This Row],[Ensikertaisella suoritepäätöksellä jaetut tavoitteelliset opiskelijavuodet yhteensä 4]],0)</f>
        <v>0</v>
      </c>
      <c r="AZ28" s="207">
        <f>Opv.kohd.[[#This Row],[Yhteensä 7a]]-Opv.kohd.[[#This Row],[Työvoima-koulutus 7a]]</f>
        <v>0</v>
      </c>
      <c r="BA28" s="207">
        <f>IFERROR(VLOOKUP(Opv.kohd.[[#This Row],[Y-tunnus]],#REF!,COLUMN(#REF!),FALSE),0)</f>
        <v>0</v>
      </c>
      <c r="BB28" s="207">
        <f>IFERROR(VLOOKUP(Opv.kohd.[[#This Row],[Y-tunnus]],#REF!,COLUMN(#REF!),FALSE),0)</f>
        <v>0</v>
      </c>
      <c r="BC28" s="207">
        <f>Opv.kohd.[[#This Row],[Muu kuin työvoima-koulutus 7c]]-Opv.kohd.[[#This Row],[Muu kuin työvoima-koulutus 7a]]</f>
        <v>0</v>
      </c>
      <c r="BD28" s="207">
        <f>Opv.kohd.[[#This Row],[Työvoima-koulutus 7c]]-Opv.kohd.[[#This Row],[Työvoima-koulutus 7a]]</f>
        <v>0</v>
      </c>
      <c r="BE28" s="207">
        <f>Opv.kohd.[[#This Row],[Yhteensä 7c]]-Opv.kohd.[[#This Row],[Yhteensä 7a]]</f>
        <v>0</v>
      </c>
      <c r="BF28" s="207">
        <f>Opv.kohd.[[#This Row],[Yhteensä 7c]]-Opv.kohd.[[#This Row],[Työvoima-koulutus 7c]]</f>
        <v>0</v>
      </c>
      <c r="BG28" s="207">
        <f>IFERROR(VLOOKUP(Opv.kohd.[[#This Row],[Y-tunnus]],#REF!,COLUMN(#REF!),FALSE),0)</f>
        <v>0</v>
      </c>
      <c r="BH28" s="207">
        <f>IFERROR(VLOOKUP(Opv.kohd.[[#This Row],[Y-tunnus]],#REF!,COLUMN(#REF!),FALSE),0)</f>
        <v>0</v>
      </c>
      <c r="BI28" s="207">
        <f>IFERROR(VLOOKUP(Opv.kohd.[[#This Row],[Y-tunnus]],#REF!,COLUMN(#REF!),FALSE),0)</f>
        <v>0</v>
      </c>
      <c r="BJ28" s="207">
        <f>IFERROR(VLOOKUP(Opv.kohd.[[#This Row],[Y-tunnus]],#REF!,COLUMN(#REF!),FALSE),0)</f>
        <v>0</v>
      </c>
      <c r="BK28" s="207">
        <f>Opv.kohd.[[#This Row],[Muu kuin työvoima-koulutus 7d]]+Opv.kohd.[[#This Row],[Työvoima-koulutus 7d]]</f>
        <v>0</v>
      </c>
      <c r="BL28" s="207">
        <f>Opv.kohd.[[#This Row],[Muu kuin työvoima-koulutus 7c]]-Opv.kohd.[[#This Row],[Muu kuin työvoima-koulutus 7d]]</f>
        <v>0</v>
      </c>
      <c r="BM28" s="207">
        <f>Opv.kohd.[[#This Row],[Työvoima-koulutus 7c]]-Opv.kohd.[[#This Row],[Työvoima-koulutus 7d]]</f>
        <v>0</v>
      </c>
      <c r="BN28" s="207">
        <f>Opv.kohd.[[#This Row],[Yhteensä 7c]]-Opv.kohd.[[#This Row],[Yhteensä 7d]]</f>
        <v>0</v>
      </c>
      <c r="BO28" s="207">
        <f>Opv.kohd.[[#This Row],[Muu kuin työvoima-koulutus 7e]]-(Opv.kohd.[[#This Row],[Järjestämisluvan mukaiset 4]]+Opv.kohd.[[#This Row],[Kohdentamat-tomat 4]]+Opv.kohd.[[#This Row],[Maahan-muuttajien koulutus 4]]+Opv.kohd.[[#This Row],[Nuorisotyöt. väh. ja osaamistarp. vast., muu kuin työvoima-koulutus 4]])</f>
        <v>0</v>
      </c>
      <c r="BP28" s="207">
        <f>Opv.kohd.[[#This Row],[Työvoima-koulutus 7e]]-(Opv.kohd.[[#This Row],[Työvoima-koulutus 4]]+Opv.kohd.[[#This Row],[Nuorisotyöt. väh. ja osaamistarp. vast., työvoima-koulutus 4]])</f>
        <v>0</v>
      </c>
      <c r="BQ28" s="207">
        <f>Opv.kohd.[[#This Row],[Yhteensä 7e]]-Opv.kohd.[[#This Row],[Ensikertaisella suoritepäätöksellä jaetut tavoitteelliset opiskelijavuodet yhteensä 4]]</f>
        <v>0</v>
      </c>
      <c r="BR28" s="263">
        <v>8947</v>
      </c>
      <c r="BS28" s="263">
        <v>527</v>
      </c>
      <c r="BT28" s="263">
        <v>180</v>
      </c>
      <c r="BU28" s="263">
        <v>290</v>
      </c>
      <c r="BV28" s="263">
        <v>32</v>
      </c>
      <c r="BW28" s="263">
        <v>0</v>
      </c>
      <c r="BX28" s="263">
        <v>1029</v>
      </c>
      <c r="BY28" s="263">
        <v>9976</v>
      </c>
      <c r="BZ28" s="207">
        <f t="shared" si="2"/>
        <v>8947</v>
      </c>
      <c r="CA28" s="207">
        <f t="shared" si="3"/>
        <v>527</v>
      </c>
      <c r="CB28" s="207">
        <f t="shared" si="4"/>
        <v>180</v>
      </c>
      <c r="CC28" s="207">
        <f t="shared" si="5"/>
        <v>290</v>
      </c>
      <c r="CD28" s="207">
        <f t="shared" si="6"/>
        <v>32</v>
      </c>
      <c r="CE28" s="207">
        <f t="shared" si="7"/>
        <v>0</v>
      </c>
      <c r="CF28" s="207">
        <f t="shared" si="8"/>
        <v>1029</v>
      </c>
      <c r="CG28" s="207">
        <f t="shared" si="9"/>
        <v>9976</v>
      </c>
      <c r="CH28" s="207">
        <f>Opv.kohd.[[#This Row],[Tavoitteelliset opiskelijavuodet yhteensä 9]]-Opv.kohd.[[#This Row],[Työvoima-koulutus 9]]-Opv.kohd.[[#This Row],[Nuorisotyöt. väh. ja osaamistarp. vast., työvoima-koulutus 9]]-Opv.kohd.[[#This Row],[Muu kuin työvoima-koulutus 7e]]</f>
        <v>9796</v>
      </c>
      <c r="CI28" s="207">
        <f>(Opv.kohd.[[#This Row],[Työvoima-koulutus 9]]+Opv.kohd.[[#This Row],[Nuorisotyöt. väh. ja osaamistarp. vast., työvoima-koulutus 9]])-Opv.kohd.[[#This Row],[Työvoima-koulutus 7e]]</f>
        <v>180</v>
      </c>
      <c r="CJ28" s="207">
        <f>Opv.kohd.[[#This Row],[Tavoitteelliset opiskelijavuodet yhteensä 9]]-Opv.kohd.[[#This Row],[Yhteensä 7e]]</f>
        <v>9976</v>
      </c>
      <c r="CK28" s="207">
        <f>Opv.kohd.[[#This Row],[Järjestämisluvan mukaiset 4]]+Opv.kohd.[[#This Row],[Järjestämisluvan mukaiset 13]]</f>
        <v>0</v>
      </c>
      <c r="CL28" s="207">
        <f>Opv.kohd.[[#This Row],[Kohdentamat-tomat 4]]+Opv.kohd.[[#This Row],[Kohdentamat-tomat 13]]</f>
        <v>0</v>
      </c>
      <c r="CM28" s="207">
        <f>Opv.kohd.[[#This Row],[Työvoima-koulutus 4]]+Opv.kohd.[[#This Row],[Työvoima-koulutus 13]]</f>
        <v>0</v>
      </c>
      <c r="CN28" s="207">
        <f>Opv.kohd.[[#This Row],[Maahan-muuttajien koulutus 4]]+Opv.kohd.[[#This Row],[Maahan-muuttajien koulutus 13]]</f>
        <v>0</v>
      </c>
      <c r="CO28" s="207">
        <f>Opv.kohd.[[#This Row],[Nuorisotyöt. väh. ja osaamistarp. vast., muu kuin työvoima-koulutus 4]]+Opv.kohd.[[#This Row],[Nuorisotyöt. väh. ja osaamistarp. vast., muu kuin työvoima-koulutus 13]]</f>
        <v>0</v>
      </c>
      <c r="CP28" s="207">
        <f>Opv.kohd.[[#This Row],[Nuorisotyöt. väh. ja osaamistarp. vast., työvoima-koulutus 4]]+Opv.kohd.[[#This Row],[Nuorisotyöt. väh. ja osaamistarp. vast., työvoima-koulutus 13]]</f>
        <v>0</v>
      </c>
      <c r="CQ28" s="207">
        <f>Opv.kohd.[[#This Row],[Yhteensä 4]]+Opv.kohd.[[#This Row],[Yhteensä 13]]</f>
        <v>0</v>
      </c>
      <c r="CR28" s="207">
        <f>Opv.kohd.[[#This Row],[Ensikertaisella suoritepäätöksellä jaetut tavoitteelliset opiskelijavuodet yhteensä 4]]+Opv.kohd.[[#This Row],[Tavoitteelliset opiskelijavuodet yhteensä 13]]</f>
        <v>0</v>
      </c>
      <c r="CS28" s="120">
        <v>0</v>
      </c>
      <c r="CT28" s="120">
        <v>0</v>
      </c>
      <c r="CU28" s="120">
        <v>0</v>
      </c>
      <c r="CV28" s="120">
        <v>0</v>
      </c>
      <c r="CW28" s="120">
        <v>0</v>
      </c>
      <c r="CX28" s="120">
        <v>0</v>
      </c>
      <c r="CY28" s="120">
        <v>0</v>
      </c>
      <c r="CZ28" s="120">
        <v>0</v>
      </c>
      <c r="DA28" s="209">
        <f>IFERROR(Opv.kohd.[[#This Row],[Järjestämisluvan mukaiset 13]]/Opv.kohd.[[#This Row],[Järjestämisluvan mukaiset 12]],0)</f>
        <v>0</v>
      </c>
      <c r="DB28" s="209">
        <f>IFERROR(Opv.kohd.[[#This Row],[Kohdentamat-tomat 13]]/Opv.kohd.[[#This Row],[Kohdentamat-tomat 12]],0)</f>
        <v>0</v>
      </c>
      <c r="DC28" s="209">
        <f>IFERROR(Opv.kohd.[[#This Row],[Työvoima-koulutus 13]]/Opv.kohd.[[#This Row],[Työvoima-koulutus 12]],0)</f>
        <v>0</v>
      </c>
      <c r="DD28" s="209">
        <f>IFERROR(Opv.kohd.[[#This Row],[Maahan-muuttajien koulutus 13]]/Opv.kohd.[[#This Row],[Maahan-muuttajien koulutus 12]],0)</f>
        <v>0</v>
      </c>
      <c r="DE28" s="209">
        <f>IFERROR(Opv.kohd.[[#This Row],[Nuorisotyöt. väh. ja osaamistarp. vast., muu kuin työvoima-koulutus 13]]/Opv.kohd.[[#This Row],[Nuorisotyöt. väh. ja osaamistarp. vast., muu kuin työvoima-koulutus 12]],0)</f>
        <v>0</v>
      </c>
      <c r="DF28" s="209">
        <f>IFERROR(Opv.kohd.[[#This Row],[Nuorisotyöt. väh. ja osaamistarp. vast., työvoima-koulutus 13]]/Opv.kohd.[[#This Row],[Nuorisotyöt. väh. ja osaamistarp. vast., työvoima-koulutus 12]],0)</f>
        <v>0</v>
      </c>
      <c r="DG28" s="209">
        <f>IFERROR(Opv.kohd.[[#This Row],[Yhteensä 13]]/Opv.kohd.[[#This Row],[Yhteensä 12]],0)</f>
        <v>0</v>
      </c>
      <c r="DH28" s="209">
        <f>IFERROR(Opv.kohd.[[#This Row],[Tavoitteelliset opiskelijavuodet yhteensä 13]]/Opv.kohd.[[#This Row],[Tavoitteelliset opiskelijavuodet yhteensä 12]],0)</f>
        <v>0</v>
      </c>
      <c r="DI28" s="207">
        <f>Opv.kohd.[[#This Row],[Järjestämisluvan mukaiset 12]]-Opv.kohd.[[#This Row],[Järjestämisluvan mukaiset 9]]</f>
        <v>-8947</v>
      </c>
      <c r="DJ28" s="207">
        <f>Opv.kohd.[[#This Row],[Kohdentamat-tomat 12]]-Opv.kohd.[[#This Row],[Kohdentamat-tomat 9]]</f>
        <v>-527</v>
      </c>
      <c r="DK28" s="207">
        <f>Opv.kohd.[[#This Row],[Työvoima-koulutus 12]]-Opv.kohd.[[#This Row],[Työvoima-koulutus 9]]</f>
        <v>-180</v>
      </c>
      <c r="DL28" s="207">
        <f>Opv.kohd.[[#This Row],[Maahan-muuttajien koulutus 12]]-Opv.kohd.[[#This Row],[Maahan-muuttajien koulutus 9]]</f>
        <v>-290</v>
      </c>
      <c r="DM28" s="207">
        <f>Opv.kohd.[[#This Row],[Nuorisotyöt. väh. ja osaamistarp. vast., muu kuin työvoima-koulutus 12]]-Opv.kohd.[[#This Row],[Nuorisotyöt. väh. ja osaamistarp. vast., muu kuin työvoima-koulutus 9]]</f>
        <v>-32</v>
      </c>
      <c r="DN28" s="207">
        <f>Opv.kohd.[[#This Row],[Nuorisotyöt. väh. ja osaamistarp. vast., työvoima-koulutus 12]]-Opv.kohd.[[#This Row],[Nuorisotyöt. väh. ja osaamistarp. vast., työvoima-koulutus 9]]</f>
        <v>0</v>
      </c>
      <c r="DO28" s="207">
        <f>Opv.kohd.[[#This Row],[Yhteensä 12]]-Opv.kohd.[[#This Row],[Yhteensä 9]]</f>
        <v>-1029</v>
      </c>
      <c r="DP28" s="207">
        <f>Opv.kohd.[[#This Row],[Tavoitteelliset opiskelijavuodet yhteensä 12]]-Opv.kohd.[[#This Row],[Tavoitteelliset opiskelijavuodet yhteensä 9]]</f>
        <v>-9976</v>
      </c>
      <c r="DQ28" s="209">
        <f>IFERROR(Opv.kohd.[[#This Row],[Järjestämisluvan mukaiset 15]]/Opv.kohd.[[#This Row],[Järjestämisluvan mukaiset 9]],0)</f>
        <v>-1</v>
      </c>
      <c r="DR28" s="209">
        <f t="shared" si="10"/>
        <v>0</v>
      </c>
      <c r="DS28" s="209">
        <f t="shared" si="11"/>
        <v>0</v>
      </c>
      <c r="DT28" s="209">
        <f t="shared" si="12"/>
        <v>0</v>
      </c>
      <c r="DU28" s="209">
        <f t="shared" si="13"/>
        <v>0</v>
      </c>
      <c r="DV28" s="209">
        <f t="shared" si="14"/>
        <v>0</v>
      </c>
      <c r="DW28" s="209">
        <f t="shared" si="15"/>
        <v>0</v>
      </c>
      <c r="DX28" s="209">
        <f t="shared" si="16"/>
        <v>0</v>
      </c>
    </row>
    <row r="29" spans="1:128" x14ac:dyDescent="0.25">
      <c r="A29" s="204" t="e">
        <f>IF(INDEX(#REF!,ROW(29:29)-1,1)=0,"",INDEX(#REF!,ROW(29:29)-1,1))</f>
        <v>#REF!</v>
      </c>
      <c r="B29" s="205" t="str">
        <f>IFERROR(VLOOKUP(Opv.kohd.[[#This Row],[Y-tunnus]],'0 Järjestäjätiedot'!$A:$H,2,FALSE),"")</f>
        <v/>
      </c>
      <c r="C29" s="204" t="str">
        <f>IFERROR(VLOOKUP(Opv.kohd.[[#This Row],[Y-tunnus]],'0 Järjestäjätiedot'!$A:$H,COLUMN('0 Järjestäjätiedot'!D:D),FALSE),"")</f>
        <v/>
      </c>
      <c r="D29" s="204" t="str">
        <f>IFERROR(VLOOKUP(Opv.kohd.[[#This Row],[Y-tunnus]],'0 Järjestäjätiedot'!$A:$H,COLUMN('0 Järjestäjätiedot'!H:H),FALSE),"")</f>
        <v/>
      </c>
      <c r="E29" s="204">
        <f>IFERROR(VLOOKUP(Opv.kohd.[[#This Row],[Y-tunnus]],#REF!,COLUMN(#REF!),FALSE),0)</f>
        <v>0</v>
      </c>
      <c r="F29" s="204">
        <f>IFERROR(VLOOKUP(Opv.kohd.[[#This Row],[Y-tunnus]],#REF!,COLUMN(#REF!),FALSE),0)</f>
        <v>0</v>
      </c>
      <c r="G29" s="204">
        <f>IFERROR(VLOOKUP(Opv.kohd.[[#This Row],[Y-tunnus]],#REF!,COLUMN(#REF!),FALSE),0)</f>
        <v>0</v>
      </c>
      <c r="H29" s="204">
        <f>IFERROR(VLOOKUP(Opv.kohd.[[#This Row],[Y-tunnus]],#REF!,COLUMN(#REF!),FALSE),0)</f>
        <v>0</v>
      </c>
      <c r="I29" s="204">
        <f>IFERROR(VLOOKUP(Opv.kohd.[[#This Row],[Y-tunnus]],#REF!,COLUMN(#REF!),FALSE),0)</f>
        <v>0</v>
      </c>
      <c r="J29" s="204">
        <f>IFERROR(VLOOKUP(Opv.kohd.[[#This Row],[Y-tunnus]],#REF!,COLUMN(#REF!),FALSE),0)</f>
        <v>0</v>
      </c>
      <c r="K2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29" s="204">
        <f>Opv.kohd.[[#This Row],[Järjestämisluvan mukaiset 1]]+Opv.kohd.[[#This Row],[Yhteensä  1]]</f>
        <v>0</v>
      </c>
      <c r="M29" s="204">
        <f>IFERROR(VLOOKUP(Opv.kohd.[[#This Row],[Y-tunnus]],#REF!,COLUMN(#REF!),FALSE),0)</f>
        <v>0</v>
      </c>
      <c r="N29" s="204">
        <f>IFERROR(VLOOKUP(Opv.kohd.[[#This Row],[Y-tunnus]],#REF!,COLUMN(#REF!),FALSE),0)</f>
        <v>0</v>
      </c>
      <c r="O29" s="204">
        <f>IFERROR(VLOOKUP(Opv.kohd.[[#This Row],[Y-tunnus]],#REF!,COLUMN(#REF!),FALSE)+VLOOKUP(Opv.kohd.[[#This Row],[Y-tunnus]],#REF!,COLUMN(#REF!),FALSE),0)</f>
        <v>0</v>
      </c>
      <c r="P29" s="204">
        <f>Opv.kohd.[[#This Row],[Talousarvion perusteella kohdentamattomat]]+Opv.kohd.[[#This Row],[Talousarvion perusteella työvoimakoulutus 1]]+Opv.kohd.[[#This Row],[Lisätalousarvioiden perusteella]]</f>
        <v>0</v>
      </c>
      <c r="Q29" s="204">
        <f>IFERROR(VLOOKUP(Opv.kohd.[[#This Row],[Y-tunnus]],#REF!,COLUMN(#REF!),FALSE),0)</f>
        <v>0</v>
      </c>
      <c r="R29" s="210">
        <f>IFERROR(VLOOKUP(Opv.kohd.[[#This Row],[Y-tunnus]],#REF!,COLUMN(#REF!),FALSE)-(Opv.kohd.[[#This Row],[Kohdentamaton työvoima-koulutus 2]]+Opv.kohd.[[#This Row],[Maahan-muuttajien koulutus 2]]+Opv.kohd.[[#This Row],[Lisätalousarvioiden perusteella jaetut 2]]),0)</f>
        <v>0</v>
      </c>
      <c r="S29" s="210">
        <f>IFERROR(VLOOKUP(Opv.kohd.[[#This Row],[Y-tunnus]],#REF!,COLUMN(#REF!),FALSE)+VLOOKUP(Opv.kohd.[[#This Row],[Y-tunnus]],#REF!,COLUMN(#REF!),FALSE),0)</f>
        <v>0</v>
      </c>
      <c r="T29" s="210">
        <f>IFERROR(VLOOKUP(Opv.kohd.[[#This Row],[Y-tunnus]],#REF!,COLUMN(#REF!),FALSE)+VLOOKUP(Opv.kohd.[[#This Row],[Y-tunnus]],#REF!,COLUMN(#REF!),FALSE),0)</f>
        <v>0</v>
      </c>
      <c r="U2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29" s="210">
        <f>Opv.kohd.[[#This Row],[Kohdentamat-tomat 2]]+Opv.kohd.[[#This Row],[Kohdentamaton työvoima-koulutus 2]]+Opv.kohd.[[#This Row],[Maahan-muuttajien koulutus 2]]+Opv.kohd.[[#This Row],[Lisätalousarvioiden perusteella jaetut 2]]</f>
        <v>0</v>
      </c>
      <c r="W29" s="210">
        <f>Opv.kohd.[[#This Row],[Kohdentamat-tomat 2]]-(Opv.kohd.[[#This Row],[Järjestämisluvan mukaiset 1]]+Opv.kohd.[[#This Row],[Kohdentamat-tomat 1]]+Opv.kohd.[[#This Row],[Nuorisotyöt. väh. ja osaamistarp. vast., muu kuin työvoima-koulutus 1]]+Opv.kohd.[[#This Row],[Talousarvion perusteella kohdentamattomat]])</f>
        <v>0</v>
      </c>
      <c r="X29" s="210">
        <f>Opv.kohd.[[#This Row],[Kohdentamaton työvoima-koulutus 2]]-(Opv.kohd.[[#This Row],[Työvoima-koulutus 1]]+Opv.kohd.[[#This Row],[Nuorisotyöt. väh. ja osaamistarp. vast., työvoima-koulutus 1]]+Opv.kohd.[[#This Row],[Talousarvion perusteella työvoimakoulutus 1]])</f>
        <v>0</v>
      </c>
      <c r="Y29" s="210">
        <f>Opv.kohd.[[#This Row],[Maahan-muuttajien koulutus 2]]-Opv.kohd.[[#This Row],[Maahan-muuttajien koulutus 1]]</f>
        <v>0</v>
      </c>
      <c r="Z29" s="210">
        <f>Opv.kohd.[[#This Row],[Lisätalousarvioiden perusteella jaetut 2]]-Opv.kohd.[[#This Row],[Lisätalousarvioiden perusteella]]</f>
        <v>0</v>
      </c>
      <c r="AA29" s="210">
        <f>Opv.kohd.[[#This Row],[Toteutuneet opiskelijavuodet yhteensä 2]]-Opv.kohd.[[#This Row],[Vuoden 2018 tavoitteelliset opiskelijavuodet yhteensä 1]]</f>
        <v>0</v>
      </c>
      <c r="AB29" s="207">
        <f>IFERROR(VLOOKUP(Opv.kohd.[[#This Row],[Y-tunnus]],#REF!,3,FALSE),0)</f>
        <v>0</v>
      </c>
      <c r="AC29" s="207">
        <f>IFERROR(VLOOKUP(Opv.kohd.[[#This Row],[Y-tunnus]],#REF!,4,FALSE),0)</f>
        <v>0</v>
      </c>
      <c r="AD29" s="207">
        <f>IFERROR(VLOOKUP(Opv.kohd.[[#This Row],[Y-tunnus]],#REF!,5,FALSE),0)</f>
        <v>0</v>
      </c>
      <c r="AE29" s="207">
        <f>IFERROR(VLOOKUP(Opv.kohd.[[#This Row],[Y-tunnus]],#REF!,6,FALSE),0)</f>
        <v>0</v>
      </c>
      <c r="AF29" s="207">
        <f>IFERROR(VLOOKUP(Opv.kohd.[[#This Row],[Y-tunnus]],#REF!,7,FALSE),0)</f>
        <v>0</v>
      </c>
      <c r="AG29" s="207">
        <f>IFERROR(VLOOKUP(Opv.kohd.[[#This Row],[Y-tunnus]],#REF!,8,FALSE),0)</f>
        <v>0</v>
      </c>
      <c r="AH29" s="207">
        <f>IFERROR(VLOOKUP(Opv.kohd.[[#This Row],[Y-tunnus]],#REF!,9,FALSE),0)</f>
        <v>0</v>
      </c>
      <c r="AI29" s="207">
        <f>IFERROR(VLOOKUP(Opv.kohd.[[#This Row],[Y-tunnus]],#REF!,10,FALSE),0)</f>
        <v>0</v>
      </c>
      <c r="AJ29" s="204">
        <f>Opv.kohd.[[#This Row],[Järjestämisluvan mukaiset 4]]-Opv.kohd.[[#This Row],[Järjestämisluvan mukaiset 1]]</f>
        <v>0</v>
      </c>
      <c r="AK29" s="204">
        <f>Opv.kohd.[[#This Row],[Kohdentamat-tomat 4]]-Opv.kohd.[[#This Row],[Kohdentamat-tomat 1]]</f>
        <v>0</v>
      </c>
      <c r="AL29" s="204">
        <f>Opv.kohd.[[#This Row],[Työvoima-koulutus 4]]-Opv.kohd.[[#This Row],[Työvoima-koulutus 1]]</f>
        <v>0</v>
      </c>
      <c r="AM29" s="204">
        <f>Opv.kohd.[[#This Row],[Maahan-muuttajien koulutus 4]]-Opv.kohd.[[#This Row],[Maahan-muuttajien koulutus 1]]</f>
        <v>0</v>
      </c>
      <c r="AN29" s="204">
        <f>Opv.kohd.[[#This Row],[Nuorisotyöt. väh. ja osaamistarp. vast., muu kuin työvoima-koulutus 4]]-Opv.kohd.[[#This Row],[Nuorisotyöt. väh. ja osaamistarp. vast., muu kuin työvoima-koulutus 1]]</f>
        <v>0</v>
      </c>
      <c r="AO29" s="204">
        <f>Opv.kohd.[[#This Row],[Nuorisotyöt. väh. ja osaamistarp. vast., työvoima-koulutus 4]]-Opv.kohd.[[#This Row],[Nuorisotyöt. väh. ja osaamistarp. vast., työvoima-koulutus 1]]</f>
        <v>0</v>
      </c>
      <c r="AP29" s="204">
        <f>Opv.kohd.[[#This Row],[Yhteensä 4]]-Opv.kohd.[[#This Row],[Yhteensä  1]]</f>
        <v>0</v>
      </c>
      <c r="AQ29" s="204">
        <f>Opv.kohd.[[#This Row],[Ensikertaisella suoritepäätöksellä jaetut tavoitteelliset opiskelijavuodet yhteensä 4]]-Opv.kohd.[[#This Row],[Ensikertaisella suoritepäätöksellä jaetut tavoitteelliset opiskelijavuodet yhteensä 1]]</f>
        <v>0</v>
      </c>
      <c r="AR29" s="208">
        <f>IFERROR(Opv.kohd.[[#This Row],[Järjestämisluvan mukaiset 5]]/Opv.kohd.[[#This Row],[Järjestämisluvan mukaiset 4]],0)</f>
        <v>0</v>
      </c>
      <c r="AS29" s="208">
        <f>IFERROR(Opv.kohd.[[#This Row],[Kohdentamat-tomat 5]]/Opv.kohd.[[#This Row],[Kohdentamat-tomat 4]],0)</f>
        <v>0</v>
      </c>
      <c r="AT29" s="208">
        <f>IFERROR(Opv.kohd.[[#This Row],[Työvoima-koulutus 5]]/Opv.kohd.[[#This Row],[Työvoima-koulutus 4]],0)</f>
        <v>0</v>
      </c>
      <c r="AU29" s="208">
        <f>IFERROR(Opv.kohd.[[#This Row],[Maahan-muuttajien koulutus 5]]/Opv.kohd.[[#This Row],[Maahan-muuttajien koulutus 4]],0)</f>
        <v>0</v>
      </c>
      <c r="AV29" s="208">
        <f>IFERROR(Opv.kohd.[[#This Row],[Nuorisotyöt. väh. ja osaamistarp. vast., muu kuin työvoima-koulutus 5]]/Opv.kohd.[[#This Row],[Nuorisotyöt. väh. ja osaamistarp. vast., muu kuin työvoima-koulutus 4]],0)</f>
        <v>0</v>
      </c>
      <c r="AW29" s="208">
        <f>IFERROR(Opv.kohd.[[#This Row],[Nuorisotyöt. väh. ja osaamistarp. vast., työvoima-koulutus 5]]/Opv.kohd.[[#This Row],[Nuorisotyöt. väh. ja osaamistarp. vast., työvoima-koulutus 4]],0)</f>
        <v>0</v>
      </c>
      <c r="AX29" s="208">
        <f>IFERROR(Opv.kohd.[[#This Row],[Yhteensä 5]]/Opv.kohd.[[#This Row],[Yhteensä 4]],0)</f>
        <v>0</v>
      </c>
      <c r="AY29" s="208">
        <f>IFERROR(Opv.kohd.[[#This Row],[Ensikertaisella suoritepäätöksellä jaetut tavoitteelliset opiskelijavuodet yhteensä 5]]/Opv.kohd.[[#This Row],[Ensikertaisella suoritepäätöksellä jaetut tavoitteelliset opiskelijavuodet yhteensä 4]],0)</f>
        <v>0</v>
      </c>
      <c r="AZ29" s="207">
        <f>Opv.kohd.[[#This Row],[Yhteensä 7a]]-Opv.kohd.[[#This Row],[Työvoima-koulutus 7a]]</f>
        <v>0</v>
      </c>
      <c r="BA29" s="207">
        <f>IFERROR(VLOOKUP(Opv.kohd.[[#This Row],[Y-tunnus]],#REF!,COLUMN(#REF!),FALSE),0)</f>
        <v>0</v>
      </c>
      <c r="BB29" s="207">
        <f>IFERROR(VLOOKUP(Opv.kohd.[[#This Row],[Y-tunnus]],#REF!,COLUMN(#REF!),FALSE),0)</f>
        <v>0</v>
      </c>
      <c r="BC29" s="207">
        <f>Opv.kohd.[[#This Row],[Muu kuin työvoima-koulutus 7c]]-Opv.kohd.[[#This Row],[Muu kuin työvoima-koulutus 7a]]</f>
        <v>0</v>
      </c>
      <c r="BD29" s="207">
        <f>Opv.kohd.[[#This Row],[Työvoima-koulutus 7c]]-Opv.kohd.[[#This Row],[Työvoima-koulutus 7a]]</f>
        <v>0</v>
      </c>
      <c r="BE29" s="207">
        <f>Opv.kohd.[[#This Row],[Yhteensä 7c]]-Opv.kohd.[[#This Row],[Yhteensä 7a]]</f>
        <v>0</v>
      </c>
      <c r="BF29" s="207">
        <f>Opv.kohd.[[#This Row],[Yhteensä 7c]]-Opv.kohd.[[#This Row],[Työvoima-koulutus 7c]]</f>
        <v>0</v>
      </c>
      <c r="BG29" s="207">
        <f>IFERROR(VLOOKUP(Opv.kohd.[[#This Row],[Y-tunnus]],#REF!,COLUMN(#REF!),FALSE),0)</f>
        <v>0</v>
      </c>
      <c r="BH29" s="207">
        <f>IFERROR(VLOOKUP(Opv.kohd.[[#This Row],[Y-tunnus]],#REF!,COLUMN(#REF!),FALSE),0)</f>
        <v>0</v>
      </c>
      <c r="BI29" s="207">
        <f>IFERROR(VLOOKUP(Opv.kohd.[[#This Row],[Y-tunnus]],#REF!,COLUMN(#REF!),FALSE),0)</f>
        <v>0</v>
      </c>
      <c r="BJ29" s="207">
        <f>IFERROR(VLOOKUP(Opv.kohd.[[#This Row],[Y-tunnus]],#REF!,COLUMN(#REF!),FALSE),0)</f>
        <v>0</v>
      </c>
      <c r="BK29" s="207">
        <f>Opv.kohd.[[#This Row],[Muu kuin työvoima-koulutus 7d]]+Opv.kohd.[[#This Row],[Työvoima-koulutus 7d]]</f>
        <v>0</v>
      </c>
      <c r="BL29" s="207">
        <f>Opv.kohd.[[#This Row],[Muu kuin työvoima-koulutus 7c]]-Opv.kohd.[[#This Row],[Muu kuin työvoima-koulutus 7d]]</f>
        <v>0</v>
      </c>
      <c r="BM29" s="207">
        <f>Opv.kohd.[[#This Row],[Työvoima-koulutus 7c]]-Opv.kohd.[[#This Row],[Työvoima-koulutus 7d]]</f>
        <v>0</v>
      </c>
      <c r="BN29" s="207">
        <f>Opv.kohd.[[#This Row],[Yhteensä 7c]]-Opv.kohd.[[#This Row],[Yhteensä 7d]]</f>
        <v>0</v>
      </c>
      <c r="BO29" s="207">
        <f>Opv.kohd.[[#This Row],[Muu kuin työvoima-koulutus 7e]]-(Opv.kohd.[[#This Row],[Järjestämisluvan mukaiset 4]]+Opv.kohd.[[#This Row],[Kohdentamat-tomat 4]]+Opv.kohd.[[#This Row],[Maahan-muuttajien koulutus 4]]+Opv.kohd.[[#This Row],[Nuorisotyöt. väh. ja osaamistarp. vast., muu kuin työvoima-koulutus 4]])</f>
        <v>0</v>
      </c>
      <c r="BP29" s="207">
        <f>Opv.kohd.[[#This Row],[Työvoima-koulutus 7e]]-(Opv.kohd.[[#This Row],[Työvoima-koulutus 4]]+Opv.kohd.[[#This Row],[Nuorisotyöt. väh. ja osaamistarp. vast., työvoima-koulutus 4]])</f>
        <v>0</v>
      </c>
      <c r="BQ29" s="207">
        <f>Opv.kohd.[[#This Row],[Yhteensä 7e]]-Opv.kohd.[[#This Row],[Ensikertaisella suoritepäätöksellä jaetut tavoitteelliset opiskelijavuodet yhteensä 4]]</f>
        <v>0</v>
      </c>
      <c r="BR29" s="263">
        <v>59</v>
      </c>
      <c r="BS29" s="263">
        <v>5</v>
      </c>
      <c r="BT29" s="263">
        <v>0</v>
      </c>
      <c r="BU29" s="263">
        <v>0</v>
      </c>
      <c r="BV29" s="263">
        <v>0</v>
      </c>
      <c r="BW29" s="263">
        <v>0</v>
      </c>
      <c r="BX29" s="263">
        <v>5</v>
      </c>
      <c r="BY29" s="263">
        <v>64</v>
      </c>
      <c r="BZ29" s="207">
        <f t="shared" si="2"/>
        <v>59</v>
      </c>
      <c r="CA29" s="207">
        <f t="shared" si="3"/>
        <v>5</v>
      </c>
      <c r="CB29" s="207">
        <f t="shared" si="4"/>
        <v>0</v>
      </c>
      <c r="CC29" s="207">
        <f t="shared" si="5"/>
        <v>0</v>
      </c>
      <c r="CD29" s="207">
        <f t="shared" si="6"/>
        <v>0</v>
      </c>
      <c r="CE29" s="207">
        <f t="shared" si="7"/>
        <v>0</v>
      </c>
      <c r="CF29" s="207">
        <f t="shared" si="8"/>
        <v>5</v>
      </c>
      <c r="CG29" s="207">
        <f t="shared" si="9"/>
        <v>64</v>
      </c>
      <c r="CH29" s="207">
        <f>Opv.kohd.[[#This Row],[Tavoitteelliset opiskelijavuodet yhteensä 9]]-Opv.kohd.[[#This Row],[Työvoima-koulutus 9]]-Opv.kohd.[[#This Row],[Nuorisotyöt. väh. ja osaamistarp. vast., työvoima-koulutus 9]]-Opv.kohd.[[#This Row],[Muu kuin työvoima-koulutus 7e]]</f>
        <v>64</v>
      </c>
      <c r="CI29" s="207">
        <f>(Opv.kohd.[[#This Row],[Työvoima-koulutus 9]]+Opv.kohd.[[#This Row],[Nuorisotyöt. väh. ja osaamistarp. vast., työvoima-koulutus 9]])-Opv.kohd.[[#This Row],[Työvoima-koulutus 7e]]</f>
        <v>0</v>
      </c>
      <c r="CJ29" s="207">
        <f>Opv.kohd.[[#This Row],[Tavoitteelliset opiskelijavuodet yhteensä 9]]-Opv.kohd.[[#This Row],[Yhteensä 7e]]</f>
        <v>64</v>
      </c>
      <c r="CK29" s="207">
        <f>Opv.kohd.[[#This Row],[Järjestämisluvan mukaiset 4]]+Opv.kohd.[[#This Row],[Järjestämisluvan mukaiset 13]]</f>
        <v>0</v>
      </c>
      <c r="CL29" s="207">
        <f>Opv.kohd.[[#This Row],[Kohdentamat-tomat 4]]+Opv.kohd.[[#This Row],[Kohdentamat-tomat 13]]</f>
        <v>0</v>
      </c>
      <c r="CM29" s="207">
        <f>Opv.kohd.[[#This Row],[Työvoima-koulutus 4]]+Opv.kohd.[[#This Row],[Työvoima-koulutus 13]]</f>
        <v>0</v>
      </c>
      <c r="CN29" s="207">
        <f>Opv.kohd.[[#This Row],[Maahan-muuttajien koulutus 4]]+Opv.kohd.[[#This Row],[Maahan-muuttajien koulutus 13]]</f>
        <v>0</v>
      </c>
      <c r="CO29" s="207">
        <f>Opv.kohd.[[#This Row],[Nuorisotyöt. väh. ja osaamistarp. vast., muu kuin työvoima-koulutus 4]]+Opv.kohd.[[#This Row],[Nuorisotyöt. väh. ja osaamistarp. vast., muu kuin työvoima-koulutus 13]]</f>
        <v>0</v>
      </c>
      <c r="CP29" s="207">
        <f>Opv.kohd.[[#This Row],[Nuorisotyöt. väh. ja osaamistarp. vast., työvoima-koulutus 4]]+Opv.kohd.[[#This Row],[Nuorisotyöt. väh. ja osaamistarp. vast., työvoima-koulutus 13]]</f>
        <v>0</v>
      </c>
      <c r="CQ29" s="207">
        <f>Opv.kohd.[[#This Row],[Yhteensä 4]]+Opv.kohd.[[#This Row],[Yhteensä 13]]</f>
        <v>0</v>
      </c>
      <c r="CR29" s="207">
        <f>Opv.kohd.[[#This Row],[Ensikertaisella suoritepäätöksellä jaetut tavoitteelliset opiskelijavuodet yhteensä 4]]+Opv.kohd.[[#This Row],[Tavoitteelliset opiskelijavuodet yhteensä 13]]</f>
        <v>0</v>
      </c>
      <c r="CS29" s="120">
        <v>0</v>
      </c>
      <c r="CT29" s="120">
        <v>0</v>
      </c>
      <c r="CU29" s="120">
        <v>0</v>
      </c>
      <c r="CV29" s="120">
        <v>0</v>
      </c>
      <c r="CW29" s="120">
        <v>0</v>
      </c>
      <c r="CX29" s="120">
        <v>0</v>
      </c>
      <c r="CY29" s="120">
        <v>0</v>
      </c>
      <c r="CZ29" s="120">
        <v>0</v>
      </c>
      <c r="DA29" s="209">
        <f>IFERROR(Opv.kohd.[[#This Row],[Järjestämisluvan mukaiset 13]]/Opv.kohd.[[#This Row],[Järjestämisluvan mukaiset 12]],0)</f>
        <v>0</v>
      </c>
      <c r="DB29" s="209">
        <f>IFERROR(Opv.kohd.[[#This Row],[Kohdentamat-tomat 13]]/Opv.kohd.[[#This Row],[Kohdentamat-tomat 12]],0)</f>
        <v>0</v>
      </c>
      <c r="DC29" s="209">
        <f>IFERROR(Opv.kohd.[[#This Row],[Työvoima-koulutus 13]]/Opv.kohd.[[#This Row],[Työvoima-koulutus 12]],0)</f>
        <v>0</v>
      </c>
      <c r="DD29" s="209">
        <f>IFERROR(Opv.kohd.[[#This Row],[Maahan-muuttajien koulutus 13]]/Opv.kohd.[[#This Row],[Maahan-muuttajien koulutus 12]],0)</f>
        <v>0</v>
      </c>
      <c r="DE29" s="209">
        <f>IFERROR(Opv.kohd.[[#This Row],[Nuorisotyöt. väh. ja osaamistarp. vast., muu kuin työvoima-koulutus 13]]/Opv.kohd.[[#This Row],[Nuorisotyöt. väh. ja osaamistarp. vast., muu kuin työvoima-koulutus 12]],0)</f>
        <v>0</v>
      </c>
      <c r="DF29" s="209">
        <f>IFERROR(Opv.kohd.[[#This Row],[Nuorisotyöt. väh. ja osaamistarp. vast., työvoima-koulutus 13]]/Opv.kohd.[[#This Row],[Nuorisotyöt. väh. ja osaamistarp. vast., työvoima-koulutus 12]],0)</f>
        <v>0</v>
      </c>
      <c r="DG29" s="209">
        <f>IFERROR(Opv.kohd.[[#This Row],[Yhteensä 13]]/Opv.kohd.[[#This Row],[Yhteensä 12]],0)</f>
        <v>0</v>
      </c>
      <c r="DH29" s="209">
        <f>IFERROR(Opv.kohd.[[#This Row],[Tavoitteelliset opiskelijavuodet yhteensä 13]]/Opv.kohd.[[#This Row],[Tavoitteelliset opiskelijavuodet yhteensä 12]],0)</f>
        <v>0</v>
      </c>
      <c r="DI29" s="207">
        <f>Opv.kohd.[[#This Row],[Järjestämisluvan mukaiset 12]]-Opv.kohd.[[#This Row],[Järjestämisluvan mukaiset 9]]</f>
        <v>-59</v>
      </c>
      <c r="DJ29" s="207">
        <f>Opv.kohd.[[#This Row],[Kohdentamat-tomat 12]]-Opv.kohd.[[#This Row],[Kohdentamat-tomat 9]]</f>
        <v>-5</v>
      </c>
      <c r="DK29" s="207">
        <f>Opv.kohd.[[#This Row],[Työvoima-koulutus 12]]-Opv.kohd.[[#This Row],[Työvoima-koulutus 9]]</f>
        <v>0</v>
      </c>
      <c r="DL29" s="207">
        <f>Opv.kohd.[[#This Row],[Maahan-muuttajien koulutus 12]]-Opv.kohd.[[#This Row],[Maahan-muuttajien koulutus 9]]</f>
        <v>0</v>
      </c>
      <c r="DM29" s="207">
        <f>Opv.kohd.[[#This Row],[Nuorisotyöt. väh. ja osaamistarp. vast., muu kuin työvoima-koulutus 12]]-Opv.kohd.[[#This Row],[Nuorisotyöt. väh. ja osaamistarp. vast., muu kuin työvoima-koulutus 9]]</f>
        <v>0</v>
      </c>
      <c r="DN29" s="207">
        <f>Opv.kohd.[[#This Row],[Nuorisotyöt. väh. ja osaamistarp. vast., työvoima-koulutus 12]]-Opv.kohd.[[#This Row],[Nuorisotyöt. väh. ja osaamistarp. vast., työvoima-koulutus 9]]</f>
        <v>0</v>
      </c>
      <c r="DO29" s="207">
        <f>Opv.kohd.[[#This Row],[Yhteensä 12]]-Opv.kohd.[[#This Row],[Yhteensä 9]]</f>
        <v>-5</v>
      </c>
      <c r="DP29" s="207">
        <f>Opv.kohd.[[#This Row],[Tavoitteelliset opiskelijavuodet yhteensä 12]]-Opv.kohd.[[#This Row],[Tavoitteelliset opiskelijavuodet yhteensä 9]]</f>
        <v>-64</v>
      </c>
      <c r="DQ29" s="209">
        <f>IFERROR(Opv.kohd.[[#This Row],[Järjestämisluvan mukaiset 15]]/Opv.kohd.[[#This Row],[Järjestämisluvan mukaiset 9]],0)</f>
        <v>-1</v>
      </c>
      <c r="DR29" s="209">
        <f t="shared" si="10"/>
        <v>0</v>
      </c>
      <c r="DS29" s="209">
        <f t="shared" si="11"/>
        <v>0</v>
      </c>
      <c r="DT29" s="209">
        <f t="shared" si="12"/>
        <v>0</v>
      </c>
      <c r="DU29" s="209">
        <f t="shared" si="13"/>
        <v>0</v>
      </c>
      <c r="DV29" s="209">
        <f t="shared" si="14"/>
        <v>0</v>
      </c>
      <c r="DW29" s="209">
        <f t="shared" si="15"/>
        <v>0</v>
      </c>
      <c r="DX29" s="209">
        <f t="shared" si="16"/>
        <v>0</v>
      </c>
    </row>
    <row r="30" spans="1:128" x14ac:dyDescent="0.25">
      <c r="A30" s="204" t="e">
        <f>IF(INDEX(#REF!,ROW(30:30)-1,1)=0,"",INDEX(#REF!,ROW(30:30)-1,1))</f>
        <v>#REF!</v>
      </c>
      <c r="B30" s="205" t="str">
        <f>IFERROR(VLOOKUP(Opv.kohd.[[#This Row],[Y-tunnus]],'0 Järjestäjätiedot'!$A:$H,2,FALSE),"")</f>
        <v/>
      </c>
      <c r="C30" s="204" t="str">
        <f>IFERROR(VLOOKUP(Opv.kohd.[[#This Row],[Y-tunnus]],'0 Järjestäjätiedot'!$A:$H,COLUMN('0 Järjestäjätiedot'!D:D),FALSE),"")</f>
        <v/>
      </c>
      <c r="D30" s="204" t="str">
        <f>IFERROR(VLOOKUP(Opv.kohd.[[#This Row],[Y-tunnus]],'0 Järjestäjätiedot'!$A:$H,COLUMN('0 Järjestäjätiedot'!H:H),FALSE),"")</f>
        <v/>
      </c>
      <c r="E30" s="204">
        <f>IFERROR(VLOOKUP(Opv.kohd.[[#This Row],[Y-tunnus]],#REF!,COLUMN(#REF!),FALSE),0)</f>
        <v>0</v>
      </c>
      <c r="F30" s="204">
        <f>IFERROR(VLOOKUP(Opv.kohd.[[#This Row],[Y-tunnus]],#REF!,COLUMN(#REF!),FALSE),0)</f>
        <v>0</v>
      </c>
      <c r="G30" s="204">
        <f>IFERROR(VLOOKUP(Opv.kohd.[[#This Row],[Y-tunnus]],#REF!,COLUMN(#REF!),FALSE),0)</f>
        <v>0</v>
      </c>
      <c r="H30" s="204">
        <f>IFERROR(VLOOKUP(Opv.kohd.[[#This Row],[Y-tunnus]],#REF!,COLUMN(#REF!),FALSE),0)</f>
        <v>0</v>
      </c>
      <c r="I30" s="204">
        <f>IFERROR(VLOOKUP(Opv.kohd.[[#This Row],[Y-tunnus]],#REF!,COLUMN(#REF!),FALSE),0)</f>
        <v>0</v>
      </c>
      <c r="J30" s="204">
        <f>IFERROR(VLOOKUP(Opv.kohd.[[#This Row],[Y-tunnus]],#REF!,COLUMN(#REF!),FALSE),0)</f>
        <v>0</v>
      </c>
      <c r="K3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30" s="204">
        <f>Opv.kohd.[[#This Row],[Järjestämisluvan mukaiset 1]]+Opv.kohd.[[#This Row],[Yhteensä  1]]</f>
        <v>0</v>
      </c>
      <c r="M30" s="204">
        <f>IFERROR(VLOOKUP(Opv.kohd.[[#This Row],[Y-tunnus]],#REF!,COLUMN(#REF!),FALSE),0)</f>
        <v>0</v>
      </c>
      <c r="N30" s="204">
        <f>IFERROR(VLOOKUP(Opv.kohd.[[#This Row],[Y-tunnus]],#REF!,COLUMN(#REF!),FALSE),0)</f>
        <v>0</v>
      </c>
      <c r="O30" s="204">
        <f>IFERROR(VLOOKUP(Opv.kohd.[[#This Row],[Y-tunnus]],#REF!,COLUMN(#REF!),FALSE)+VLOOKUP(Opv.kohd.[[#This Row],[Y-tunnus]],#REF!,COLUMN(#REF!),FALSE),0)</f>
        <v>0</v>
      </c>
      <c r="P30" s="204">
        <f>Opv.kohd.[[#This Row],[Talousarvion perusteella kohdentamattomat]]+Opv.kohd.[[#This Row],[Talousarvion perusteella työvoimakoulutus 1]]+Opv.kohd.[[#This Row],[Lisätalousarvioiden perusteella]]</f>
        <v>0</v>
      </c>
      <c r="Q30" s="204">
        <f>IFERROR(VLOOKUP(Opv.kohd.[[#This Row],[Y-tunnus]],#REF!,COLUMN(#REF!),FALSE),0)</f>
        <v>0</v>
      </c>
      <c r="R30" s="210">
        <f>IFERROR(VLOOKUP(Opv.kohd.[[#This Row],[Y-tunnus]],#REF!,COLUMN(#REF!),FALSE)-(Opv.kohd.[[#This Row],[Kohdentamaton työvoima-koulutus 2]]+Opv.kohd.[[#This Row],[Maahan-muuttajien koulutus 2]]+Opv.kohd.[[#This Row],[Lisätalousarvioiden perusteella jaetut 2]]),0)</f>
        <v>0</v>
      </c>
      <c r="S30" s="210">
        <f>IFERROR(VLOOKUP(Opv.kohd.[[#This Row],[Y-tunnus]],#REF!,COLUMN(#REF!),FALSE)+VLOOKUP(Opv.kohd.[[#This Row],[Y-tunnus]],#REF!,COLUMN(#REF!),FALSE),0)</f>
        <v>0</v>
      </c>
      <c r="T30" s="210">
        <f>IFERROR(VLOOKUP(Opv.kohd.[[#This Row],[Y-tunnus]],#REF!,COLUMN(#REF!),FALSE)+VLOOKUP(Opv.kohd.[[#This Row],[Y-tunnus]],#REF!,COLUMN(#REF!),FALSE),0)</f>
        <v>0</v>
      </c>
      <c r="U3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30" s="210">
        <f>Opv.kohd.[[#This Row],[Kohdentamat-tomat 2]]+Opv.kohd.[[#This Row],[Kohdentamaton työvoima-koulutus 2]]+Opv.kohd.[[#This Row],[Maahan-muuttajien koulutus 2]]+Opv.kohd.[[#This Row],[Lisätalousarvioiden perusteella jaetut 2]]</f>
        <v>0</v>
      </c>
      <c r="W30" s="210">
        <f>Opv.kohd.[[#This Row],[Kohdentamat-tomat 2]]-(Opv.kohd.[[#This Row],[Järjestämisluvan mukaiset 1]]+Opv.kohd.[[#This Row],[Kohdentamat-tomat 1]]+Opv.kohd.[[#This Row],[Nuorisotyöt. väh. ja osaamistarp. vast., muu kuin työvoima-koulutus 1]]+Opv.kohd.[[#This Row],[Talousarvion perusteella kohdentamattomat]])</f>
        <v>0</v>
      </c>
      <c r="X30" s="210">
        <f>Opv.kohd.[[#This Row],[Kohdentamaton työvoima-koulutus 2]]-(Opv.kohd.[[#This Row],[Työvoima-koulutus 1]]+Opv.kohd.[[#This Row],[Nuorisotyöt. väh. ja osaamistarp. vast., työvoima-koulutus 1]]+Opv.kohd.[[#This Row],[Talousarvion perusteella työvoimakoulutus 1]])</f>
        <v>0</v>
      </c>
      <c r="Y30" s="210">
        <f>Opv.kohd.[[#This Row],[Maahan-muuttajien koulutus 2]]-Opv.kohd.[[#This Row],[Maahan-muuttajien koulutus 1]]</f>
        <v>0</v>
      </c>
      <c r="Z30" s="210">
        <f>Opv.kohd.[[#This Row],[Lisätalousarvioiden perusteella jaetut 2]]-Opv.kohd.[[#This Row],[Lisätalousarvioiden perusteella]]</f>
        <v>0</v>
      </c>
      <c r="AA30" s="210">
        <f>Opv.kohd.[[#This Row],[Toteutuneet opiskelijavuodet yhteensä 2]]-Opv.kohd.[[#This Row],[Vuoden 2018 tavoitteelliset opiskelijavuodet yhteensä 1]]</f>
        <v>0</v>
      </c>
      <c r="AB30" s="207">
        <f>IFERROR(VLOOKUP(Opv.kohd.[[#This Row],[Y-tunnus]],#REF!,3,FALSE),0)</f>
        <v>0</v>
      </c>
      <c r="AC30" s="207">
        <f>IFERROR(VLOOKUP(Opv.kohd.[[#This Row],[Y-tunnus]],#REF!,4,FALSE),0)</f>
        <v>0</v>
      </c>
      <c r="AD30" s="207">
        <f>IFERROR(VLOOKUP(Opv.kohd.[[#This Row],[Y-tunnus]],#REF!,5,FALSE),0)</f>
        <v>0</v>
      </c>
      <c r="AE30" s="207">
        <f>IFERROR(VLOOKUP(Opv.kohd.[[#This Row],[Y-tunnus]],#REF!,6,FALSE),0)</f>
        <v>0</v>
      </c>
      <c r="AF30" s="207">
        <f>IFERROR(VLOOKUP(Opv.kohd.[[#This Row],[Y-tunnus]],#REF!,7,FALSE),0)</f>
        <v>0</v>
      </c>
      <c r="AG30" s="207">
        <f>IFERROR(VLOOKUP(Opv.kohd.[[#This Row],[Y-tunnus]],#REF!,8,FALSE),0)</f>
        <v>0</v>
      </c>
      <c r="AH30" s="207">
        <f>IFERROR(VLOOKUP(Opv.kohd.[[#This Row],[Y-tunnus]],#REF!,9,FALSE),0)</f>
        <v>0</v>
      </c>
      <c r="AI30" s="207">
        <f>IFERROR(VLOOKUP(Opv.kohd.[[#This Row],[Y-tunnus]],#REF!,10,FALSE),0)</f>
        <v>0</v>
      </c>
      <c r="AJ30" s="204">
        <f>Opv.kohd.[[#This Row],[Järjestämisluvan mukaiset 4]]-Opv.kohd.[[#This Row],[Järjestämisluvan mukaiset 1]]</f>
        <v>0</v>
      </c>
      <c r="AK30" s="204">
        <f>Opv.kohd.[[#This Row],[Kohdentamat-tomat 4]]-Opv.kohd.[[#This Row],[Kohdentamat-tomat 1]]</f>
        <v>0</v>
      </c>
      <c r="AL30" s="204">
        <f>Opv.kohd.[[#This Row],[Työvoima-koulutus 4]]-Opv.kohd.[[#This Row],[Työvoima-koulutus 1]]</f>
        <v>0</v>
      </c>
      <c r="AM30" s="204">
        <f>Opv.kohd.[[#This Row],[Maahan-muuttajien koulutus 4]]-Opv.kohd.[[#This Row],[Maahan-muuttajien koulutus 1]]</f>
        <v>0</v>
      </c>
      <c r="AN30" s="204">
        <f>Opv.kohd.[[#This Row],[Nuorisotyöt. väh. ja osaamistarp. vast., muu kuin työvoima-koulutus 4]]-Opv.kohd.[[#This Row],[Nuorisotyöt. väh. ja osaamistarp. vast., muu kuin työvoima-koulutus 1]]</f>
        <v>0</v>
      </c>
      <c r="AO30" s="204">
        <f>Opv.kohd.[[#This Row],[Nuorisotyöt. väh. ja osaamistarp. vast., työvoima-koulutus 4]]-Opv.kohd.[[#This Row],[Nuorisotyöt. väh. ja osaamistarp. vast., työvoima-koulutus 1]]</f>
        <v>0</v>
      </c>
      <c r="AP30" s="204">
        <f>Opv.kohd.[[#This Row],[Yhteensä 4]]-Opv.kohd.[[#This Row],[Yhteensä  1]]</f>
        <v>0</v>
      </c>
      <c r="AQ30" s="204">
        <f>Opv.kohd.[[#This Row],[Ensikertaisella suoritepäätöksellä jaetut tavoitteelliset opiskelijavuodet yhteensä 4]]-Opv.kohd.[[#This Row],[Ensikertaisella suoritepäätöksellä jaetut tavoitteelliset opiskelijavuodet yhteensä 1]]</f>
        <v>0</v>
      </c>
      <c r="AR30" s="208">
        <f>IFERROR(Opv.kohd.[[#This Row],[Järjestämisluvan mukaiset 5]]/Opv.kohd.[[#This Row],[Järjestämisluvan mukaiset 4]],0)</f>
        <v>0</v>
      </c>
      <c r="AS30" s="208">
        <f>IFERROR(Opv.kohd.[[#This Row],[Kohdentamat-tomat 5]]/Opv.kohd.[[#This Row],[Kohdentamat-tomat 4]],0)</f>
        <v>0</v>
      </c>
      <c r="AT30" s="208">
        <f>IFERROR(Opv.kohd.[[#This Row],[Työvoima-koulutus 5]]/Opv.kohd.[[#This Row],[Työvoima-koulutus 4]],0)</f>
        <v>0</v>
      </c>
      <c r="AU30" s="208">
        <f>IFERROR(Opv.kohd.[[#This Row],[Maahan-muuttajien koulutus 5]]/Opv.kohd.[[#This Row],[Maahan-muuttajien koulutus 4]],0)</f>
        <v>0</v>
      </c>
      <c r="AV30" s="208">
        <f>IFERROR(Opv.kohd.[[#This Row],[Nuorisotyöt. väh. ja osaamistarp. vast., muu kuin työvoima-koulutus 5]]/Opv.kohd.[[#This Row],[Nuorisotyöt. väh. ja osaamistarp. vast., muu kuin työvoima-koulutus 4]],0)</f>
        <v>0</v>
      </c>
      <c r="AW30" s="208">
        <f>IFERROR(Opv.kohd.[[#This Row],[Nuorisotyöt. väh. ja osaamistarp. vast., työvoima-koulutus 5]]/Opv.kohd.[[#This Row],[Nuorisotyöt. väh. ja osaamistarp. vast., työvoima-koulutus 4]],0)</f>
        <v>0</v>
      </c>
      <c r="AX30" s="208">
        <f>IFERROR(Opv.kohd.[[#This Row],[Yhteensä 5]]/Opv.kohd.[[#This Row],[Yhteensä 4]],0)</f>
        <v>0</v>
      </c>
      <c r="AY30" s="208">
        <f>IFERROR(Opv.kohd.[[#This Row],[Ensikertaisella suoritepäätöksellä jaetut tavoitteelliset opiskelijavuodet yhteensä 5]]/Opv.kohd.[[#This Row],[Ensikertaisella suoritepäätöksellä jaetut tavoitteelliset opiskelijavuodet yhteensä 4]],0)</f>
        <v>0</v>
      </c>
      <c r="AZ30" s="207">
        <f>Opv.kohd.[[#This Row],[Yhteensä 7a]]-Opv.kohd.[[#This Row],[Työvoima-koulutus 7a]]</f>
        <v>0</v>
      </c>
      <c r="BA30" s="207">
        <f>IFERROR(VLOOKUP(Opv.kohd.[[#This Row],[Y-tunnus]],#REF!,COLUMN(#REF!),FALSE),0)</f>
        <v>0</v>
      </c>
      <c r="BB30" s="207">
        <f>IFERROR(VLOOKUP(Opv.kohd.[[#This Row],[Y-tunnus]],#REF!,COLUMN(#REF!),FALSE),0)</f>
        <v>0</v>
      </c>
      <c r="BC30" s="207">
        <f>Opv.kohd.[[#This Row],[Muu kuin työvoima-koulutus 7c]]-Opv.kohd.[[#This Row],[Muu kuin työvoima-koulutus 7a]]</f>
        <v>0</v>
      </c>
      <c r="BD30" s="207">
        <f>Opv.kohd.[[#This Row],[Työvoima-koulutus 7c]]-Opv.kohd.[[#This Row],[Työvoima-koulutus 7a]]</f>
        <v>0</v>
      </c>
      <c r="BE30" s="207">
        <f>Opv.kohd.[[#This Row],[Yhteensä 7c]]-Opv.kohd.[[#This Row],[Yhteensä 7a]]</f>
        <v>0</v>
      </c>
      <c r="BF30" s="207">
        <f>Opv.kohd.[[#This Row],[Yhteensä 7c]]-Opv.kohd.[[#This Row],[Työvoima-koulutus 7c]]</f>
        <v>0</v>
      </c>
      <c r="BG30" s="207">
        <f>IFERROR(VLOOKUP(Opv.kohd.[[#This Row],[Y-tunnus]],#REF!,COLUMN(#REF!),FALSE),0)</f>
        <v>0</v>
      </c>
      <c r="BH30" s="207">
        <f>IFERROR(VLOOKUP(Opv.kohd.[[#This Row],[Y-tunnus]],#REF!,COLUMN(#REF!),FALSE),0)</f>
        <v>0</v>
      </c>
      <c r="BI30" s="207">
        <f>IFERROR(VLOOKUP(Opv.kohd.[[#This Row],[Y-tunnus]],#REF!,COLUMN(#REF!),FALSE),0)</f>
        <v>0</v>
      </c>
      <c r="BJ30" s="207">
        <f>IFERROR(VLOOKUP(Opv.kohd.[[#This Row],[Y-tunnus]],#REF!,COLUMN(#REF!),FALSE),0)</f>
        <v>0</v>
      </c>
      <c r="BK30" s="207">
        <f>Opv.kohd.[[#This Row],[Muu kuin työvoima-koulutus 7d]]+Opv.kohd.[[#This Row],[Työvoima-koulutus 7d]]</f>
        <v>0</v>
      </c>
      <c r="BL30" s="207">
        <f>Opv.kohd.[[#This Row],[Muu kuin työvoima-koulutus 7c]]-Opv.kohd.[[#This Row],[Muu kuin työvoima-koulutus 7d]]</f>
        <v>0</v>
      </c>
      <c r="BM30" s="207">
        <f>Opv.kohd.[[#This Row],[Työvoima-koulutus 7c]]-Opv.kohd.[[#This Row],[Työvoima-koulutus 7d]]</f>
        <v>0</v>
      </c>
      <c r="BN30" s="207">
        <f>Opv.kohd.[[#This Row],[Yhteensä 7c]]-Opv.kohd.[[#This Row],[Yhteensä 7d]]</f>
        <v>0</v>
      </c>
      <c r="BO30" s="207">
        <f>Opv.kohd.[[#This Row],[Muu kuin työvoima-koulutus 7e]]-(Opv.kohd.[[#This Row],[Järjestämisluvan mukaiset 4]]+Opv.kohd.[[#This Row],[Kohdentamat-tomat 4]]+Opv.kohd.[[#This Row],[Maahan-muuttajien koulutus 4]]+Opv.kohd.[[#This Row],[Nuorisotyöt. väh. ja osaamistarp. vast., muu kuin työvoima-koulutus 4]])</f>
        <v>0</v>
      </c>
      <c r="BP30" s="207">
        <f>Opv.kohd.[[#This Row],[Työvoima-koulutus 7e]]-(Opv.kohd.[[#This Row],[Työvoima-koulutus 4]]+Opv.kohd.[[#This Row],[Nuorisotyöt. väh. ja osaamistarp. vast., työvoima-koulutus 4]])</f>
        <v>0</v>
      </c>
      <c r="BQ30" s="207">
        <f>Opv.kohd.[[#This Row],[Yhteensä 7e]]-Opv.kohd.[[#This Row],[Ensikertaisella suoritepäätöksellä jaetut tavoitteelliset opiskelijavuodet yhteensä 4]]</f>
        <v>0</v>
      </c>
      <c r="BR30" s="263">
        <v>1890</v>
      </c>
      <c r="BS30" s="263">
        <v>110</v>
      </c>
      <c r="BT30" s="263">
        <v>0</v>
      </c>
      <c r="BU30" s="263">
        <v>90</v>
      </c>
      <c r="BV30" s="263">
        <v>0</v>
      </c>
      <c r="BW30" s="263">
        <v>0</v>
      </c>
      <c r="BX30" s="263">
        <v>200</v>
      </c>
      <c r="BY30" s="263">
        <v>2090</v>
      </c>
      <c r="BZ30" s="207">
        <f t="shared" si="2"/>
        <v>1890</v>
      </c>
      <c r="CA30" s="207">
        <f t="shared" si="3"/>
        <v>110</v>
      </c>
      <c r="CB30" s="207">
        <f t="shared" si="4"/>
        <v>0</v>
      </c>
      <c r="CC30" s="207">
        <f t="shared" si="5"/>
        <v>90</v>
      </c>
      <c r="CD30" s="207">
        <f t="shared" si="6"/>
        <v>0</v>
      </c>
      <c r="CE30" s="207">
        <f t="shared" si="7"/>
        <v>0</v>
      </c>
      <c r="CF30" s="207">
        <f t="shared" si="8"/>
        <v>200</v>
      </c>
      <c r="CG30" s="207">
        <f t="shared" si="9"/>
        <v>2090</v>
      </c>
      <c r="CH30" s="207">
        <f>Opv.kohd.[[#This Row],[Tavoitteelliset opiskelijavuodet yhteensä 9]]-Opv.kohd.[[#This Row],[Työvoima-koulutus 9]]-Opv.kohd.[[#This Row],[Nuorisotyöt. väh. ja osaamistarp. vast., työvoima-koulutus 9]]-Opv.kohd.[[#This Row],[Muu kuin työvoima-koulutus 7e]]</f>
        <v>2090</v>
      </c>
      <c r="CI30" s="207">
        <f>(Opv.kohd.[[#This Row],[Työvoima-koulutus 9]]+Opv.kohd.[[#This Row],[Nuorisotyöt. väh. ja osaamistarp. vast., työvoima-koulutus 9]])-Opv.kohd.[[#This Row],[Työvoima-koulutus 7e]]</f>
        <v>0</v>
      </c>
      <c r="CJ30" s="207">
        <f>Opv.kohd.[[#This Row],[Tavoitteelliset opiskelijavuodet yhteensä 9]]-Opv.kohd.[[#This Row],[Yhteensä 7e]]</f>
        <v>2090</v>
      </c>
      <c r="CK30" s="207">
        <f>Opv.kohd.[[#This Row],[Järjestämisluvan mukaiset 4]]+Opv.kohd.[[#This Row],[Järjestämisluvan mukaiset 13]]</f>
        <v>0</v>
      </c>
      <c r="CL30" s="207">
        <f>Opv.kohd.[[#This Row],[Kohdentamat-tomat 4]]+Opv.kohd.[[#This Row],[Kohdentamat-tomat 13]]</f>
        <v>0</v>
      </c>
      <c r="CM30" s="207">
        <f>Opv.kohd.[[#This Row],[Työvoima-koulutus 4]]+Opv.kohd.[[#This Row],[Työvoima-koulutus 13]]</f>
        <v>0</v>
      </c>
      <c r="CN30" s="207">
        <f>Opv.kohd.[[#This Row],[Maahan-muuttajien koulutus 4]]+Opv.kohd.[[#This Row],[Maahan-muuttajien koulutus 13]]</f>
        <v>0</v>
      </c>
      <c r="CO30" s="207">
        <f>Opv.kohd.[[#This Row],[Nuorisotyöt. väh. ja osaamistarp. vast., muu kuin työvoima-koulutus 4]]+Opv.kohd.[[#This Row],[Nuorisotyöt. väh. ja osaamistarp. vast., muu kuin työvoima-koulutus 13]]</f>
        <v>0</v>
      </c>
      <c r="CP30" s="207">
        <f>Opv.kohd.[[#This Row],[Nuorisotyöt. väh. ja osaamistarp. vast., työvoima-koulutus 4]]+Opv.kohd.[[#This Row],[Nuorisotyöt. väh. ja osaamistarp. vast., työvoima-koulutus 13]]</f>
        <v>0</v>
      </c>
      <c r="CQ30" s="207">
        <f>Opv.kohd.[[#This Row],[Yhteensä 4]]+Opv.kohd.[[#This Row],[Yhteensä 13]]</f>
        <v>0</v>
      </c>
      <c r="CR30" s="207">
        <f>Opv.kohd.[[#This Row],[Ensikertaisella suoritepäätöksellä jaetut tavoitteelliset opiskelijavuodet yhteensä 4]]+Opv.kohd.[[#This Row],[Tavoitteelliset opiskelijavuodet yhteensä 13]]</f>
        <v>0</v>
      </c>
      <c r="CS30" s="120">
        <v>0</v>
      </c>
      <c r="CT30" s="120">
        <v>0</v>
      </c>
      <c r="CU30" s="120">
        <v>0</v>
      </c>
      <c r="CV30" s="120">
        <v>0</v>
      </c>
      <c r="CW30" s="120">
        <v>0</v>
      </c>
      <c r="CX30" s="120">
        <v>0</v>
      </c>
      <c r="CY30" s="120">
        <v>0</v>
      </c>
      <c r="CZ30" s="120">
        <v>0</v>
      </c>
      <c r="DA30" s="209">
        <f>IFERROR(Opv.kohd.[[#This Row],[Järjestämisluvan mukaiset 13]]/Opv.kohd.[[#This Row],[Järjestämisluvan mukaiset 12]],0)</f>
        <v>0</v>
      </c>
      <c r="DB30" s="209">
        <f>IFERROR(Opv.kohd.[[#This Row],[Kohdentamat-tomat 13]]/Opv.kohd.[[#This Row],[Kohdentamat-tomat 12]],0)</f>
        <v>0</v>
      </c>
      <c r="DC30" s="209">
        <f>IFERROR(Opv.kohd.[[#This Row],[Työvoima-koulutus 13]]/Opv.kohd.[[#This Row],[Työvoima-koulutus 12]],0)</f>
        <v>0</v>
      </c>
      <c r="DD30" s="209">
        <f>IFERROR(Opv.kohd.[[#This Row],[Maahan-muuttajien koulutus 13]]/Opv.kohd.[[#This Row],[Maahan-muuttajien koulutus 12]],0)</f>
        <v>0</v>
      </c>
      <c r="DE30" s="209">
        <f>IFERROR(Opv.kohd.[[#This Row],[Nuorisotyöt. väh. ja osaamistarp. vast., muu kuin työvoima-koulutus 13]]/Opv.kohd.[[#This Row],[Nuorisotyöt. väh. ja osaamistarp. vast., muu kuin työvoima-koulutus 12]],0)</f>
        <v>0</v>
      </c>
      <c r="DF30" s="209">
        <f>IFERROR(Opv.kohd.[[#This Row],[Nuorisotyöt. väh. ja osaamistarp. vast., työvoima-koulutus 13]]/Opv.kohd.[[#This Row],[Nuorisotyöt. väh. ja osaamistarp. vast., työvoima-koulutus 12]],0)</f>
        <v>0</v>
      </c>
      <c r="DG30" s="209">
        <f>IFERROR(Opv.kohd.[[#This Row],[Yhteensä 13]]/Opv.kohd.[[#This Row],[Yhteensä 12]],0)</f>
        <v>0</v>
      </c>
      <c r="DH30" s="209">
        <f>IFERROR(Opv.kohd.[[#This Row],[Tavoitteelliset opiskelijavuodet yhteensä 13]]/Opv.kohd.[[#This Row],[Tavoitteelliset opiskelijavuodet yhteensä 12]],0)</f>
        <v>0</v>
      </c>
      <c r="DI30" s="207">
        <f>Opv.kohd.[[#This Row],[Järjestämisluvan mukaiset 12]]-Opv.kohd.[[#This Row],[Järjestämisluvan mukaiset 9]]</f>
        <v>-1890</v>
      </c>
      <c r="DJ30" s="207">
        <f>Opv.kohd.[[#This Row],[Kohdentamat-tomat 12]]-Opv.kohd.[[#This Row],[Kohdentamat-tomat 9]]</f>
        <v>-110</v>
      </c>
      <c r="DK30" s="207">
        <f>Opv.kohd.[[#This Row],[Työvoima-koulutus 12]]-Opv.kohd.[[#This Row],[Työvoima-koulutus 9]]</f>
        <v>0</v>
      </c>
      <c r="DL30" s="207">
        <f>Opv.kohd.[[#This Row],[Maahan-muuttajien koulutus 12]]-Opv.kohd.[[#This Row],[Maahan-muuttajien koulutus 9]]</f>
        <v>-90</v>
      </c>
      <c r="DM30" s="207">
        <f>Opv.kohd.[[#This Row],[Nuorisotyöt. väh. ja osaamistarp. vast., muu kuin työvoima-koulutus 12]]-Opv.kohd.[[#This Row],[Nuorisotyöt. väh. ja osaamistarp. vast., muu kuin työvoima-koulutus 9]]</f>
        <v>0</v>
      </c>
      <c r="DN30" s="207">
        <f>Opv.kohd.[[#This Row],[Nuorisotyöt. väh. ja osaamistarp. vast., työvoima-koulutus 12]]-Opv.kohd.[[#This Row],[Nuorisotyöt. väh. ja osaamistarp. vast., työvoima-koulutus 9]]</f>
        <v>0</v>
      </c>
      <c r="DO30" s="207">
        <f>Opv.kohd.[[#This Row],[Yhteensä 12]]-Opv.kohd.[[#This Row],[Yhteensä 9]]</f>
        <v>-200</v>
      </c>
      <c r="DP30" s="207">
        <f>Opv.kohd.[[#This Row],[Tavoitteelliset opiskelijavuodet yhteensä 12]]-Opv.kohd.[[#This Row],[Tavoitteelliset opiskelijavuodet yhteensä 9]]</f>
        <v>-2090</v>
      </c>
      <c r="DQ30" s="209">
        <f>IFERROR(Opv.kohd.[[#This Row],[Järjestämisluvan mukaiset 15]]/Opv.kohd.[[#This Row],[Järjestämisluvan mukaiset 9]],0)</f>
        <v>-1</v>
      </c>
      <c r="DR30" s="209">
        <f t="shared" si="10"/>
        <v>0</v>
      </c>
      <c r="DS30" s="209">
        <f t="shared" si="11"/>
        <v>0</v>
      </c>
      <c r="DT30" s="209">
        <f t="shared" si="12"/>
        <v>0</v>
      </c>
      <c r="DU30" s="209">
        <f t="shared" si="13"/>
        <v>0</v>
      </c>
      <c r="DV30" s="209">
        <f t="shared" si="14"/>
        <v>0</v>
      </c>
      <c r="DW30" s="209">
        <f t="shared" si="15"/>
        <v>0</v>
      </c>
      <c r="DX30" s="209">
        <f t="shared" si="16"/>
        <v>0</v>
      </c>
    </row>
    <row r="31" spans="1:128" x14ac:dyDescent="0.25">
      <c r="A31" s="204" t="e">
        <f>IF(INDEX(#REF!,ROW(31:31)-1,1)=0,"",INDEX(#REF!,ROW(31:31)-1,1))</f>
        <v>#REF!</v>
      </c>
      <c r="B31" s="205" t="str">
        <f>IFERROR(VLOOKUP(Opv.kohd.[[#This Row],[Y-tunnus]],'0 Järjestäjätiedot'!$A:$H,2,FALSE),"")</f>
        <v/>
      </c>
      <c r="C31" s="204" t="str">
        <f>IFERROR(VLOOKUP(Opv.kohd.[[#This Row],[Y-tunnus]],'0 Järjestäjätiedot'!$A:$H,COLUMN('0 Järjestäjätiedot'!D:D),FALSE),"")</f>
        <v/>
      </c>
      <c r="D31" s="204" t="str">
        <f>IFERROR(VLOOKUP(Opv.kohd.[[#This Row],[Y-tunnus]],'0 Järjestäjätiedot'!$A:$H,COLUMN('0 Järjestäjätiedot'!H:H),FALSE),"")</f>
        <v/>
      </c>
      <c r="E31" s="204">
        <f>IFERROR(VLOOKUP(Opv.kohd.[[#This Row],[Y-tunnus]],#REF!,COLUMN(#REF!),FALSE),0)</f>
        <v>0</v>
      </c>
      <c r="F31" s="204">
        <f>IFERROR(VLOOKUP(Opv.kohd.[[#This Row],[Y-tunnus]],#REF!,COLUMN(#REF!),FALSE),0)</f>
        <v>0</v>
      </c>
      <c r="G31" s="204">
        <f>IFERROR(VLOOKUP(Opv.kohd.[[#This Row],[Y-tunnus]],#REF!,COLUMN(#REF!),FALSE),0)</f>
        <v>0</v>
      </c>
      <c r="H31" s="204">
        <f>IFERROR(VLOOKUP(Opv.kohd.[[#This Row],[Y-tunnus]],#REF!,COLUMN(#REF!),FALSE),0)</f>
        <v>0</v>
      </c>
      <c r="I31" s="204">
        <f>IFERROR(VLOOKUP(Opv.kohd.[[#This Row],[Y-tunnus]],#REF!,COLUMN(#REF!),FALSE),0)</f>
        <v>0</v>
      </c>
      <c r="J31" s="204">
        <f>IFERROR(VLOOKUP(Opv.kohd.[[#This Row],[Y-tunnus]],#REF!,COLUMN(#REF!),FALSE),0)</f>
        <v>0</v>
      </c>
      <c r="K3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31" s="204">
        <f>Opv.kohd.[[#This Row],[Järjestämisluvan mukaiset 1]]+Opv.kohd.[[#This Row],[Yhteensä  1]]</f>
        <v>0</v>
      </c>
      <c r="M31" s="204">
        <f>IFERROR(VLOOKUP(Opv.kohd.[[#This Row],[Y-tunnus]],#REF!,COLUMN(#REF!),FALSE),0)</f>
        <v>0</v>
      </c>
      <c r="N31" s="204">
        <f>IFERROR(VLOOKUP(Opv.kohd.[[#This Row],[Y-tunnus]],#REF!,COLUMN(#REF!),FALSE),0)</f>
        <v>0</v>
      </c>
      <c r="O31" s="204">
        <f>IFERROR(VLOOKUP(Opv.kohd.[[#This Row],[Y-tunnus]],#REF!,COLUMN(#REF!),FALSE)+VLOOKUP(Opv.kohd.[[#This Row],[Y-tunnus]],#REF!,COLUMN(#REF!),FALSE),0)</f>
        <v>0</v>
      </c>
      <c r="P31" s="204">
        <f>Opv.kohd.[[#This Row],[Talousarvion perusteella kohdentamattomat]]+Opv.kohd.[[#This Row],[Talousarvion perusteella työvoimakoulutus 1]]+Opv.kohd.[[#This Row],[Lisätalousarvioiden perusteella]]</f>
        <v>0</v>
      </c>
      <c r="Q31" s="204">
        <f>IFERROR(VLOOKUP(Opv.kohd.[[#This Row],[Y-tunnus]],#REF!,COLUMN(#REF!),FALSE),0)</f>
        <v>0</v>
      </c>
      <c r="R31" s="210">
        <f>IFERROR(VLOOKUP(Opv.kohd.[[#This Row],[Y-tunnus]],#REF!,COLUMN(#REF!),FALSE)-(Opv.kohd.[[#This Row],[Kohdentamaton työvoima-koulutus 2]]+Opv.kohd.[[#This Row],[Maahan-muuttajien koulutus 2]]+Opv.kohd.[[#This Row],[Lisätalousarvioiden perusteella jaetut 2]]),0)</f>
        <v>0</v>
      </c>
      <c r="S31" s="210">
        <f>IFERROR(VLOOKUP(Opv.kohd.[[#This Row],[Y-tunnus]],#REF!,COLUMN(#REF!),FALSE)+VLOOKUP(Opv.kohd.[[#This Row],[Y-tunnus]],#REF!,COLUMN(#REF!),FALSE),0)</f>
        <v>0</v>
      </c>
      <c r="T31" s="210">
        <f>IFERROR(VLOOKUP(Opv.kohd.[[#This Row],[Y-tunnus]],#REF!,COLUMN(#REF!),FALSE)+VLOOKUP(Opv.kohd.[[#This Row],[Y-tunnus]],#REF!,COLUMN(#REF!),FALSE),0)</f>
        <v>0</v>
      </c>
      <c r="U3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31" s="210">
        <f>Opv.kohd.[[#This Row],[Kohdentamat-tomat 2]]+Opv.kohd.[[#This Row],[Kohdentamaton työvoima-koulutus 2]]+Opv.kohd.[[#This Row],[Maahan-muuttajien koulutus 2]]+Opv.kohd.[[#This Row],[Lisätalousarvioiden perusteella jaetut 2]]</f>
        <v>0</v>
      </c>
      <c r="W31" s="210">
        <f>Opv.kohd.[[#This Row],[Kohdentamat-tomat 2]]-(Opv.kohd.[[#This Row],[Järjestämisluvan mukaiset 1]]+Opv.kohd.[[#This Row],[Kohdentamat-tomat 1]]+Opv.kohd.[[#This Row],[Nuorisotyöt. väh. ja osaamistarp. vast., muu kuin työvoima-koulutus 1]]+Opv.kohd.[[#This Row],[Talousarvion perusteella kohdentamattomat]])</f>
        <v>0</v>
      </c>
      <c r="X31" s="210">
        <f>Opv.kohd.[[#This Row],[Kohdentamaton työvoima-koulutus 2]]-(Opv.kohd.[[#This Row],[Työvoima-koulutus 1]]+Opv.kohd.[[#This Row],[Nuorisotyöt. väh. ja osaamistarp. vast., työvoima-koulutus 1]]+Opv.kohd.[[#This Row],[Talousarvion perusteella työvoimakoulutus 1]])</f>
        <v>0</v>
      </c>
      <c r="Y31" s="210">
        <f>Opv.kohd.[[#This Row],[Maahan-muuttajien koulutus 2]]-Opv.kohd.[[#This Row],[Maahan-muuttajien koulutus 1]]</f>
        <v>0</v>
      </c>
      <c r="Z31" s="210">
        <f>Opv.kohd.[[#This Row],[Lisätalousarvioiden perusteella jaetut 2]]-Opv.kohd.[[#This Row],[Lisätalousarvioiden perusteella]]</f>
        <v>0</v>
      </c>
      <c r="AA31" s="210">
        <f>Opv.kohd.[[#This Row],[Toteutuneet opiskelijavuodet yhteensä 2]]-Opv.kohd.[[#This Row],[Vuoden 2018 tavoitteelliset opiskelijavuodet yhteensä 1]]</f>
        <v>0</v>
      </c>
      <c r="AB31" s="207">
        <f>IFERROR(VLOOKUP(Opv.kohd.[[#This Row],[Y-tunnus]],#REF!,3,FALSE),0)</f>
        <v>0</v>
      </c>
      <c r="AC31" s="207">
        <f>IFERROR(VLOOKUP(Opv.kohd.[[#This Row],[Y-tunnus]],#REF!,4,FALSE),0)</f>
        <v>0</v>
      </c>
      <c r="AD31" s="207">
        <f>IFERROR(VLOOKUP(Opv.kohd.[[#This Row],[Y-tunnus]],#REF!,5,FALSE),0)</f>
        <v>0</v>
      </c>
      <c r="AE31" s="207">
        <f>IFERROR(VLOOKUP(Opv.kohd.[[#This Row],[Y-tunnus]],#REF!,6,FALSE),0)</f>
        <v>0</v>
      </c>
      <c r="AF31" s="207">
        <f>IFERROR(VLOOKUP(Opv.kohd.[[#This Row],[Y-tunnus]],#REF!,7,FALSE),0)</f>
        <v>0</v>
      </c>
      <c r="AG31" s="207">
        <f>IFERROR(VLOOKUP(Opv.kohd.[[#This Row],[Y-tunnus]],#REF!,8,FALSE),0)</f>
        <v>0</v>
      </c>
      <c r="AH31" s="207">
        <f>IFERROR(VLOOKUP(Opv.kohd.[[#This Row],[Y-tunnus]],#REF!,9,FALSE),0)</f>
        <v>0</v>
      </c>
      <c r="AI31" s="207">
        <f>IFERROR(VLOOKUP(Opv.kohd.[[#This Row],[Y-tunnus]],#REF!,10,FALSE),0)</f>
        <v>0</v>
      </c>
      <c r="AJ31" s="204">
        <f>Opv.kohd.[[#This Row],[Järjestämisluvan mukaiset 4]]-Opv.kohd.[[#This Row],[Järjestämisluvan mukaiset 1]]</f>
        <v>0</v>
      </c>
      <c r="AK31" s="204">
        <f>Opv.kohd.[[#This Row],[Kohdentamat-tomat 4]]-Opv.kohd.[[#This Row],[Kohdentamat-tomat 1]]</f>
        <v>0</v>
      </c>
      <c r="AL31" s="204">
        <f>Opv.kohd.[[#This Row],[Työvoima-koulutus 4]]-Opv.kohd.[[#This Row],[Työvoima-koulutus 1]]</f>
        <v>0</v>
      </c>
      <c r="AM31" s="204">
        <f>Opv.kohd.[[#This Row],[Maahan-muuttajien koulutus 4]]-Opv.kohd.[[#This Row],[Maahan-muuttajien koulutus 1]]</f>
        <v>0</v>
      </c>
      <c r="AN31" s="204">
        <f>Opv.kohd.[[#This Row],[Nuorisotyöt. väh. ja osaamistarp. vast., muu kuin työvoima-koulutus 4]]-Opv.kohd.[[#This Row],[Nuorisotyöt. väh. ja osaamistarp. vast., muu kuin työvoima-koulutus 1]]</f>
        <v>0</v>
      </c>
      <c r="AO31" s="204">
        <f>Opv.kohd.[[#This Row],[Nuorisotyöt. väh. ja osaamistarp. vast., työvoima-koulutus 4]]-Opv.kohd.[[#This Row],[Nuorisotyöt. väh. ja osaamistarp. vast., työvoima-koulutus 1]]</f>
        <v>0</v>
      </c>
      <c r="AP31" s="204">
        <f>Opv.kohd.[[#This Row],[Yhteensä 4]]-Opv.kohd.[[#This Row],[Yhteensä  1]]</f>
        <v>0</v>
      </c>
      <c r="AQ31" s="204">
        <f>Opv.kohd.[[#This Row],[Ensikertaisella suoritepäätöksellä jaetut tavoitteelliset opiskelijavuodet yhteensä 4]]-Opv.kohd.[[#This Row],[Ensikertaisella suoritepäätöksellä jaetut tavoitteelliset opiskelijavuodet yhteensä 1]]</f>
        <v>0</v>
      </c>
      <c r="AR31" s="208">
        <f>IFERROR(Opv.kohd.[[#This Row],[Järjestämisluvan mukaiset 5]]/Opv.kohd.[[#This Row],[Järjestämisluvan mukaiset 4]],0)</f>
        <v>0</v>
      </c>
      <c r="AS31" s="208">
        <f>IFERROR(Opv.kohd.[[#This Row],[Kohdentamat-tomat 5]]/Opv.kohd.[[#This Row],[Kohdentamat-tomat 4]],0)</f>
        <v>0</v>
      </c>
      <c r="AT31" s="208">
        <f>IFERROR(Opv.kohd.[[#This Row],[Työvoima-koulutus 5]]/Opv.kohd.[[#This Row],[Työvoima-koulutus 4]],0)</f>
        <v>0</v>
      </c>
      <c r="AU31" s="208">
        <f>IFERROR(Opv.kohd.[[#This Row],[Maahan-muuttajien koulutus 5]]/Opv.kohd.[[#This Row],[Maahan-muuttajien koulutus 4]],0)</f>
        <v>0</v>
      </c>
      <c r="AV31" s="208">
        <f>IFERROR(Opv.kohd.[[#This Row],[Nuorisotyöt. väh. ja osaamistarp. vast., muu kuin työvoima-koulutus 5]]/Opv.kohd.[[#This Row],[Nuorisotyöt. väh. ja osaamistarp. vast., muu kuin työvoima-koulutus 4]],0)</f>
        <v>0</v>
      </c>
      <c r="AW31" s="208">
        <f>IFERROR(Opv.kohd.[[#This Row],[Nuorisotyöt. väh. ja osaamistarp. vast., työvoima-koulutus 5]]/Opv.kohd.[[#This Row],[Nuorisotyöt. väh. ja osaamistarp. vast., työvoima-koulutus 4]],0)</f>
        <v>0</v>
      </c>
      <c r="AX31" s="208">
        <f>IFERROR(Opv.kohd.[[#This Row],[Yhteensä 5]]/Opv.kohd.[[#This Row],[Yhteensä 4]],0)</f>
        <v>0</v>
      </c>
      <c r="AY31" s="208">
        <f>IFERROR(Opv.kohd.[[#This Row],[Ensikertaisella suoritepäätöksellä jaetut tavoitteelliset opiskelijavuodet yhteensä 5]]/Opv.kohd.[[#This Row],[Ensikertaisella suoritepäätöksellä jaetut tavoitteelliset opiskelijavuodet yhteensä 4]],0)</f>
        <v>0</v>
      </c>
      <c r="AZ31" s="207">
        <f>Opv.kohd.[[#This Row],[Yhteensä 7a]]-Opv.kohd.[[#This Row],[Työvoima-koulutus 7a]]</f>
        <v>0</v>
      </c>
      <c r="BA31" s="207">
        <f>IFERROR(VLOOKUP(Opv.kohd.[[#This Row],[Y-tunnus]],#REF!,COLUMN(#REF!),FALSE),0)</f>
        <v>0</v>
      </c>
      <c r="BB31" s="207">
        <f>IFERROR(VLOOKUP(Opv.kohd.[[#This Row],[Y-tunnus]],#REF!,COLUMN(#REF!),FALSE),0)</f>
        <v>0</v>
      </c>
      <c r="BC31" s="207">
        <f>Opv.kohd.[[#This Row],[Muu kuin työvoima-koulutus 7c]]-Opv.kohd.[[#This Row],[Muu kuin työvoima-koulutus 7a]]</f>
        <v>0</v>
      </c>
      <c r="BD31" s="207">
        <f>Opv.kohd.[[#This Row],[Työvoima-koulutus 7c]]-Opv.kohd.[[#This Row],[Työvoima-koulutus 7a]]</f>
        <v>0</v>
      </c>
      <c r="BE31" s="207">
        <f>Opv.kohd.[[#This Row],[Yhteensä 7c]]-Opv.kohd.[[#This Row],[Yhteensä 7a]]</f>
        <v>0</v>
      </c>
      <c r="BF31" s="207">
        <f>Opv.kohd.[[#This Row],[Yhteensä 7c]]-Opv.kohd.[[#This Row],[Työvoima-koulutus 7c]]</f>
        <v>0</v>
      </c>
      <c r="BG31" s="207">
        <f>IFERROR(VLOOKUP(Opv.kohd.[[#This Row],[Y-tunnus]],#REF!,COLUMN(#REF!),FALSE),0)</f>
        <v>0</v>
      </c>
      <c r="BH31" s="207">
        <f>IFERROR(VLOOKUP(Opv.kohd.[[#This Row],[Y-tunnus]],#REF!,COLUMN(#REF!),FALSE),0)</f>
        <v>0</v>
      </c>
      <c r="BI31" s="207">
        <f>IFERROR(VLOOKUP(Opv.kohd.[[#This Row],[Y-tunnus]],#REF!,COLUMN(#REF!),FALSE),0)</f>
        <v>0</v>
      </c>
      <c r="BJ31" s="207">
        <f>IFERROR(VLOOKUP(Opv.kohd.[[#This Row],[Y-tunnus]],#REF!,COLUMN(#REF!),FALSE),0)</f>
        <v>0</v>
      </c>
      <c r="BK31" s="207">
        <f>Opv.kohd.[[#This Row],[Muu kuin työvoima-koulutus 7d]]+Opv.kohd.[[#This Row],[Työvoima-koulutus 7d]]</f>
        <v>0</v>
      </c>
      <c r="BL31" s="207">
        <f>Opv.kohd.[[#This Row],[Muu kuin työvoima-koulutus 7c]]-Opv.kohd.[[#This Row],[Muu kuin työvoima-koulutus 7d]]</f>
        <v>0</v>
      </c>
      <c r="BM31" s="207">
        <f>Opv.kohd.[[#This Row],[Työvoima-koulutus 7c]]-Opv.kohd.[[#This Row],[Työvoima-koulutus 7d]]</f>
        <v>0</v>
      </c>
      <c r="BN31" s="207">
        <f>Opv.kohd.[[#This Row],[Yhteensä 7c]]-Opv.kohd.[[#This Row],[Yhteensä 7d]]</f>
        <v>0</v>
      </c>
      <c r="BO31" s="207">
        <f>Opv.kohd.[[#This Row],[Muu kuin työvoima-koulutus 7e]]-(Opv.kohd.[[#This Row],[Järjestämisluvan mukaiset 4]]+Opv.kohd.[[#This Row],[Kohdentamat-tomat 4]]+Opv.kohd.[[#This Row],[Maahan-muuttajien koulutus 4]]+Opv.kohd.[[#This Row],[Nuorisotyöt. väh. ja osaamistarp. vast., muu kuin työvoima-koulutus 4]])</f>
        <v>0</v>
      </c>
      <c r="BP31" s="207">
        <f>Opv.kohd.[[#This Row],[Työvoima-koulutus 7e]]-(Opv.kohd.[[#This Row],[Työvoima-koulutus 4]]+Opv.kohd.[[#This Row],[Nuorisotyöt. väh. ja osaamistarp. vast., työvoima-koulutus 4]])</f>
        <v>0</v>
      </c>
      <c r="BQ31" s="207">
        <f>Opv.kohd.[[#This Row],[Yhteensä 7e]]-Opv.kohd.[[#This Row],[Ensikertaisella suoritepäätöksellä jaetut tavoitteelliset opiskelijavuodet yhteensä 4]]</f>
        <v>0</v>
      </c>
      <c r="BR31" s="263">
        <v>1462</v>
      </c>
      <c r="BS31" s="263">
        <v>72</v>
      </c>
      <c r="BT31" s="263">
        <v>0</v>
      </c>
      <c r="BU31" s="263">
        <v>0</v>
      </c>
      <c r="BV31" s="263">
        <v>0</v>
      </c>
      <c r="BW31" s="263">
        <v>0</v>
      </c>
      <c r="BX31" s="263">
        <v>72</v>
      </c>
      <c r="BY31" s="263">
        <v>1534</v>
      </c>
      <c r="BZ31" s="207">
        <f t="shared" si="2"/>
        <v>1462</v>
      </c>
      <c r="CA31" s="207">
        <f t="shared" si="3"/>
        <v>72</v>
      </c>
      <c r="CB31" s="207">
        <f t="shared" si="4"/>
        <v>0</v>
      </c>
      <c r="CC31" s="207">
        <f t="shared" si="5"/>
        <v>0</v>
      </c>
      <c r="CD31" s="207">
        <f t="shared" si="6"/>
        <v>0</v>
      </c>
      <c r="CE31" s="207">
        <f t="shared" si="7"/>
        <v>0</v>
      </c>
      <c r="CF31" s="207">
        <f t="shared" si="8"/>
        <v>72</v>
      </c>
      <c r="CG31" s="207">
        <f t="shared" si="9"/>
        <v>1534</v>
      </c>
      <c r="CH31" s="207">
        <f>Opv.kohd.[[#This Row],[Tavoitteelliset opiskelijavuodet yhteensä 9]]-Opv.kohd.[[#This Row],[Työvoima-koulutus 9]]-Opv.kohd.[[#This Row],[Nuorisotyöt. väh. ja osaamistarp. vast., työvoima-koulutus 9]]-Opv.kohd.[[#This Row],[Muu kuin työvoima-koulutus 7e]]</f>
        <v>1534</v>
      </c>
      <c r="CI31" s="207">
        <f>(Opv.kohd.[[#This Row],[Työvoima-koulutus 9]]+Opv.kohd.[[#This Row],[Nuorisotyöt. väh. ja osaamistarp. vast., työvoima-koulutus 9]])-Opv.kohd.[[#This Row],[Työvoima-koulutus 7e]]</f>
        <v>0</v>
      </c>
      <c r="CJ31" s="207">
        <f>Opv.kohd.[[#This Row],[Tavoitteelliset opiskelijavuodet yhteensä 9]]-Opv.kohd.[[#This Row],[Yhteensä 7e]]</f>
        <v>1534</v>
      </c>
      <c r="CK31" s="207">
        <f>Opv.kohd.[[#This Row],[Järjestämisluvan mukaiset 4]]+Opv.kohd.[[#This Row],[Järjestämisluvan mukaiset 13]]</f>
        <v>0</v>
      </c>
      <c r="CL31" s="207">
        <f>Opv.kohd.[[#This Row],[Kohdentamat-tomat 4]]+Opv.kohd.[[#This Row],[Kohdentamat-tomat 13]]</f>
        <v>0</v>
      </c>
      <c r="CM31" s="207">
        <f>Opv.kohd.[[#This Row],[Työvoima-koulutus 4]]+Opv.kohd.[[#This Row],[Työvoima-koulutus 13]]</f>
        <v>0</v>
      </c>
      <c r="CN31" s="207">
        <f>Opv.kohd.[[#This Row],[Maahan-muuttajien koulutus 4]]+Opv.kohd.[[#This Row],[Maahan-muuttajien koulutus 13]]</f>
        <v>0</v>
      </c>
      <c r="CO31" s="207">
        <f>Opv.kohd.[[#This Row],[Nuorisotyöt. väh. ja osaamistarp. vast., muu kuin työvoima-koulutus 4]]+Opv.kohd.[[#This Row],[Nuorisotyöt. väh. ja osaamistarp. vast., muu kuin työvoima-koulutus 13]]</f>
        <v>0</v>
      </c>
      <c r="CP31" s="207">
        <f>Opv.kohd.[[#This Row],[Nuorisotyöt. väh. ja osaamistarp. vast., työvoima-koulutus 4]]+Opv.kohd.[[#This Row],[Nuorisotyöt. väh. ja osaamistarp. vast., työvoima-koulutus 13]]</f>
        <v>0</v>
      </c>
      <c r="CQ31" s="207">
        <f>Opv.kohd.[[#This Row],[Yhteensä 4]]+Opv.kohd.[[#This Row],[Yhteensä 13]]</f>
        <v>0</v>
      </c>
      <c r="CR31" s="207">
        <f>Opv.kohd.[[#This Row],[Ensikertaisella suoritepäätöksellä jaetut tavoitteelliset opiskelijavuodet yhteensä 4]]+Opv.kohd.[[#This Row],[Tavoitteelliset opiskelijavuodet yhteensä 13]]</f>
        <v>0</v>
      </c>
      <c r="CS31" s="120">
        <v>0</v>
      </c>
      <c r="CT31" s="120">
        <v>0</v>
      </c>
      <c r="CU31" s="120">
        <v>0</v>
      </c>
      <c r="CV31" s="120">
        <v>0</v>
      </c>
      <c r="CW31" s="120">
        <v>0</v>
      </c>
      <c r="CX31" s="120">
        <v>0</v>
      </c>
      <c r="CY31" s="120">
        <v>0</v>
      </c>
      <c r="CZ31" s="120">
        <v>0</v>
      </c>
      <c r="DA31" s="209">
        <f>IFERROR(Opv.kohd.[[#This Row],[Järjestämisluvan mukaiset 13]]/Opv.kohd.[[#This Row],[Järjestämisluvan mukaiset 12]],0)</f>
        <v>0</v>
      </c>
      <c r="DB31" s="209">
        <f>IFERROR(Opv.kohd.[[#This Row],[Kohdentamat-tomat 13]]/Opv.kohd.[[#This Row],[Kohdentamat-tomat 12]],0)</f>
        <v>0</v>
      </c>
      <c r="DC31" s="209">
        <f>IFERROR(Opv.kohd.[[#This Row],[Työvoima-koulutus 13]]/Opv.kohd.[[#This Row],[Työvoima-koulutus 12]],0)</f>
        <v>0</v>
      </c>
      <c r="DD31" s="209">
        <f>IFERROR(Opv.kohd.[[#This Row],[Maahan-muuttajien koulutus 13]]/Opv.kohd.[[#This Row],[Maahan-muuttajien koulutus 12]],0)</f>
        <v>0</v>
      </c>
      <c r="DE31" s="209">
        <f>IFERROR(Opv.kohd.[[#This Row],[Nuorisotyöt. väh. ja osaamistarp. vast., muu kuin työvoima-koulutus 13]]/Opv.kohd.[[#This Row],[Nuorisotyöt. väh. ja osaamistarp. vast., muu kuin työvoima-koulutus 12]],0)</f>
        <v>0</v>
      </c>
      <c r="DF31" s="209">
        <f>IFERROR(Opv.kohd.[[#This Row],[Nuorisotyöt. väh. ja osaamistarp. vast., työvoima-koulutus 13]]/Opv.kohd.[[#This Row],[Nuorisotyöt. väh. ja osaamistarp. vast., työvoima-koulutus 12]],0)</f>
        <v>0</v>
      </c>
      <c r="DG31" s="209">
        <f>IFERROR(Opv.kohd.[[#This Row],[Yhteensä 13]]/Opv.kohd.[[#This Row],[Yhteensä 12]],0)</f>
        <v>0</v>
      </c>
      <c r="DH31" s="209">
        <f>IFERROR(Opv.kohd.[[#This Row],[Tavoitteelliset opiskelijavuodet yhteensä 13]]/Opv.kohd.[[#This Row],[Tavoitteelliset opiskelijavuodet yhteensä 12]],0)</f>
        <v>0</v>
      </c>
      <c r="DI31" s="207">
        <f>Opv.kohd.[[#This Row],[Järjestämisluvan mukaiset 12]]-Opv.kohd.[[#This Row],[Järjestämisluvan mukaiset 9]]</f>
        <v>-1462</v>
      </c>
      <c r="DJ31" s="207">
        <f>Opv.kohd.[[#This Row],[Kohdentamat-tomat 12]]-Opv.kohd.[[#This Row],[Kohdentamat-tomat 9]]</f>
        <v>-72</v>
      </c>
      <c r="DK31" s="207">
        <f>Opv.kohd.[[#This Row],[Työvoima-koulutus 12]]-Opv.kohd.[[#This Row],[Työvoima-koulutus 9]]</f>
        <v>0</v>
      </c>
      <c r="DL31" s="207">
        <f>Opv.kohd.[[#This Row],[Maahan-muuttajien koulutus 12]]-Opv.kohd.[[#This Row],[Maahan-muuttajien koulutus 9]]</f>
        <v>0</v>
      </c>
      <c r="DM31" s="207">
        <f>Opv.kohd.[[#This Row],[Nuorisotyöt. väh. ja osaamistarp. vast., muu kuin työvoima-koulutus 12]]-Opv.kohd.[[#This Row],[Nuorisotyöt. väh. ja osaamistarp. vast., muu kuin työvoima-koulutus 9]]</f>
        <v>0</v>
      </c>
      <c r="DN31" s="207">
        <f>Opv.kohd.[[#This Row],[Nuorisotyöt. väh. ja osaamistarp. vast., työvoima-koulutus 12]]-Opv.kohd.[[#This Row],[Nuorisotyöt. väh. ja osaamistarp. vast., työvoima-koulutus 9]]</f>
        <v>0</v>
      </c>
      <c r="DO31" s="207">
        <f>Opv.kohd.[[#This Row],[Yhteensä 12]]-Opv.kohd.[[#This Row],[Yhteensä 9]]</f>
        <v>-72</v>
      </c>
      <c r="DP31" s="207">
        <f>Opv.kohd.[[#This Row],[Tavoitteelliset opiskelijavuodet yhteensä 12]]-Opv.kohd.[[#This Row],[Tavoitteelliset opiskelijavuodet yhteensä 9]]</f>
        <v>-1534</v>
      </c>
      <c r="DQ31" s="209">
        <f>IFERROR(Opv.kohd.[[#This Row],[Järjestämisluvan mukaiset 15]]/Opv.kohd.[[#This Row],[Järjestämisluvan mukaiset 9]],0)</f>
        <v>-1</v>
      </c>
      <c r="DR31" s="209">
        <f t="shared" si="10"/>
        <v>0</v>
      </c>
      <c r="DS31" s="209">
        <f t="shared" si="11"/>
        <v>0</v>
      </c>
      <c r="DT31" s="209">
        <f t="shared" si="12"/>
        <v>0</v>
      </c>
      <c r="DU31" s="209">
        <f t="shared" si="13"/>
        <v>0</v>
      </c>
      <c r="DV31" s="209">
        <f t="shared" si="14"/>
        <v>0</v>
      </c>
      <c r="DW31" s="209">
        <f t="shared" si="15"/>
        <v>0</v>
      </c>
      <c r="DX31" s="209">
        <f t="shared" si="16"/>
        <v>0</v>
      </c>
    </row>
    <row r="32" spans="1:128" x14ac:dyDescent="0.25">
      <c r="A32" s="204" t="e">
        <f>IF(INDEX(#REF!,ROW(32:32)-1,1)=0,"",INDEX(#REF!,ROW(32:32)-1,1))</f>
        <v>#REF!</v>
      </c>
      <c r="B32" s="205" t="str">
        <f>IFERROR(VLOOKUP(Opv.kohd.[[#This Row],[Y-tunnus]],'0 Järjestäjätiedot'!$A:$H,2,FALSE),"")</f>
        <v/>
      </c>
      <c r="C32" s="204" t="str">
        <f>IFERROR(VLOOKUP(Opv.kohd.[[#This Row],[Y-tunnus]],'0 Järjestäjätiedot'!$A:$H,COLUMN('0 Järjestäjätiedot'!D:D),FALSE),"")</f>
        <v/>
      </c>
      <c r="D32" s="204" t="str">
        <f>IFERROR(VLOOKUP(Opv.kohd.[[#This Row],[Y-tunnus]],'0 Järjestäjätiedot'!$A:$H,COLUMN('0 Järjestäjätiedot'!H:H),FALSE),"")</f>
        <v/>
      </c>
      <c r="E32" s="204">
        <f>IFERROR(VLOOKUP(Opv.kohd.[[#This Row],[Y-tunnus]],#REF!,COLUMN(#REF!),FALSE),0)</f>
        <v>0</v>
      </c>
      <c r="F32" s="204">
        <f>IFERROR(VLOOKUP(Opv.kohd.[[#This Row],[Y-tunnus]],#REF!,COLUMN(#REF!),FALSE),0)</f>
        <v>0</v>
      </c>
      <c r="G32" s="204">
        <f>IFERROR(VLOOKUP(Opv.kohd.[[#This Row],[Y-tunnus]],#REF!,COLUMN(#REF!),FALSE),0)</f>
        <v>0</v>
      </c>
      <c r="H32" s="204">
        <f>IFERROR(VLOOKUP(Opv.kohd.[[#This Row],[Y-tunnus]],#REF!,COLUMN(#REF!),FALSE),0)</f>
        <v>0</v>
      </c>
      <c r="I32" s="204">
        <f>IFERROR(VLOOKUP(Opv.kohd.[[#This Row],[Y-tunnus]],#REF!,COLUMN(#REF!),FALSE),0)</f>
        <v>0</v>
      </c>
      <c r="J32" s="204">
        <f>IFERROR(VLOOKUP(Opv.kohd.[[#This Row],[Y-tunnus]],#REF!,COLUMN(#REF!),FALSE),0)</f>
        <v>0</v>
      </c>
      <c r="K3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32" s="204">
        <f>Opv.kohd.[[#This Row],[Järjestämisluvan mukaiset 1]]+Opv.kohd.[[#This Row],[Yhteensä  1]]</f>
        <v>0</v>
      </c>
      <c r="M32" s="204">
        <f>IFERROR(VLOOKUP(Opv.kohd.[[#This Row],[Y-tunnus]],#REF!,COLUMN(#REF!),FALSE),0)</f>
        <v>0</v>
      </c>
      <c r="N32" s="204">
        <f>IFERROR(VLOOKUP(Opv.kohd.[[#This Row],[Y-tunnus]],#REF!,COLUMN(#REF!),FALSE),0)</f>
        <v>0</v>
      </c>
      <c r="O32" s="204">
        <f>IFERROR(VLOOKUP(Opv.kohd.[[#This Row],[Y-tunnus]],#REF!,COLUMN(#REF!),FALSE)+VLOOKUP(Opv.kohd.[[#This Row],[Y-tunnus]],#REF!,COLUMN(#REF!),FALSE),0)</f>
        <v>0</v>
      </c>
      <c r="P32" s="204">
        <f>Opv.kohd.[[#This Row],[Talousarvion perusteella kohdentamattomat]]+Opv.kohd.[[#This Row],[Talousarvion perusteella työvoimakoulutus 1]]+Opv.kohd.[[#This Row],[Lisätalousarvioiden perusteella]]</f>
        <v>0</v>
      </c>
      <c r="Q32" s="204">
        <f>IFERROR(VLOOKUP(Opv.kohd.[[#This Row],[Y-tunnus]],#REF!,COLUMN(#REF!),FALSE),0)</f>
        <v>0</v>
      </c>
      <c r="R32" s="210">
        <f>IFERROR(VLOOKUP(Opv.kohd.[[#This Row],[Y-tunnus]],#REF!,COLUMN(#REF!),FALSE)-(Opv.kohd.[[#This Row],[Kohdentamaton työvoima-koulutus 2]]+Opv.kohd.[[#This Row],[Maahan-muuttajien koulutus 2]]+Opv.kohd.[[#This Row],[Lisätalousarvioiden perusteella jaetut 2]]),0)</f>
        <v>0</v>
      </c>
      <c r="S32" s="210">
        <f>IFERROR(VLOOKUP(Opv.kohd.[[#This Row],[Y-tunnus]],#REF!,COLUMN(#REF!),FALSE)+VLOOKUP(Opv.kohd.[[#This Row],[Y-tunnus]],#REF!,COLUMN(#REF!),FALSE),0)</f>
        <v>0</v>
      </c>
      <c r="T32" s="210">
        <f>IFERROR(VLOOKUP(Opv.kohd.[[#This Row],[Y-tunnus]],#REF!,COLUMN(#REF!),FALSE)+VLOOKUP(Opv.kohd.[[#This Row],[Y-tunnus]],#REF!,COLUMN(#REF!),FALSE),0)</f>
        <v>0</v>
      </c>
      <c r="U3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32" s="210">
        <f>Opv.kohd.[[#This Row],[Kohdentamat-tomat 2]]+Opv.kohd.[[#This Row],[Kohdentamaton työvoima-koulutus 2]]+Opv.kohd.[[#This Row],[Maahan-muuttajien koulutus 2]]+Opv.kohd.[[#This Row],[Lisätalousarvioiden perusteella jaetut 2]]</f>
        <v>0</v>
      </c>
      <c r="W32" s="210">
        <f>Opv.kohd.[[#This Row],[Kohdentamat-tomat 2]]-(Opv.kohd.[[#This Row],[Järjestämisluvan mukaiset 1]]+Opv.kohd.[[#This Row],[Kohdentamat-tomat 1]]+Opv.kohd.[[#This Row],[Nuorisotyöt. väh. ja osaamistarp. vast., muu kuin työvoima-koulutus 1]]+Opv.kohd.[[#This Row],[Talousarvion perusteella kohdentamattomat]])</f>
        <v>0</v>
      </c>
      <c r="X32" s="210">
        <f>Opv.kohd.[[#This Row],[Kohdentamaton työvoima-koulutus 2]]-(Opv.kohd.[[#This Row],[Työvoima-koulutus 1]]+Opv.kohd.[[#This Row],[Nuorisotyöt. väh. ja osaamistarp. vast., työvoima-koulutus 1]]+Opv.kohd.[[#This Row],[Talousarvion perusteella työvoimakoulutus 1]])</f>
        <v>0</v>
      </c>
      <c r="Y32" s="210">
        <f>Opv.kohd.[[#This Row],[Maahan-muuttajien koulutus 2]]-Opv.kohd.[[#This Row],[Maahan-muuttajien koulutus 1]]</f>
        <v>0</v>
      </c>
      <c r="Z32" s="210">
        <f>Opv.kohd.[[#This Row],[Lisätalousarvioiden perusteella jaetut 2]]-Opv.kohd.[[#This Row],[Lisätalousarvioiden perusteella]]</f>
        <v>0</v>
      </c>
      <c r="AA32" s="210">
        <f>Opv.kohd.[[#This Row],[Toteutuneet opiskelijavuodet yhteensä 2]]-Opv.kohd.[[#This Row],[Vuoden 2018 tavoitteelliset opiskelijavuodet yhteensä 1]]</f>
        <v>0</v>
      </c>
      <c r="AB32" s="207">
        <f>IFERROR(VLOOKUP(Opv.kohd.[[#This Row],[Y-tunnus]],#REF!,3,FALSE),0)</f>
        <v>0</v>
      </c>
      <c r="AC32" s="207">
        <f>IFERROR(VLOOKUP(Opv.kohd.[[#This Row],[Y-tunnus]],#REF!,4,FALSE),0)</f>
        <v>0</v>
      </c>
      <c r="AD32" s="207">
        <f>IFERROR(VLOOKUP(Opv.kohd.[[#This Row],[Y-tunnus]],#REF!,5,FALSE),0)</f>
        <v>0</v>
      </c>
      <c r="AE32" s="207">
        <f>IFERROR(VLOOKUP(Opv.kohd.[[#This Row],[Y-tunnus]],#REF!,6,FALSE),0)</f>
        <v>0</v>
      </c>
      <c r="AF32" s="207">
        <f>IFERROR(VLOOKUP(Opv.kohd.[[#This Row],[Y-tunnus]],#REF!,7,FALSE),0)</f>
        <v>0</v>
      </c>
      <c r="AG32" s="207">
        <f>IFERROR(VLOOKUP(Opv.kohd.[[#This Row],[Y-tunnus]],#REF!,8,FALSE),0)</f>
        <v>0</v>
      </c>
      <c r="AH32" s="207">
        <f>IFERROR(VLOOKUP(Opv.kohd.[[#This Row],[Y-tunnus]],#REF!,9,FALSE),0)</f>
        <v>0</v>
      </c>
      <c r="AI32" s="207">
        <f>IFERROR(VLOOKUP(Opv.kohd.[[#This Row],[Y-tunnus]],#REF!,10,FALSE),0)</f>
        <v>0</v>
      </c>
      <c r="AJ32" s="204">
        <f>Opv.kohd.[[#This Row],[Järjestämisluvan mukaiset 4]]-Opv.kohd.[[#This Row],[Järjestämisluvan mukaiset 1]]</f>
        <v>0</v>
      </c>
      <c r="AK32" s="204">
        <f>Opv.kohd.[[#This Row],[Kohdentamat-tomat 4]]-Opv.kohd.[[#This Row],[Kohdentamat-tomat 1]]</f>
        <v>0</v>
      </c>
      <c r="AL32" s="204">
        <f>Opv.kohd.[[#This Row],[Työvoima-koulutus 4]]-Opv.kohd.[[#This Row],[Työvoima-koulutus 1]]</f>
        <v>0</v>
      </c>
      <c r="AM32" s="204">
        <f>Opv.kohd.[[#This Row],[Maahan-muuttajien koulutus 4]]-Opv.kohd.[[#This Row],[Maahan-muuttajien koulutus 1]]</f>
        <v>0</v>
      </c>
      <c r="AN32" s="204">
        <f>Opv.kohd.[[#This Row],[Nuorisotyöt. väh. ja osaamistarp. vast., muu kuin työvoima-koulutus 4]]-Opv.kohd.[[#This Row],[Nuorisotyöt. väh. ja osaamistarp. vast., muu kuin työvoima-koulutus 1]]</f>
        <v>0</v>
      </c>
      <c r="AO32" s="204">
        <f>Opv.kohd.[[#This Row],[Nuorisotyöt. väh. ja osaamistarp. vast., työvoima-koulutus 4]]-Opv.kohd.[[#This Row],[Nuorisotyöt. väh. ja osaamistarp. vast., työvoima-koulutus 1]]</f>
        <v>0</v>
      </c>
      <c r="AP32" s="204">
        <f>Opv.kohd.[[#This Row],[Yhteensä 4]]-Opv.kohd.[[#This Row],[Yhteensä  1]]</f>
        <v>0</v>
      </c>
      <c r="AQ32" s="204">
        <f>Opv.kohd.[[#This Row],[Ensikertaisella suoritepäätöksellä jaetut tavoitteelliset opiskelijavuodet yhteensä 4]]-Opv.kohd.[[#This Row],[Ensikertaisella suoritepäätöksellä jaetut tavoitteelliset opiskelijavuodet yhteensä 1]]</f>
        <v>0</v>
      </c>
      <c r="AR32" s="208">
        <f>IFERROR(Opv.kohd.[[#This Row],[Järjestämisluvan mukaiset 5]]/Opv.kohd.[[#This Row],[Järjestämisluvan mukaiset 4]],0)</f>
        <v>0</v>
      </c>
      <c r="AS32" s="208">
        <f>IFERROR(Opv.kohd.[[#This Row],[Kohdentamat-tomat 5]]/Opv.kohd.[[#This Row],[Kohdentamat-tomat 4]],0)</f>
        <v>0</v>
      </c>
      <c r="AT32" s="208">
        <f>IFERROR(Opv.kohd.[[#This Row],[Työvoima-koulutus 5]]/Opv.kohd.[[#This Row],[Työvoima-koulutus 4]],0)</f>
        <v>0</v>
      </c>
      <c r="AU32" s="208">
        <f>IFERROR(Opv.kohd.[[#This Row],[Maahan-muuttajien koulutus 5]]/Opv.kohd.[[#This Row],[Maahan-muuttajien koulutus 4]],0)</f>
        <v>0</v>
      </c>
      <c r="AV32" s="208">
        <f>IFERROR(Opv.kohd.[[#This Row],[Nuorisotyöt. väh. ja osaamistarp. vast., muu kuin työvoima-koulutus 5]]/Opv.kohd.[[#This Row],[Nuorisotyöt. väh. ja osaamistarp. vast., muu kuin työvoima-koulutus 4]],0)</f>
        <v>0</v>
      </c>
      <c r="AW32" s="208">
        <f>IFERROR(Opv.kohd.[[#This Row],[Nuorisotyöt. väh. ja osaamistarp. vast., työvoima-koulutus 5]]/Opv.kohd.[[#This Row],[Nuorisotyöt. väh. ja osaamistarp. vast., työvoima-koulutus 4]],0)</f>
        <v>0</v>
      </c>
      <c r="AX32" s="208">
        <f>IFERROR(Opv.kohd.[[#This Row],[Yhteensä 5]]/Opv.kohd.[[#This Row],[Yhteensä 4]],0)</f>
        <v>0</v>
      </c>
      <c r="AY32" s="208">
        <f>IFERROR(Opv.kohd.[[#This Row],[Ensikertaisella suoritepäätöksellä jaetut tavoitteelliset opiskelijavuodet yhteensä 5]]/Opv.kohd.[[#This Row],[Ensikertaisella suoritepäätöksellä jaetut tavoitteelliset opiskelijavuodet yhteensä 4]],0)</f>
        <v>0</v>
      </c>
      <c r="AZ32" s="207">
        <f>Opv.kohd.[[#This Row],[Yhteensä 7a]]-Opv.kohd.[[#This Row],[Työvoima-koulutus 7a]]</f>
        <v>0</v>
      </c>
      <c r="BA32" s="207">
        <f>IFERROR(VLOOKUP(Opv.kohd.[[#This Row],[Y-tunnus]],#REF!,COLUMN(#REF!),FALSE),0)</f>
        <v>0</v>
      </c>
      <c r="BB32" s="207">
        <f>IFERROR(VLOOKUP(Opv.kohd.[[#This Row],[Y-tunnus]],#REF!,COLUMN(#REF!),FALSE),0)</f>
        <v>0</v>
      </c>
      <c r="BC32" s="207">
        <f>Opv.kohd.[[#This Row],[Muu kuin työvoima-koulutus 7c]]-Opv.kohd.[[#This Row],[Muu kuin työvoima-koulutus 7a]]</f>
        <v>0</v>
      </c>
      <c r="BD32" s="207">
        <f>Opv.kohd.[[#This Row],[Työvoima-koulutus 7c]]-Opv.kohd.[[#This Row],[Työvoima-koulutus 7a]]</f>
        <v>0</v>
      </c>
      <c r="BE32" s="207">
        <f>Opv.kohd.[[#This Row],[Yhteensä 7c]]-Opv.kohd.[[#This Row],[Yhteensä 7a]]</f>
        <v>0</v>
      </c>
      <c r="BF32" s="207">
        <f>Opv.kohd.[[#This Row],[Yhteensä 7c]]-Opv.kohd.[[#This Row],[Työvoima-koulutus 7c]]</f>
        <v>0</v>
      </c>
      <c r="BG32" s="207">
        <f>IFERROR(VLOOKUP(Opv.kohd.[[#This Row],[Y-tunnus]],#REF!,COLUMN(#REF!),FALSE),0)</f>
        <v>0</v>
      </c>
      <c r="BH32" s="207">
        <f>IFERROR(VLOOKUP(Opv.kohd.[[#This Row],[Y-tunnus]],#REF!,COLUMN(#REF!),FALSE),0)</f>
        <v>0</v>
      </c>
      <c r="BI32" s="207">
        <f>IFERROR(VLOOKUP(Opv.kohd.[[#This Row],[Y-tunnus]],#REF!,COLUMN(#REF!),FALSE),0)</f>
        <v>0</v>
      </c>
      <c r="BJ32" s="207">
        <f>IFERROR(VLOOKUP(Opv.kohd.[[#This Row],[Y-tunnus]],#REF!,COLUMN(#REF!),FALSE),0)</f>
        <v>0</v>
      </c>
      <c r="BK32" s="207">
        <f>Opv.kohd.[[#This Row],[Muu kuin työvoima-koulutus 7d]]+Opv.kohd.[[#This Row],[Työvoima-koulutus 7d]]</f>
        <v>0</v>
      </c>
      <c r="BL32" s="207">
        <f>Opv.kohd.[[#This Row],[Muu kuin työvoima-koulutus 7c]]-Opv.kohd.[[#This Row],[Muu kuin työvoima-koulutus 7d]]</f>
        <v>0</v>
      </c>
      <c r="BM32" s="207">
        <f>Opv.kohd.[[#This Row],[Työvoima-koulutus 7c]]-Opv.kohd.[[#This Row],[Työvoima-koulutus 7d]]</f>
        <v>0</v>
      </c>
      <c r="BN32" s="207">
        <f>Opv.kohd.[[#This Row],[Yhteensä 7c]]-Opv.kohd.[[#This Row],[Yhteensä 7d]]</f>
        <v>0</v>
      </c>
      <c r="BO32" s="207">
        <f>Opv.kohd.[[#This Row],[Muu kuin työvoima-koulutus 7e]]-(Opv.kohd.[[#This Row],[Järjestämisluvan mukaiset 4]]+Opv.kohd.[[#This Row],[Kohdentamat-tomat 4]]+Opv.kohd.[[#This Row],[Maahan-muuttajien koulutus 4]]+Opv.kohd.[[#This Row],[Nuorisotyöt. väh. ja osaamistarp. vast., muu kuin työvoima-koulutus 4]])</f>
        <v>0</v>
      </c>
      <c r="BP32" s="207">
        <f>Opv.kohd.[[#This Row],[Työvoima-koulutus 7e]]-(Opv.kohd.[[#This Row],[Työvoima-koulutus 4]]+Opv.kohd.[[#This Row],[Nuorisotyöt. väh. ja osaamistarp. vast., työvoima-koulutus 4]])</f>
        <v>0</v>
      </c>
      <c r="BQ32" s="207">
        <f>Opv.kohd.[[#This Row],[Yhteensä 7e]]-Opv.kohd.[[#This Row],[Ensikertaisella suoritepäätöksellä jaetut tavoitteelliset opiskelijavuodet yhteensä 4]]</f>
        <v>0</v>
      </c>
      <c r="BR32" s="263">
        <v>310</v>
      </c>
      <c r="BS32" s="263">
        <v>10</v>
      </c>
      <c r="BT32" s="263">
        <v>0</v>
      </c>
      <c r="BU32" s="263">
        <v>0</v>
      </c>
      <c r="BV32" s="263">
        <v>0</v>
      </c>
      <c r="BW32" s="263">
        <v>0</v>
      </c>
      <c r="BX32" s="263">
        <v>10</v>
      </c>
      <c r="BY32" s="263">
        <v>320</v>
      </c>
      <c r="BZ32" s="207">
        <f t="shared" si="2"/>
        <v>310</v>
      </c>
      <c r="CA32" s="207">
        <f t="shared" si="3"/>
        <v>10</v>
      </c>
      <c r="CB32" s="207">
        <f t="shared" si="4"/>
        <v>0</v>
      </c>
      <c r="CC32" s="207">
        <f t="shared" si="5"/>
        <v>0</v>
      </c>
      <c r="CD32" s="207">
        <f t="shared" si="6"/>
        <v>0</v>
      </c>
      <c r="CE32" s="207">
        <f t="shared" si="7"/>
        <v>0</v>
      </c>
      <c r="CF32" s="207">
        <f t="shared" si="8"/>
        <v>10</v>
      </c>
      <c r="CG32" s="207">
        <f t="shared" si="9"/>
        <v>320</v>
      </c>
      <c r="CH32" s="207">
        <f>Opv.kohd.[[#This Row],[Tavoitteelliset opiskelijavuodet yhteensä 9]]-Opv.kohd.[[#This Row],[Työvoima-koulutus 9]]-Opv.kohd.[[#This Row],[Nuorisotyöt. väh. ja osaamistarp. vast., työvoima-koulutus 9]]-Opv.kohd.[[#This Row],[Muu kuin työvoima-koulutus 7e]]</f>
        <v>320</v>
      </c>
      <c r="CI32" s="207">
        <f>(Opv.kohd.[[#This Row],[Työvoima-koulutus 9]]+Opv.kohd.[[#This Row],[Nuorisotyöt. väh. ja osaamistarp. vast., työvoima-koulutus 9]])-Opv.kohd.[[#This Row],[Työvoima-koulutus 7e]]</f>
        <v>0</v>
      </c>
      <c r="CJ32" s="207">
        <f>Opv.kohd.[[#This Row],[Tavoitteelliset opiskelijavuodet yhteensä 9]]-Opv.kohd.[[#This Row],[Yhteensä 7e]]</f>
        <v>320</v>
      </c>
      <c r="CK32" s="207">
        <f>Opv.kohd.[[#This Row],[Järjestämisluvan mukaiset 4]]+Opv.kohd.[[#This Row],[Järjestämisluvan mukaiset 13]]</f>
        <v>0</v>
      </c>
      <c r="CL32" s="207">
        <f>Opv.kohd.[[#This Row],[Kohdentamat-tomat 4]]+Opv.kohd.[[#This Row],[Kohdentamat-tomat 13]]</f>
        <v>0</v>
      </c>
      <c r="CM32" s="207">
        <f>Opv.kohd.[[#This Row],[Työvoima-koulutus 4]]+Opv.kohd.[[#This Row],[Työvoima-koulutus 13]]</f>
        <v>0</v>
      </c>
      <c r="CN32" s="207">
        <f>Opv.kohd.[[#This Row],[Maahan-muuttajien koulutus 4]]+Opv.kohd.[[#This Row],[Maahan-muuttajien koulutus 13]]</f>
        <v>0</v>
      </c>
      <c r="CO32" s="207">
        <f>Opv.kohd.[[#This Row],[Nuorisotyöt. väh. ja osaamistarp. vast., muu kuin työvoima-koulutus 4]]+Opv.kohd.[[#This Row],[Nuorisotyöt. väh. ja osaamistarp. vast., muu kuin työvoima-koulutus 13]]</f>
        <v>0</v>
      </c>
      <c r="CP32" s="207">
        <f>Opv.kohd.[[#This Row],[Nuorisotyöt. väh. ja osaamistarp. vast., työvoima-koulutus 4]]+Opv.kohd.[[#This Row],[Nuorisotyöt. väh. ja osaamistarp. vast., työvoima-koulutus 13]]</f>
        <v>0</v>
      </c>
      <c r="CQ32" s="207">
        <f>Opv.kohd.[[#This Row],[Yhteensä 4]]+Opv.kohd.[[#This Row],[Yhteensä 13]]</f>
        <v>0</v>
      </c>
      <c r="CR32" s="207">
        <f>Opv.kohd.[[#This Row],[Ensikertaisella suoritepäätöksellä jaetut tavoitteelliset opiskelijavuodet yhteensä 4]]+Opv.kohd.[[#This Row],[Tavoitteelliset opiskelijavuodet yhteensä 13]]</f>
        <v>0</v>
      </c>
      <c r="CS32" s="120">
        <v>0</v>
      </c>
      <c r="CT32" s="120">
        <v>0</v>
      </c>
      <c r="CU32" s="120">
        <v>0</v>
      </c>
      <c r="CV32" s="120">
        <v>0</v>
      </c>
      <c r="CW32" s="120">
        <v>0</v>
      </c>
      <c r="CX32" s="120">
        <v>0</v>
      </c>
      <c r="CY32" s="120">
        <v>0</v>
      </c>
      <c r="CZ32" s="120">
        <v>0</v>
      </c>
      <c r="DA32" s="209">
        <f>IFERROR(Opv.kohd.[[#This Row],[Järjestämisluvan mukaiset 13]]/Opv.kohd.[[#This Row],[Järjestämisluvan mukaiset 12]],0)</f>
        <v>0</v>
      </c>
      <c r="DB32" s="209">
        <f>IFERROR(Opv.kohd.[[#This Row],[Kohdentamat-tomat 13]]/Opv.kohd.[[#This Row],[Kohdentamat-tomat 12]],0)</f>
        <v>0</v>
      </c>
      <c r="DC32" s="209">
        <f>IFERROR(Opv.kohd.[[#This Row],[Työvoima-koulutus 13]]/Opv.kohd.[[#This Row],[Työvoima-koulutus 12]],0)</f>
        <v>0</v>
      </c>
      <c r="DD32" s="209">
        <f>IFERROR(Opv.kohd.[[#This Row],[Maahan-muuttajien koulutus 13]]/Opv.kohd.[[#This Row],[Maahan-muuttajien koulutus 12]],0)</f>
        <v>0</v>
      </c>
      <c r="DE32" s="209">
        <f>IFERROR(Opv.kohd.[[#This Row],[Nuorisotyöt. väh. ja osaamistarp. vast., muu kuin työvoima-koulutus 13]]/Opv.kohd.[[#This Row],[Nuorisotyöt. väh. ja osaamistarp. vast., muu kuin työvoima-koulutus 12]],0)</f>
        <v>0</v>
      </c>
      <c r="DF32" s="209">
        <f>IFERROR(Opv.kohd.[[#This Row],[Nuorisotyöt. väh. ja osaamistarp. vast., työvoima-koulutus 13]]/Opv.kohd.[[#This Row],[Nuorisotyöt. väh. ja osaamistarp. vast., työvoima-koulutus 12]],0)</f>
        <v>0</v>
      </c>
      <c r="DG32" s="209">
        <f>IFERROR(Opv.kohd.[[#This Row],[Yhteensä 13]]/Opv.kohd.[[#This Row],[Yhteensä 12]],0)</f>
        <v>0</v>
      </c>
      <c r="DH32" s="209">
        <f>IFERROR(Opv.kohd.[[#This Row],[Tavoitteelliset opiskelijavuodet yhteensä 13]]/Opv.kohd.[[#This Row],[Tavoitteelliset opiskelijavuodet yhteensä 12]],0)</f>
        <v>0</v>
      </c>
      <c r="DI32" s="207">
        <f>Opv.kohd.[[#This Row],[Järjestämisluvan mukaiset 12]]-Opv.kohd.[[#This Row],[Järjestämisluvan mukaiset 9]]</f>
        <v>-310</v>
      </c>
      <c r="DJ32" s="207">
        <f>Opv.kohd.[[#This Row],[Kohdentamat-tomat 12]]-Opv.kohd.[[#This Row],[Kohdentamat-tomat 9]]</f>
        <v>-10</v>
      </c>
      <c r="DK32" s="207">
        <f>Opv.kohd.[[#This Row],[Työvoima-koulutus 12]]-Opv.kohd.[[#This Row],[Työvoima-koulutus 9]]</f>
        <v>0</v>
      </c>
      <c r="DL32" s="207">
        <f>Opv.kohd.[[#This Row],[Maahan-muuttajien koulutus 12]]-Opv.kohd.[[#This Row],[Maahan-muuttajien koulutus 9]]</f>
        <v>0</v>
      </c>
      <c r="DM32" s="207">
        <f>Opv.kohd.[[#This Row],[Nuorisotyöt. väh. ja osaamistarp. vast., muu kuin työvoima-koulutus 12]]-Opv.kohd.[[#This Row],[Nuorisotyöt. väh. ja osaamistarp. vast., muu kuin työvoima-koulutus 9]]</f>
        <v>0</v>
      </c>
      <c r="DN32" s="207">
        <f>Opv.kohd.[[#This Row],[Nuorisotyöt. väh. ja osaamistarp. vast., työvoima-koulutus 12]]-Opv.kohd.[[#This Row],[Nuorisotyöt. väh. ja osaamistarp. vast., työvoima-koulutus 9]]</f>
        <v>0</v>
      </c>
      <c r="DO32" s="207">
        <f>Opv.kohd.[[#This Row],[Yhteensä 12]]-Opv.kohd.[[#This Row],[Yhteensä 9]]</f>
        <v>-10</v>
      </c>
      <c r="DP32" s="207">
        <f>Opv.kohd.[[#This Row],[Tavoitteelliset opiskelijavuodet yhteensä 12]]-Opv.kohd.[[#This Row],[Tavoitteelliset opiskelijavuodet yhteensä 9]]</f>
        <v>-320</v>
      </c>
      <c r="DQ32" s="209">
        <f>IFERROR(Opv.kohd.[[#This Row],[Järjestämisluvan mukaiset 15]]/Opv.kohd.[[#This Row],[Järjestämisluvan mukaiset 9]],0)</f>
        <v>-1</v>
      </c>
      <c r="DR32" s="209">
        <f t="shared" si="10"/>
        <v>0</v>
      </c>
      <c r="DS32" s="209">
        <f t="shared" si="11"/>
        <v>0</v>
      </c>
      <c r="DT32" s="209">
        <f t="shared" si="12"/>
        <v>0</v>
      </c>
      <c r="DU32" s="209">
        <f t="shared" si="13"/>
        <v>0</v>
      </c>
      <c r="DV32" s="209">
        <f t="shared" si="14"/>
        <v>0</v>
      </c>
      <c r="DW32" s="209">
        <f t="shared" si="15"/>
        <v>0</v>
      </c>
      <c r="DX32" s="209">
        <f t="shared" si="16"/>
        <v>0</v>
      </c>
    </row>
    <row r="33" spans="1:128" x14ac:dyDescent="0.25">
      <c r="A33" s="204" t="e">
        <f>IF(INDEX(#REF!,ROW(33:33)-1,1)=0,"",INDEX(#REF!,ROW(33:33)-1,1))</f>
        <v>#REF!</v>
      </c>
      <c r="B33" s="205" t="str">
        <f>IFERROR(VLOOKUP(Opv.kohd.[[#This Row],[Y-tunnus]],'0 Järjestäjätiedot'!$A:$H,2,FALSE),"")</f>
        <v/>
      </c>
      <c r="C33" s="204" t="str">
        <f>IFERROR(VLOOKUP(Opv.kohd.[[#This Row],[Y-tunnus]],'0 Järjestäjätiedot'!$A:$H,COLUMN('0 Järjestäjätiedot'!D:D),FALSE),"")</f>
        <v/>
      </c>
      <c r="D33" s="204" t="str">
        <f>IFERROR(VLOOKUP(Opv.kohd.[[#This Row],[Y-tunnus]],'0 Järjestäjätiedot'!$A:$H,COLUMN('0 Järjestäjätiedot'!H:H),FALSE),"")</f>
        <v/>
      </c>
      <c r="E33" s="204">
        <f>IFERROR(VLOOKUP(Opv.kohd.[[#This Row],[Y-tunnus]],#REF!,COLUMN(#REF!),FALSE),0)</f>
        <v>0</v>
      </c>
      <c r="F33" s="204">
        <f>IFERROR(VLOOKUP(Opv.kohd.[[#This Row],[Y-tunnus]],#REF!,COLUMN(#REF!),FALSE),0)</f>
        <v>0</v>
      </c>
      <c r="G33" s="204">
        <f>IFERROR(VLOOKUP(Opv.kohd.[[#This Row],[Y-tunnus]],#REF!,COLUMN(#REF!),FALSE),0)</f>
        <v>0</v>
      </c>
      <c r="H33" s="204">
        <f>IFERROR(VLOOKUP(Opv.kohd.[[#This Row],[Y-tunnus]],#REF!,COLUMN(#REF!),FALSE),0)</f>
        <v>0</v>
      </c>
      <c r="I33" s="204">
        <f>IFERROR(VLOOKUP(Opv.kohd.[[#This Row],[Y-tunnus]],#REF!,COLUMN(#REF!),FALSE),0)</f>
        <v>0</v>
      </c>
      <c r="J33" s="204">
        <f>IFERROR(VLOOKUP(Opv.kohd.[[#This Row],[Y-tunnus]],#REF!,COLUMN(#REF!),FALSE),0)</f>
        <v>0</v>
      </c>
      <c r="K3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33" s="204">
        <f>Opv.kohd.[[#This Row],[Järjestämisluvan mukaiset 1]]+Opv.kohd.[[#This Row],[Yhteensä  1]]</f>
        <v>0</v>
      </c>
      <c r="M33" s="204">
        <f>IFERROR(VLOOKUP(Opv.kohd.[[#This Row],[Y-tunnus]],#REF!,COLUMN(#REF!),FALSE),0)</f>
        <v>0</v>
      </c>
      <c r="N33" s="204">
        <f>IFERROR(VLOOKUP(Opv.kohd.[[#This Row],[Y-tunnus]],#REF!,COLUMN(#REF!),FALSE),0)</f>
        <v>0</v>
      </c>
      <c r="O33" s="204">
        <f>IFERROR(VLOOKUP(Opv.kohd.[[#This Row],[Y-tunnus]],#REF!,COLUMN(#REF!),FALSE)+VLOOKUP(Opv.kohd.[[#This Row],[Y-tunnus]],#REF!,COLUMN(#REF!),FALSE),0)</f>
        <v>0</v>
      </c>
      <c r="P33" s="204">
        <f>Opv.kohd.[[#This Row],[Talousarvion perusteella kohdentamattomat]]+Opv.kohd.[[#This Row],[Talousarvion perusteella työvoimakoulutus 1]]+Opv.kohd.[[#This Row],[Lisätalousarvioiden perusteella]]</f>
        <v>0</v>
      </c>
      <c r="Q33" s="204">
        <f>IFERROR(VLOOKUP(Opv.kohd.[[#This Row],[Y-tunnus]],#REF!,COLUMN(#REF!),FALSE),0)</f>
        <v>0</v>
      </c>
      <c r="R33" s="210">
        <f>IFERROR(VLOOKUP(Opv.kohd.[[#This Row],[Y-tunnus]],#REF!,COLUMN(#REF!),FALSE)-(Opv.kohd.[[#This Row],[Kohdentamaton työvoima-koulutus 2]]+Opv.kohd.[[#This Row],[Maahan-muuttajien koulutus 2]]+Opv.kohd.[[#This Row],[Lisätalousarvioiden perusteella jaetut 2]]),0)</f>
        <v>0</v>
      </c>
      <c r="S33" s="210">
        <f>IFERROR(VLOOKUP(Opv.kohd.[[#This Row],[Y-tunnus]],#REF!,COLUMN(#REF!),FALSE)+VLOOKUP(Opv.kohd.[[#This Row],[Y-tunnus]],#REF!,COLUMN(#REF!),FALSE),0)</f>
        <v>0</v>
      </c>
      <c r="T33" s="210">
        <f>IFERROR(VLOOKUP(Opv.kohd.[[#This Row],[Y-tunnus]],#REF!,COLUMN(#REF!),FALSE)+VLOOKUP(Opv.kohd.[[#This Row],[Y-tunnus]],#REF!,COLUMN(#REF!),FALSE),0)</f>
        <v>0</v>
      </c>
      <c r="U3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33" s="210">
        <f>Opv.kohd.[[#This Row],[Kohdentamat-tomat 2]]+Opv.kohd.[[#This Row],[Kohdentamaton työvoima-koulutus 2]]+Opv.kohd.[[#This Row],[Maahan-muuttajien koulutus 2]]+Opv.kohd.[[#This Row],[Lisätalousarvioiden perusteella jaetut 2]]</f>
        <v>0</v>
      </c>
      <c r="W33" s="210">
        <f>Opv.kohd.[[#This Row],[Kohdentamat-tomat 2]]-(Opv.kohd.[[#This Row],[Järjestämisluvan mukaiset 1]]+Opv.kohd.[[#This Row],[Kohdentamat-tomat 1]]+Opv.kohd.[[#This Row],[Nuorisotyöt. väh. ja osaamistarp. vast., muu kuin työvoima-koulutus 1]]+Opv.kohd.[[#This Row],[Talousarvion perusteella kohdentamattomat]])</f>
        <v>0</v>
      </c>
      <c r="X33" s="210">
        <f>Opv.kohd.[[#This Row],[Kohdentamaton työvoima-koulutus 2]]-(Opv.kohd.[[#This Row],[Työvoima-koulutus 1]]+Opv.kohd.[[#This Row],[Nuorisotyöt. väh. ja osaamistarp. vast., työvoima-koulutus 1]]+Opv.kohd.[[#This Row],[Talousarvion perusteella työvoimakoulutus 1]])</f>
        <v>0</v>
      </c>
      <c r="Y33" s="210">
        <f>Opv.kohd.[[#This Row],[Maahan-muuttajien koulutus 2]]-Opv.kohd.[[#This Row],[Maahan-muuttajien koulutus 1]]</f>
        <v>0</v>
      </c>
      <c r="Z33" s="210">
        <f>Opv.kohd.[[#This Row],[Lisätalousarvioiden perusteella jaetut 2]]-Opv.kohd.[[#This Row],[Lisätalousarvioiden perusteella]]</f>
        <v>0</v>
      </c>
      <c r="AA33" s="210">
        <f>Opv.kohd.[[#This Row],[Toteutuneet opiskelijavuodet yhteensä 2]]-Opv.kohd.[[#This Row],[Vuoden 2018 tavoitteelliset opiskelijavuodet yhteensä 1]]</f>
        <v>0</v>
      </c>
      <c r="AB33" s="207">
        <f>IFERROR(VLOOKUP(Opv.kohd.[[#This Row],[Y-tunnus]],#REF!,3,FALSE),0)</f>
        <v>0</v>
      </c>
      <c r="AC33" s="207">
        <f>IFERROR(VLOOKUP(Opv.kohd.[[#This Row],[Y-tunnus]],#REF!,4,FALSE),0)</f>
        <v>0</v>
      </c>
      <c r="AD33" s="207">
        <f>IFERROR(VLOOKUP(Opv.kohd.[[#This Row],[Y-tunnus]],#REF!,5,FALSE),0)</f>
        <v>0</v>
      </c>
      <c r="AE33" s="207">
        <f>IFERROR(VLOOKUP(Opv.kohd.[[#This Row],[Y-tunnus]],#REF!,6,FALSE),0)</f>
        <v>0</v>
      </c>
      <c r="AF33" s="207">
        <f>IFERROR(VLOOKUP(Opv.kohd.[[#This Row],[Y-tunnus]],#REF!,7,FALSE),0)</f>
        <v>0</v>
      </c>
      <c r="AG33" s="207">
        <f>IFERROR(VLOOKUP(Opv.kohd.[[#This Row],[Y-tunnus]],#REF!,8,FALSE),0)</f>
        <v>0</v>
      </c>
      <c r="AH33" s="207">
        <f>IFERROR(VLOOKUP(Opv.kohd.[[#This Row],[Y-tunnus]],#REF!,9,FALSE),0)</f>
        <v>0</v>
      </c>
      <c r="AI33" s="207">
        <f>IFERROR(VLOOKUP(Opv.kohd.[[#This Row],[Y-tunnus]],#REF!,10,FALSE),0)</f>
        <v>0</v>
      </c>
      <c r="AJ33" s="204">
        <f>Opv.kohd.[[#This Row],[Järjestämisluvan mukaiset 4]]-Opv.kohd.[[#This Row],[Järjestämisluvan mukaiset 1]]</f>
        <v>0</v>
      </c>
      <c r="AK33" s="204">
        <f>Opv.kohd.[[#This Row],[Kohdentamat-tomat 4]]-Opv.kohd.[[#This Row],[Kohdentamat-tomat 1]]</f>
        <v>0</v>
      </c>
      <c r="AL33" s="204">
        <f>Opv.kohd.[[#This Row],[Työvoima-koulutus 4]]-Opv.kohd.[[#This Row],[Työvoima-koulutus 1]]</f>
        <v>0</v>
      </c>
      <c r="AM33" s="204">
        <f>Opv.kohd.[[#This Row],[Maahan-muuttajien koulutus 4]]-Opv.kohd.[[#This Row],[Maahan-muuttajien koulutus 1]]</f>
        <v>0</v>
      </c>
      <c r="AN33" s="204">
        <f>Opv.kohd.[[#This Row],[Nuorisotyöt. väh. ja osaamistarp. vast., muu kuin työvoima-koulutus 4]]-Opv.kohd.[[#This Row],[Nuorisotyöt. väh. ja osaamistarp. vast., muu kuin työvoima-koulutus 1]]</f>
        <v>0</v>
      </c>
      <c r="AO33" s="204">
        <f>Opv.kohd.[[#This Row],[Nuorisotyöt. väh. ja osaamistarp. vast., työvoima-koulutus 4]]-Opv.kohd.[[#This Row],[Nuorisotyöt. väh. ja osaamistarp. vast., työvoima-koulutus 1]]</f>
        <v>0</v>
      </c>
      <c r="AP33" s="204">
        <f>Opv.kohd.[[#This Row],[Yhteensä 4]]-Opv.kohd.[[#This Row],[Yhteensä  1]]</f>
        <v>0</v>
      </c>
      <c r="AQ33" s="204">
        <f>Opv.kohd.[[#This Row],[Ensikertaisella suoritepäätöksellä jaetut tavoitteelliset opiskelijavuodet yhteensä 4]]-Opv.kohd.[[#This Row],[Ensikertaisella suoritepäätöksellä jaetut tavoitteelliset opiskelijavuodet yhteensä 1]]</f>
        <v>0</v>
      </c>
      <c r="AR33" s="208">
        <f>IFERROR(Opv.kohd.[[#This Row],[Järjestämisluvan mukaiset 5]]/Opv.kohd.[[#This Row],[Järjestämisluvan mukaiset 4]],0)</f>
        <v>0</v>
      </c>
      <c r="AS33" s="208">
        <f>IFERROR(Opv.kohd.[[#This Row],[Kohdentamat-tomat 5]]/Opv.kohd.[[#This Row],[Kohdentamat-tomat 4]],0)</f>
        <v>0</v>
      </c>
      <c r="AT33" s="208">
        <f>IFERROR(Opv.kohd.[[#This Row],[Työvoima-koulutus 5]]/Opv.kohd.[[#This Row],[Työvoima-koulutus 4]],0)</f>
        <v>0</v>
      </c>
      <c r="AU33" s="208">
        <f>IFERROR(Opv.kohd.[[#This Row],[Maahan-muuttajien koulutus 5]]/Opv.kohd.[[#This Row],[Maahan-muuttajien koulutus 4]],0)</f>
        <v>0</v>
      </c>
      <c r="AV33" s="208">
        <f>IFERROR(Opv.kohd.[[#This Row],[Nuorisotyöt. väh. ja osaamistarp. vast., muu kuin työvoima-koulutus 5]]/Opv.kohd.[[#This Row],[Nuorisotyöt. väh. ja osaamistarp. vast., muu kuin työvoima-koulutus 4]],0)</f>
        <v>0</v>
      </c>
      <c r="AW33" s="208">
        <f>IFERROR(Opv.kohd.[[#This Row],[Nuorisotyöt. väh. ja osaamistarp. vast., työvoima-koulutus 5]]/Opv.kohd.[[#This Row],[Nuorisotyöt. väh. ja osaamistarp. vast., työvoima-koulutus 4]],0)</f>
        <v>0</v>
      </c>
      <c r="AX33" s="208">
        <f>IFERROR(Opv.kohd.[[#This Row],[Yhteensä 5]]/Opv.kohd.[[#This Row],[Yhteensä 4]],0)</f>
        <v>0</v>
      </c>
      <c r="AY33" s="208">
        <f>IFERROR(Opv.kohd.[[#This Row],[Ensikertaisella suoritepäätöksellä jaetut tavoitteelliset opiskelijavuodet yhteensä 5]]/Opv.kohd.[[#This Row],[Ensikertaisella suoritepäätöksellä jaetut tavoitteelliset opiskelijavuodet yhteensä 4]],0)</f>
        <v>0</v>
      </c>
      <c r="AZ33" s="207">
        <f>Opv.kohd.[[#This Row],[Yhteensä 7a]]-Opv.kohd.[[#This Row],[Työvoima-koulutus 7a]]</f>
        <v>0</v>
      </c>
      <c r="BA33" s="207">
        <f>IFERROR(VLOOKUP(Opv.kohd.[[#This Row],[Y-tunnus]],#REF!,COLUMN(#REF!),FALSE),0)</f>
        <v>0</v>
      </c>
      <c r="BB33" s="207">
        <f>IFERROR(VLOOKUP(Opv.kohd.[[#This Row],[Y-tunnus]],#REF!,COLUMN(#REF!),FALSE),0)</f>
        <v>0</v>
      </c>
      <c r="BC33" s="207">
        <f>Opv.kohd.[[#This Row],[Muu kuin työvoima-koulutus 7c]]-Opv.kohd.[[#This Row],[Muu kuin työvoima-koulutus 7a]]</f>
        <v>0</v>
      </c>
      <c r="BD33" s="207">
        <f>Opv.kohd.[[#This Row],[Työvoima-koulutus 7c]]-Opv.kohd.[[#This Row],[Työvoima-koulutus 7a]]</f>
        <v>0</v>
      </c>
      <c r="BE33" s="207">
        <f>Opv.kohd.[[#This Row],[Yhteensä 7c]]-Opv.kohd.[[#This Row],[Yhteensä 7a]]</f>
        <v>0</v>
      </c>
      <c r="BF33" s="207">
        <f>Opv.kohd.[[#This Row],[Yhteensä 7c]]-Opv.kohd.[[#This Row],[Työvoima-koulutus 7c]]</f>
        <v>0</v>
      </c>
      <c r="BG33" s="207">
        <f>IFERROR(VLOOKUP(Opv.kohd.[[#This Row],[Y-tunnus]],#REF!,COLUMN(#REF!),FALSE),0)</f>
        <v>0</v>
      </c>
      <c r="BH33" s="207">
        <f>IFERROR(VLOOKUP(Opv.kohd.[[#This Row],[Y-tunnus]],#REF!,COLUMN(#REF!),FALSE),0)</f>
        <v>0</v>
      </c>
      <c r="BI33" s="207">
        <f>IFERROR(VLOOKUP(Opv.kohd.[[#This Row],[Y-tunnus]],#REF!,COLUMN(#REF!),FALSE),0)</f>
        <v>0</v>
      </c>
      <c r="BJ33" s="207">
        <f>IFERROR(VLOOKUP(Opv.kohd.[[#This Row],[Y-tunnus]],#REF!,COLUMN(#REF!),FALSE),0)</f>
        <v>0</v>
      </c>
      <c r="BK33" s="207">
        <f>Opv.kohd.[[#This Row],[Muu kuin työvoima-koulutus 7d]]+Opv.kohd.[[#This Row],[Työvoima-koulutus 7d]]</f>
        <v>0</v>
      </c>
      <c r="BL33" s="207">
        <f>Opv.kohd.[[#This Row],[Muu kuin työvoima-koulutus 7c]]-Opv.kohd.[[#This Row],[Muu kuin työvoima-koulutus 7d]]</f>
        <v>0</v>
      </c>
      <c r="BM33" s="207">
        <f>Opv.kohd.[[#This Row],[Työvoima-koulutus 7c]]-Opv.kohd.[[#This Row],[Työvoima-koulutus 7d]]</f>
        <v>0</v>
      </c>
      <c r="BN33" s="207">
        <f>Opv.kohd.[[#This Row],[Yhteensä 7c]]-Opv.kohd.[[#This Row],[Yhteensä 7d]]</f>
        <v>0</v>
      </c>
      <c r="BO33" s="207">
        <f>Opv.kohd.[[#This Row],[Muu kuin työvoima-koulutus 7e]]-(Opv.kohd.[[#This Row],[Järjestämisluvan mukaiset 4]]+Opv.kohd.[[#This Row],[Kohdentamat-tomat 4]]+Opv.kohd.[[#This Row],[Maahan-muuttajien koulutus 4]]+Opv.kohd.[[#This Row],[Nuorisotyöt. väh. ja osaamistarp. vast., muu kuin työvoima-koulutus 4]])</f>
        <v>0</v>
      </c>
      <c r="BP33" s="207">
        <f>Opv.kohd.[[#This Row],[Työvoima-koulutus 7e]]-(Opv.kohd.[[#This Row],[Työvoima-koulutus 4]]+Opv.kohd.[[#This Row],[Nuorisotyöt. väh. ja osaamistarp. vast., työvoima-koulutus 4]])</f>
        <v>0</v>
      </c>
      <c r="BQ33" s="207">
        <f>Opv.kohd.[[#This Row],[Yhteensä 7e]]-Opv.kohd.[[#This Row],[Ensikertaisella suoritepäätöksellä jaetut tavoitteelliset opiskelijavuodet yhteensä 4]]</f>
        <v>0</v>
      </c>
      <c r="BR33" s="263">
        <v>3141</v>
      </c>
      <c r="BS33" s="263">
        <v>135</v>
      </c>
      <c r="BT33" s="263">
        <v>95</v>
      </c>
      <c r="BU33" s="263">
        <v>70</v>
      </c>
      <c r="BV33" s="263">
        <v>5</v>
      </c>
      <c r="BW33" s="263">
        <v>15</v>
      </c>
      <c r="BX33" s="263">
        <v>320</v>
      </c>
      <c r="BY33" s="263">
        <v>3461</v>
      </c>
      <c r="BZ33" s="207">
        <f t="shared" si="2"/>
        <v>3141</v>
      </c>
      <c r="CA33" s="207">
        <f t="shared" si="3"/>
        <v>135</v>
      </c>
      <c r="CB33" s="207">
        <f t="shared" si="4"/>
        <v>95</v>
      </c>
      <c r="CC33" s="207">
        <f t="shared" si="5"/>
        <v>70</v>
      </c>
      <c r="CD33" s="207">
        <f t="shared" si="6"/>
        <v>5</v>
      </c>
      <c r="CE33" s="207">
        <f t="shared" si="7"/>
        <v>15</v>
      </c>
      <c r="CF33" s="207">
        <f t="shared" si="8"/>
        <v>320</v>
      </c>
      <c r="CG33" s="207">
        <f t="shared" si="9"/>
        <v>3461</v>
      </c>
      <c r="CH33" s="207">
        <f>Opv.kohd.[[#This Row],[Tavoitteelliset opiskelijavuodet yhteensä 9]]-Opv.kohd.[[#This Row],[Työvoima-koulutus 9]]-Opv.kohd.[[#This Row],[Nuorisotyöt. väh. ja osaamistarp. vast., työvoima-koulutus 9]]-Opv.kohd.[[#This Row],[Muu kuin työvoima-koulutus 7e]]</f>
        <v>3351</v>
      </c>
      <c r="CI33" s="207">
        <f>(Opv.kohd.[[#This Row],[Työvoima-koulutus 9]]+Opv.kohd.[[#This Row],[Nuorisotyöt. väh. ja osaamistarp. vast., työvoima-koulutus 9]])-Opv.kohd.[[#This Row],[Työvoima-koulutus 7e]]</f>
        <v>110</v>
      </c>
      <c r="CJ33" s="207">
        <f>Opv.kohd.[[#This Row],[Tavoitteelliset opiskelijavuodet yhteensä 9]]-Opv.kohd.[[#This Row],[Yhteensä 7e]]</f>
        <v>3461</v>
      </c>
      <c r="CK33" s="207">
        <f>Opv.kohd.[[#This Row],[Järjestämisluvan mukaiset 4]]+Opv.kohd.[[#This Row],[Järjestämisluvan mukaiset 13]]</f>
        <v>0</v>
      </c>
      <c r="CL33" s="207">
        <f>Opv.kohd.[[#This Row],[Kohdentamat-tomat 4]]+Opv.kohd.[[#This Row],[Kohdentamat-tomat 13]]</f>
        <v>0</v>
      </c>
      <c r="CM33" s="207">
        <f>Opv.kohd.[[#This Row],[Työvoima-koulutus 4]]+Opv.kohd.[[#This Row],[Työvoima-koulutus 13]]</f>
        <v>0</v>
      </c>
      <c r="CN33" s="207">
        <f>Opv.kohd.[[#This Row],[Maahan-muuttajien koulutus 4]]+Opv.kohd.[[#This Row],[Maahan-muuttajien koulutus 13]]</f>
        <v>0</v>
      </c>
      <c r="CO33" s="207">
        <f>Opv.kohd.[[#This Row],[Nuorisotyöt. väh. ja osaamistarp. vast., muu kuin työvoima-koulutus 4]]+Opv.kohd.[[#This Row],[Nuorisotyöt. väh. ja osaamistarp. vast., muu kuin työvoima-koulutus 13]]</f>
        <v>0</v>
      </c>
      <c r="CP33" s="207">
        <f>Opv.kohd.[[#This Row],[Nuorisotyöt. väh. ja osaamistarp. vast., työvoima-koulutus 4]]+Opv.kohd.[[#This Row],[Nuorisotyöt. väh. ja osaamistarp. vast., työvoima-koulutus 13]]</f>
        <v>0</v>
      </c>
      <c r="CQ33" s="207">
        <f>Opv.kohd.[[#This Row],[Yhteensä 4]]+Opv.kohd.[[#This Row],[Yhteensä 13]]</f>
        <v>0</v>
      </c>
      <c r="CR33" s="207">
        <f>Opv.kohd.[[#This Row],[Ensikertaisella suoritepäätöksellä jaetut tavoitteelliset opiskelijavuodet yhteensä 4]]+Opv.kohd.[[#This Row],[Tavoitteelliset opiskelijavuodet yhteensä 13]]</f>
        <v>0</v>
      </c>
      <c r="CS33" s="120">
        <v>0</v>
      </c>
      <c r="CT33" s="120">
        <v>0</v>
      </c>
      <c r="CU33" s="120">
        <v>0</v>
      </c>
      <c r="CV33" s="120">
        <v>0</v>
      </c>
      <c r="CW33" s="120">
        <v>0</v>
      </c>
      <c r="CX33" s="120">
        <v>0</v>
      </c>
      <c r="CY33" s="120">
        <v>0</v>
      </c>
      <c r="CZ33" s="120">
        <v>0</v>
      </c>
      <c r="DA33" s="209">
        <f>IFERROR(Opv.kohd.[[#This Row],[Järjestämisluvan mukaiset 13]]/Opv.kohd.[[#This Row],[Järjestämisluvan mukaiset 12]],0)</f>
        <v>0</v>
      </c>
      <c r="DB33" s="209">
        <f>IFERROR(Opv.kohd.[[#This Row],[Kohdentamat-tomat 13]]/Opv.kohd.[[#This Row],[Kohdentamat-tomat 12]],0)</f>
        <v>0</v>
      </c>
      <c r="DC33" s="209">
        <f>IFERROR(Opv.kohd.[[#This Row],[Työvoima-koulutus 13]]/Opv.kohd.[[#This Row],[Työvoima-koulutus 12]],0)</f>
        <v>0</v>
      </c>
      <c r="DD33" s="209">
        <f>IFERROR(Opv.kohd.[[#This Row],[Maahan-muuttajien koulutus 13]]/Opv.kohd.[[#This Row],[Maahan-muuttajien koulutus 12]],0)</f>
        <v>0</v>
      </c>
      <c r="DE33" s="209">
        <f>IFERROR(Opv.kohd.[[#This Row],[Nuorisotyöt. väh. ja osaamistarp. vast., muu kuin työvoima-koulutus 13]]/Opv.kohd.[[#This Row],[Nuorisotyöt. väh. ja osaamistarp. vast., muu kuin työvoima-koulutus 12]],0)</f>
        <v>0</v>
      </c>
      <c r="DF33" s="209">
        <f>IFERROR(Opv.kohd.[[#This Row],[Nuorisotyöt. väh. ja osaamistarp. vast., työvoima-koulutus 13]]/Opv.kohd.[[#This Row],[Nuorisotyöt. väh. ja osaamistarp. vast., työvoima-koulutus 12]],0)</f>
        <v>0</v>
      </c>
      <c r="DG33" s="209">
        <f>IFERROR(Opv.kohd.[[#This Row],[Yhteensä 13]]/Opv.kohd.[[#This Row],[Yhteensä 12]],0)</f>
        <v>0</v>
      </c>
      <c r="DH33" s="209">
        <f>IFERROR(Opv.kohd.[[#This Row],[Tavoitteelliset opiskelijavuodet yhteensä 13]]/Opv.kohd.[[#This Row],[Tavoitteelliset opiskelijavuodet yhteensä 12]],0)</f>
        <v>0</v>
      </c>
      <c r="DI33" s="207">
        <f>Opv.kohd.[[#This Row],[Järjestämisluvan mukaiset 12]]-Opv.kohd.[[#This Row],[Järjestämisluvan mukaiset 9]]</f>
        <v>-3141</v>
      </c>
      <c r="DJ33" s="207">
        <f>Opv.kohd.[[#This Row],[Kohdentamat-tomat 12]]-Opv.kohd.[[#This Row],[Kohdentamat-tomat 9]]</f>
        <v>-135</v>
      </c>
      <c r="DK33" s="207">
        <f>Opv.kohd.[[#This Row],[Työvoima-koulutus 12]]-Opv.kohd.[[#This Row],[Työvoima-koulutus 9]]</f>
        <v>-95</v>
      </c>
      <c r="DL33" s="207">
        <f>Opv.kohd.[[#This Row],[Maahan-muuttajien koulutus 12]]-Opv.kohd.[[#This Row],[Maahan-muuttajien koulutus 9]]</f>
        <v>-70</v>
      </c>
      <c r="DM33" s="207">
        <f>Opv.kohd.[[#This Row],[Nuorisotyöt. väh. ja osaamistarp. vast., muu kuin työvoima-koulutus 12]]-Opv.kohd.[[#This Row],[Nuorisotyöt. väh. ja osaamistarp. vast., muu kuin työvoima-koulutus 9]]</f>
        <v>-5</v>
      </c>
      <c r="DN33" s="207">
        <f>Opv.kohd.[[#This Row],[Nuorisotyöt. väh. ja osaamistarp. vast., työvoima-koulutus 12]]-Opv.kohd.[[#This Row],[Nuorisotyöt. väh. ja osaamistarp. vast., työvoima-koulutus 9]]</f>
        <v>-15</v>
      </c>
      <c r="DO33" s="207">
        <f>Opv.kohd.[[#This Row],[Yhteensä 12]]-Opv.kohd.[[#This Row],[Yhteensä 9]]</f>
        <v>-320</v>
      </c>
      <c r="DP33" s="207">
        <f>Opv.kohd.[[#This Row],[Tavoitteelliset opiskelijavuodet yhteensä 12]]-Opv.kohd.[[#This Row],[Tavoitteelliset opiskelijavuodet yhteensä 9]]</f>
        <v>-3461</v>
      </c>
      <c r="DQ33" s="209">
        <f>IFERROR(Opv.kohd.[[#This Row],[Järjestämisluvan mukaiset 15]]/Opv.kohd.[[#This Row],[Järjestämisluvan mukaiset 9]],0)</f>
        <v>-1</v>
      </c>
      <c r="DR33" s="209">
        <f t="shared" si="10"/>
        <v>0</v>
      </c>
      <c r="DS33" s="209">
        <f t="shared" si="11"/>
        <v>0</v>
      </c>
      <c r="DT33" s="209">
        <f t="shared" si="12"/>
        <v>0</v>
      </c>
      <c r="DU33" s="209">
        <f t="shared" si="13"/>
        <v>0</v>
      </c>
      <c r="DV33" s="209">
        <f t="shared" si="14"/>
        <v>0</v>
      </c>
      <c r="DW33" s="209">
        <f t="shared" si="15"/>
        <v>0</v>
      </c>
      <c r="DX33" s="209">
        <f t="shared" si="16"/>
        <v>0</v>
      </c>
    </row>
    <row r="34" spans="1:128" x14ac:dyDescent="0.25">
      <c r="A34" s="204" t="e">
        <f>IF(INDEX(#REF!,ROW(34:34)-1,1)=0,"",INDEX(#REF!,ROW(34:34)-1,1))</f>
        <v>#REF!</v>
      </c>
      <c r="B34" s="205" t="str">
        <f>IFERROR(VLOOKUP(Opv.kohd.[[#This Row],[Y-tunnus]],'0 Järjestäjätiedot'!$A:$H,2,FALSE),"")</f>
        <v/>
      </c>
      <c r="C34" s="204" t="str">
        <f>IFERROR(VLOOKUP(Opv.kohd.[[#This Row],[Y-tunnus]],'0 Järjestäjätiedot'!$A:$H,COLUMN('0 Järjestäjätiedot'!D:D),FALSE),"")</f>
        <v/>
      </c>
      <c r="D34" s="204" t="str">
        <f>IFERROR(VLOOKUP(Opv.kohd.[[#This Row],[Y-tunnus]],'0 Järjestäjätiedot'!$A:$H,COLUMN('0 Järjestäjätiedot'!H:H),FALSE),"")</f>
        <v/>
      </c>
      <c r="E34" s="204">
        <f>IFERROR(VLOOKUP(Opv.kohd.[[#This Row],[Y-tunnus]],#REF!,COLUMN(#REF!),FALSE),0)</f>
        <v>0</v>
      </c>
      <c r="F34" s="204">
        <f>IFERROR(VLOOKUP(Opv.kohd.[[#This Row],[Y-tunnus]],#REF!,COLUMN(#REF!),FALSE),0)</f>
        <v>0</v>
      </c>
      <c r="G34" s="204">
        <f>IFERROR(VLOOKUP(Opv.kohd.[[#This Row],[Y-tunnus]],#REF!,COLUMN(#REF!),FALSE),0)</f>
        <v>0</v>
      </c>
      <c r="H34" s="204">
        <f>IFERROR(VLOOKUP(Opv.kohd.[[#This Row],[Y-tunnus]],#REF!,COLUMN(#REF!),FALSE),0)</f>
        <v>0</v>
      </c>
      <c r="I34" s="204">
        <f>IFERROR(VLOOKUP(Opv.kohd.[[#This Row],[Y-tunnus]],#REF!,COLUMN(#REF!),FALSE),0)</f>
        <v>0</v>
      </c>
      <c r="J34" s="204">
        <f>IFERROR(VLOOKUP(Opv.kohd.[[#This Row],[Y-tunnus]],#REF!,COLUMN(#REF!),FALSE),0)</f>
        <v>0</v>
      </c>
      <c r="K3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34" s="204">
        <f>Opv.kohd.[[#This Row],[Järjestämisluvan mukaiset 1]]+Opv.kohd.[[#This Row],[Yhteensä  1]]</f>
        <v>0</v>
      </c>
      <c r="M34" s="204">
        <f>IFERROR(VLOOKUP(Opv.kohd.[[#This Row],[Y-tunnus]],#REF!,COLUMN(#REF!),FALSE),0)</f>
        <v>0</v>
      </c>
      <c r="N34" s="204">
        <f>IFERROR(VLOOKUP(Opv.kohd.[[#This Row],[Y-tunnus]],#REF!,COLUMN(#REF!),FALSE),0)</f>
        <v>0</v>
      </c>
      <c r="O34" s="204">
        <f>IFERROR(VLOOKUP(Opv.kohd.[[#This Row],[Y-tunnus]],#REF!,COLUMN(#REF!),FALSE)+VLOOKUP(Opv.kohd.[[#This Row],[Y-tunnus]],#REF!,COLUMN(#REF!),FALSE),0)</f>
        <v>0</v>
      </c>
      <c r="P34" s="204">
        <f>Opv.kohd.[[#This Row],[Talousarvion perusteella kohdentamattomat]]+Opv.kohd.[[#This Row],[Talousarvion perusteella työvoimakoulutus 1]]+Opv.kohd.[[#This Row],[Lisätalousarvioiden perusteella]]</f>
        <v>0</v>
      </c>
      <c r="Q34" s="204">
        <f>IFERROR(VLOOKUP(Opv.kohd.[[#This Row],[Y-tunnus]],#REF!,COLUMN(#REF!),FALSE),0)</f>
        <v>0</v>
      </c>
      <c r="R34" s="210">
        <f>IFERROR(VLOOKUP(Opv.kohd.[[#This Row],[Y-tunnus]],#REF!,COLUMN(#REF!),FALSE)-(Opv.kohd.[[#This Row],[Kohdentamaton työvoima-koulutus 2]]+Opv.kohd.[[#This Row],[Maahan-muuttajien koulutus 2]]+Opv.kohd.[[#This Row],[Lisätalousarvioiden perusteella jaetut 2]]),0)</f>
        <v>0</v>
      </c>
      <c r="S34" s="210">
        <f>IFERROR(VLOOKUP(Opv.kohd.[[#This Row],[Y-tunnus]],#REF!,COLUMN(#REF!),FALSE)+VLOOKUP(Opv.kohd.[[#This Row],[Y-tunnus]],#REF!,COLUMN(#REF!),FALSE),0)</f>
        <v>0</v>
      </c>
      <c r="T34" s="210">
        <f>IFERROR(VLOOKUP(Opv.kohd.[[#This Row],[Y-tunnus]],#REF!,COLUMN(#REF!),FALSE)+VLOOKUP(Opv.kohd.[[#This Row],[Y-tunnus]],#REF!,COLUMN(#REF!),FALSE),0)</f>
        <v>0</v>
      </c>
      <c r="U3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34" s="210">
        <f>Opv.kohd.[[#This Row],[Kohdentamat-tomat 2]]+Opv.kohd.[[#This Row],[Kohdentamaton työvoima-koulutus 2]]+Opv.kohd.[[#This Row],[Maahan-muuttajien koulutus 2]]+Opv.kohd.[[#This Row],[Lisätalousarvioiden perusteella jaetut 2]]</f>
        <v>0</v>
      </c>
      <c r="W34" s="210">
        <f>Opv.kohd.[[#This Row],[Kohdentamat-tomat 2]]-(Opv.kohd.[[#This Row],[Järjestämisluvan mukaiset 1]]+Opv.kohd.[[#This Row],[Kohdentamat-tomat 1]]+Opv.kohd.[[#This Row],[Nuorisotyöt. väh. ja osaamistarp. vast., muu kuin työvoima-koulutus 1]]+Opv.kohd.[[#This Row],[Talousarvion perusteella kohdentamattomat]])</f>
        <v>0</v>
      </c>
      <c r="X34" s="210">
        <f>Opv.kohd.[[#This Row],[Kohdentamaton työvoima-koulutus 2]]-(Opv.kohd.[[#This Row],[Työvoima-koulutus 1]]+Opv.kohd.[[#This Row],[Nuorisotyöt. väh. ja osaamistarp. vast., työvoima-koulutus 1]]+Opv.kohd.[[#This Row],[Talousarvion perusteella työvoimakoulutus 1]])</f>
        <v>0</v>
      </c>
      <c r="Y34" s="210">
        <f>Opv.kohd.[[#This Row],[Maahan-muuttajien koulutus 2]]-Opv.kohd.[[#This Row],[Maahan-muuttajien koulutus 1]]</f>
        <v>0</v>
      </c>
      <c r="Z34" s="210">
        <f>Opv.kohd.[[#This Row],[Lisätalousarvioiden perusteella jaetut 2]]-Opv.kohd.[[#This Row],[Lisätalousarvioiden perusteella]]</f>
        <v>0</v>
      </c>
      <c r="AA34" s="210">
        <f>Opv.kohd.[[#This Row],[Toteutuneet opiskelijavuodet yhteensä 2]]-Opv.kohd.[[#This Row],[Vuoden 2018 tavoitteelliset opiskelijavuodet yhteensä 1]]</f>
        <v>0</v>
      </c>
      <c r="AB34" s="207">
        <f>IFERROR(VLOOKUP(Opv.kohd.[[#This Row],[Y-tunnus]],#REF!,3,FALSE),0)</f>
        <v>0</v>
      </c>
      <c r="AC34" s="207">
        <f>IFERROR(VLOOKUP(Opv.kohd.[[#This Row],[Y-tunnus]],#REF!,4,FALSE),0)</f>
        <v>0</v>
      </c>
      <c r="AD34" s="207">
        <f>IFERROR(VLOOKUP(Opv.kohd.[[#This Row],[Y-tunnus]],#REF!,5,FALSE),0)</f>
        <v>0</v>
      </c>
      <c r="AE34" s="207">
        <f>IFERROR(VLOOKUP(Opv.kohd.[[#This Row],[Y-tunnus]],#REF!,6,FALSE),0)</f>
        <v>0</v>
      </c>
      <c r="AF34" s="207">
        <f>IFERROR(VLOOKUP(Opv.kohd.[[#This Row],[Y-tunnus]],#REF!,7,FALSE),0)</f>
        <v>0</v>
      </c>
      <c r="AG34" s="207">
        <f>IFERROR(VLOOKUP(Opv.kohd.[[#This Row],[Y-tunnus]],#REF!,8,FALSE),0)</f>
        <v>0</v>
      </c>
      <c r="AH34" s="207">
        <f>IFERROR(VLOOKUP(Opv.kohd.[[#This Row],[Y-tunnus]],#REF!,9,FALSE),0)</f>
        <v>0</v>
      </c>
      <c r="AI34" s="207">
        <f>IFERROR(VLOOKUP(Opv.kohd.[[#This Row],[Y-tunnus]],#REF!,10,FALSE),0)</f>
        <v>0</v>
      </c>
      <c r="AJ34" s="204">
        <f>Opv.kohd.[[#This Row],[Järjestämisluvan mukaiset 4]]-Opv.kohd.[[#This Row],[Järjestämisluvan mukaiset 1]]</f>
        <v>0</v>
      </c>
      <c r="AK34" s="204">
        <f>Opv.kohd.[[#This Row],[Kohdentamat-tomat 4]]-Opv.kohd.[[#This Row],[Kohdentamat-tomat 1]]</f>
        <v>0</v>
      </c>
      <c r="AL34" s="204">
        <f>Opv.kohd.[[#This Row],[Työvoima-koulutus 4]]-Opv.kohd.[[#This Row],[Työvoima-koulutus 1]]</f>
        <v>0</v>
      </c>
      <c r="AM34" s="204">
        <f>Opv.kohd.[[#This Row],[Maahan-muuttajien koulutus 4]]-Opv.kohd.[[#This Row],[Maahan-muuttajien koulutus 1]]</f>
        <v>0</v>
      </c>
      <c r="AN34" s="204">
        <f>Opv.kohd.[[#This Row],[Nuorisotyöt. väh. ja osaamistarp. vast., muu kuin työvoima-koulutus 4]]-Opv.kohd.[[#This Row],[Nuorisotyöt. väh. ja osaamistarp. vast., muu kuin työvoima-koulutus 1]]</f>
        <v>0</v>
      </c>
      <c r="AO34" s="204">
        <f>Opv.kohd.[[#This Row],[Nuorisotyöt. väh. ja osaamistarp. vast., työvoima-koulutus 4]]-Opv.kohd.[[#This Row],[Nuorisotyöt. väh. ja osaamistarp. vast., työvoima-koulutus 1]]</f>
        <v>0</v>
      </c>
      <c r="AP34" s="204">
        <f>Opv.kohd.[[#This Row],[Yhteensä 4]]-Opv.kohd.[[#This Row],[Yhteensä  1]]</f>
        <v>0</v>
      </c>
      <c r="AQ34" s="204">
        <f>Opv.kohd.[[#This Row],[Ensikertaisella suoritepäätöksellä jaetut tavoitteelliset opiskelijavuodet yhteensä 4]]-Opv.kohd.[[#This Row],[Ensikertaisella suoritepäätöksellä jaetut tavoitteelliset opiskelijavuodet yhteensä 1]]</f>
        <v>0</v>
      </c>
      <c r="AR34" s="208">
        <f>IFERROR(Opv.kohd.[[#This Row],[Järjestämisluvan mukaiset 5]]/Opv.kohd.[[#This Row],[Järjestämisluvan mukaiset 4]],0)</f>
        <v>0</v>
      </c>
      <c r="AS34" s="208">
        <f>IFERROR(Opv.kohd.[[#This Row],[Kohdentamat-tomat 5]]/Opv.kohd.[[#This Row],[Kohdentamat-tomat 4]],0)</f>
        <v>0</v>
      </c>
      <c r="AT34" s="208">
        <f>IFERROR(Opv.kohd.[[#This Row],[Työvoima-koulutus 5]]/Opv.kohd.[[#This Row],[Työvoima-koulutus 4]],0)</f>
        <v>0</v>
      </c>
      <c r="AU34" s="208">
        <f>IFERROR(Opv.kohd.[[#This Row],[Maahan-muuttajien koulutus 5]]/Opv.kohd.[[#This Row],[Maahan-muuttajien koulutus 4]],0)</f>
        <v>0</v>
      </c>
      <c r="AV34" s="208">
        <f>IFERROR(Opv.kohd.[[#This Row],[Nuorisotyöt. väh. ja osaamistarp. vast., muu kuin työvoima-koulutus 5]]/Opv.kohd.[[#This Row],[Nuorisotyöt. väh. ja osaamistarp. vast., muu kuin työvoima-koulutus 4]],0)</f>
        <v>0</v>
      </c>
      <c r="AW34" s="208">
        <f>IFERROR(Opv.kohd.[[#This Row],[Nuorisotyöt. väh. ja osaamistarp. vast., työvoima-koulutus 5]]/Opv.kohd.[[#This Row],[Nuorisotyöt. väh. ja osaamistarp. vast., työvoima-koulutus 4]],0)</f>
        <v>0</v>
      </c>
      <c r="AX34" s="208">
        <f>IFERROR(Opv.kohd.[[#This Row],[Yhteensä 5]]/Opv.kohd.[[#This Row],[Yhteensä 4]],0)</f>
        <v>0</v>
      </c>
      <c r="AY34" s="208">
        <f>IFERROR(Opv.kohd.[[#This Row],[Ensikertaisella suoritepäätöksellä jaetut tavoitteelliset opiskelijavuodet yhteensä 5]]/Opv.kohd.[[#This Row],[Ensikertaisella suoritepäätöksellä jaetut tavoitteelliset opiskelijavuodet yhteensä 4]],0)</f>
        <v>0</v>
      </c>
      <c r="AZ34" s="207">
        <f>Opv.kohd.[[#This Row],[Yhteensä 7a]]-Opv.kohd.[[#This Row],[Työvoima-koulutus 7a]]</f>
        <v>0</v>
      </c>
      <c r="BA34" s="207">
        <f>IFERROR(VLOOKUP(Opv.kohd.[[#This Row],[Y-tunnus]],#REF!,COLUMN(#REF!),FALSE),0)</f>
        <v>0</v>
      </c>
      <c r="BB34" s="207">
        <f>IFERROR(VLOOKUP(Opv.kohd.[[#This Row],[Y-tunnus]],#REF!,COLUMN(#REF!),FALSE),0)</f>
        <v>0</v>
      </c>
      <c r="BC34" s="207">
        <f>Opv.kohd.[[#This Row],[Muu kuin työvoima-koulutus 7c]]-Opv.kohd.[[#This Row],[Muu kuin työvoima-koulutus 7a]]</f>
        <v>0</v>
      </c>
      <c r="BD34" s="207">
        <f>Opv.kohd.[[#This Row],[Työvoima-koulutus 7c]]-Opv.kohd.[[#This Row],[Työvoima-koulutus 7a]]</f>
        <v>0</v>
      </c>
      <c r="BE34" s="207">
        <f>Opv.kohd.[[#This Row],[Yhteensä 7c]]-Opv.kohd.[[#This Row],[Yhteensä 7a]]</f>
        <v>0</v>
      </c>
      <c r="BF34" s="207">
        <f>Opv.kohd.[[#This Row],[Yhteensä 7c]]-Opv.kohd.[[#This Row],[Työvoima-koulutus 7c]]</f>
        <v>0</v>
      </c>
      <c r="BG34" s="207">
        <f>IFERROR(VLOOKUP(Opv.kohd.[[#This Row],[Y-tunnus]],#REF!,COLUMN(#REF!),FALSE),0)</f>
        <v>0</v>
      </c>
      <c r="BH34" s="207">
        <f>IFERROR(VLOOKUP(Opv.kohd.[[#This Row],[Y-tunnus]],#REF!,COLUMN(#REF!),FALSE),0)</f>
        <v>0</v>
      </c>
      <c r="BI34" s="207">
        <f>IFERROR(VLOOKUP(Opv.kohd.[[#This Row],[Y-tunnus]],#REF!,COLUMN(#REF!),FALSE),0)</f>
        <v>0</v>
      </c>
      <c r="BJ34" s="207">
        <f>IFERROR(VLOOKUP(Opv.kohd.[[#This Row],[Y-tunnus]],#REF!,COLUMN(#REF!),FALSE),0)</f>
        <v>0</v>
      </c>
      <c r="BK34" s="207">
        <f>Opv.kohd.[[#This Row],[Muu kuin työvoima-koulutus 7d]]+Opv.kohd.[[#This Row],[Työvoima-koulutus 7d]]</f>
        <v>0</v>
      </c>
      <c r="BL34" s="207">
        <f>Opv.kohd.[[#This Row],[Muu kuin työvoima-koulutus 7c]]-Opv.kohd.[[#This Row],[Muu kuin työvoima-koulutus 7d]]</f>
        <v>0</v>
      </c>
      <c r="BM34" s="207">
        <f>Opv.kohd.[[#This Row],[Työvoima-koulutus 7c]]-Opv.kohd.[[#This Row],[Työvoima-koulutus 7d]]</f>
        <v>0</v>
      </c>
      <c r="BN34" s="207">
        <f>Opv.kohd.[[#This Row],[Yhteensä 7c]]-Opv.kohd.[[#This Row],[Yhteensä 7d]]</f>
        <v>0</v>
      </c>
      <c r="BO34" s="207">
        <f>Opv.kohd.[[#This Row],[Muu kuin työvoima-koulutus 7e]]-(Opv.kohd.[[#This Row],[Järjestämisluvan mukaiset 4]]+Opv.kohd.[[#This Row],[Kohdentamat-tomat 4]]+Opv.kohd.[[#This Row],[Maahan-muuttajien koulutus 4]]+Opv.kohd.[[#This Row],[Nuorisotyöt. väh. ja osaamistarp. vast., muu kuin työvoima-koulutus 4]])</f>
        <v>0</v>
      </c>
      <c r="BP34" s="207">
        <f>Opv.kohd.[[#This Row],[Työvoima-koulutus 7e]]-(Opv.kohd.[[#This Row],[Työvoima-koulutus 4]]+Opv.kohd.[[#This Row],[Nuorisotyöt. väh. ja osaamistarp. vast., työvoima-koulutus 4]])</f>
        <v>0</v>
      </c>
      <c r="BQ34" s="207">
        <f>Opv.kohd.[[#This Row],[Yhteensä 7e]]-Opv.kohd.[[#This Row],[Ensikertaisella suoritepäätöksellä jaetut tavoitteelliset opiskelijavuodet yhteensä 4]]</f>
        <v>0</v>
      </c>
      <c r="BR34" s="263">
        <v>456</v>
      </c>
      <c r="BS34" s="263">
        <v>80</v>
      </c>
      <c r="BT34" s="263">
        <v>0</v>
      </c>
      <c r="BU34" s="263">
        <v>0</v>
      </c>
      <c r="BV34" s="263">
        <v>0</v>
      </c>
      <c r="BW34" s="263">
        <v>0</v>
      </c>
      <c r="BX34" s="263">
        <v>80</v>
      </c>
      <c r="BY34" s="263">
        <v>536</v>
      </c>
      <c r="BZ34" s="207">
        <f t="shared" si="2"/>
        <v>456</v>
      </c>
      <c r="CA34" s="207">
        <f t="shared" si="3"/>
        <v>80</v>
      </c>
      <c r="CB34" s="207">
        <f t="shared" si="4"/>
        <v>0</v>
      </c>
      <c r="CC34" s="207">
        <f t="shared" si="5"/>
        <v>0</v>
      </c>
      <c r="CD34" s="207">
        <f t="shared" si="6"/>
        <v>0</v>
      </c>
      <c r="CE34" s="207">
        <f t="shared" si="7"/>
        <v>0</v>
      </c>
      <c r="CF34" s="207">
        <f t="shared" si="8"/>
        <v>80</v>
      </c>
      <c r="CG34" s="207">
        <f t="shared" si="9"/>
        <v>536</v>
      </c>
      <c r="CH34" s="207">
        <f>Opv.kohd.[[#This Row],[Tavoitteelliset opiskelijavuodet yhteensä 9]]-Opv.kohd.[[#This Row],[Työvoima-koulutus 9]]-Opv.kohd.[[#This Row],[Nuorisotyöt. väh. ja osaamistarp. vast., työvoima-koulutus 9]]-Opv.kohd.[[#This Row],[Muu kuin työvoima-koulutus 7e]]</f>
        <v>536</v>
      </c>
      <c r="CI34" s="207">
        <f>(Opv.kohd.[[#This Row],[Työvoima-koulutus 9]]+Opv.kohd.[[#This Row],[Nuorisotyöt. väh. ja osaamistarp. vast., työvoima-koulutus 9]])-Opv.kohd.[[#This Row],[Työvoima-koulutus 7e]]</f>
        <v>0</v>
      </c>
      <c r="CJ34" s="207">
        <f>Opv.kohd.[[#This Row],[Tavoitteelliset opiskelijavuodet yhteensä 9]]-Opv.kohd.[[#This Row],[Yhteensä 7e]]</f>
        <v>536</v>
      </c>
      <c r="CK34" s="207">
        <f>Opv.kohd.[[#This Row],[Järjestämisluvan mukaiset 4]]+Opv.kohd.[[#This Row],[Järjestämisluvan mukaiset 13]]</f>
        <v>0</v>
      </c>
      <c r="CL34" s="207">
        <f>Opv.kohd.[[#This Row],[Kohdentamat-tomat 4]]+Opv.kohd.[[#This Row],[Kohdentamat-tomat 13]]</f>
        <v>0</v>
      </c>
      <c r="CM34" s="207">
        <f>Opv.kohd.[[#This Row],[Työvoima-koulutus 4]]+Opv.kohd.[[#This Row],[Työvoima-koulutus 13]]</f>
        <v>0</v>
      </c>
      <c r="CN34" s="207">
        <f>Opv.kohd.[[#This Row],[Maahan-muuttajien koulutus 4]]+Opv.kohd.[[#This Row],[Maahan-muuttajien koulutus 13]]</f>
        <v>0</v>
      </c>
      <c r="CO34" s="207">
        <f>Opv.kohd.[[#This Row],[Nuorisotyöt. väh. ja osaamistarp. vast., muu kuin työvoima-koulutus 4]]+Opv.kohd.[[#This Row],[Nuorisotyöt. väh. ja osaamistarp. vast., muu kuin työvoima-koulutus 13]]</f>
        <v>0</v>
      </c>
      <c r="CP34" s="207">
        <f>Opv.kohd.[[#This Row],[Nuorisotyöt. väh. ja osaamistarp. vast., työvoima-koulutus 4]]+Opv.kohd.[[#This Row],[Nuorisotyöt. väh. ja osaamistarp. vast., työvoima-koulutus 13]]</f>
        <v>0</v>
      </c>
      <c r="CQ34" s="207">
        <f>Opv.kohd.[[#This Row],[Yhteensä 4]]+Opv.kohd.[[#This Row],[Yhteensä 13]]</f>
        <v>0</v>
      </c>
      <c r="CR34" s="207">
        <f>Opv.kohd.[[#This Row],[Ensikertaisella suoritepäätöksellä jaetut tavoitteelliset opiskelijavuodet yhteensä 4]]+Opv.kohd.[[#This Row],[Tavoitteelliset opiskelijavuodet yhteensä 13]]</f>
        <v>0</v>
      </c>
      <c r="CS34" s="120">
        <v>0</v>
      </c>
      <c r="CT34" s="120">
        <v>0</v>
      </c>
      <c r="CU34" s="120">
        <v>0</v>
      </c>
      <c r="CV34" s="120">
        <v>0</v>
      </c>
      <c r="CW34" s="120">
        <v>0</v>
      </c>
      <c r="CX34" s="120">
        <v>0</v>
      </c>
      <c r="CY34" s="120">
        <v>0</v>
      </c>
      <c r="CZ34" s="120">
        <v>0</v>
      </c>
      <c r="DA34" s="209">
        <f>IFERROR(Opv.kohd.[[#This Row],[Järjestämisluvan mukaiset 13]]/Opv.kohd.[[#This Row],[Järjestämisluvan mukaiset 12]],0)</f>
        <v>0</v>
      </c>
      <c r="DB34" s="209">
        <f>IFERROR(Opv.kohd.[[#This Row],[Kohdentamat-tomat 13]]/Opv.kohd.[[#This Row],[Kohdentamat-tomat 12]],0)</f>
        <v>0</v>
      </c>
      <c r="DC34" s="209">
        <f>IFERROR(Opv.kohd.[[#This Row],[Työvoima-koulutus 13]]/Opv.kohd.[[#This Row],[Työvoima-koulutus 12]],0)</f>
        <v>0</v>
      </c>
      <c r="DD34" s="209">
        <f>IFERROR(Opv.kohd.[[#This Row],[Maahan-muuttajien koulutus 13]]/Opv.kohd.[[#This Row],[Maahan-muuttajien koulutus 12]],0)</f>
        <v>0</v>
      </c>
      <c r="DE34" s="209">
        <f>IFERROR(Opv.kohd.[[#This Row],[Nuorisotyöt. väh. ja osaamistarp. vast., muu kuin työvoima-koulutus 13]]/Opv.kohd.[[#This Row],[Nuorisotyöt. väh. ja osaamistarp. vast., muu kuin työvoima-koulutus 12]],0)</f>
        <v>0</v>
      </c>
      <c r="DF34" s="209">
        <f>IFERROR(Opv.kohd.[[#This Row],[Nuorisotyöt. väh. ja osaamistarp. vast., työvoima-koulutus 13]]/Opv.kohd.[[#This Row],[Nuorisotyöt. väh. ja osaamistarp. vast., työvoima-koulutus 12]],0)</f>
        <v>0</v>
      </c>
      <c r="DG34" s="209">
        <f>IFERROR(Opv.kohd.[[#This Row],[Yhteensä 13]]/Opv.kohd.[[#This Row],[Yhteensä 12]],0)</f>
        <v>0</v>
      </c>
      <c r="DH34" s="209">
        <f>IFERROR(Opv.kohd.[[#This Row],[Tavoitteelliset opiskelijavuodet yhteensä 13]]/Opv.kohd.[[#This Row],[Tavoitteelliset opiskelijavuodet yhteensä 12]],0)</f>
        <v>0</v>
      </c>
      <c r="DI34" s="207">
        <f>Opv.kohd.[[#This Row],[Järjestämisluvan mukaiset 12]]-Opv.kohd.[[#This Row],[Järjestämisluvan mukaiset 9]]</f>
        <v>-456</v>
      </c>
      <c r="DJ34" s="207">
        <f>Opv.kohd.[[#This Row],[Kohdentamat-tomat 12]]-Opv.kohd.[[#This Row],[Kohdentamat-tomat 9]]</f>
        <v>-80</v>
      </c>
      <c r="DK34" s="207">
        <f>Opv.kohd.[[#This Row],[Työvoima-koulutus 12]]-Opv.kohd.[[#This Row],[Työvoima-koulutus 9]]</f>
        <v>0</v>
      </c>
      <c r="DL34" s="207">
        <f>Opv.kohd.[[#This Row],[Maahan-muuttajien koulutus 12]]-Opv.kohd.[[#This Row],[Maahan-muuttajien koulutus 9]]</f>
        <v>0</v>
      </c>
      <c r="DM34" s="207">
        <f>Opv.kohd.[[#This Row],[Nuorisotyöt. väh. ja osaamistarp. vast., muu kuin työvoima-koulutus 12]]-Opv.kohd.[[#This Row],[Nuorisotyöt. väh. ja osaamistarp. vast., muu kuin työvoima-koulutus 9]]</f>
        <v>0</v>
      </c>
      <c r="DN34" s="207">
        <f>Opv.kohd.[[#This Row],[Nuorisotyöt. väh. ja osaamistarp. vast., työvoima-koulutus 12]]-Opv.kohd.[[#This Row],[Nuorisotyöt. väh. ja osaamistarp. vast., työvoima-koulutus 9]]</f>
        <v>0</v>
      </c>
      <c r="DO34" s="207">
        <f>Opv.kohd.[[#This Row],[Yhteensä 12]]-Opv.kohd.[[#This Row],[Yhteensä 9]]</f>
        <v>-80</v>
      </c>
      <c r="DP34" s="207">
        <f>Opv.kohd.[[#This Row],[Tavoitteelliset opiskelijavuodet yhteensä 12]]-Opv.kohd.[[#This Row],[Tavoitteelliset opiskelijavuodet yhteensä 9]]</f>
        <v>-536</v>
      </c>
      <c r="DQ34" s="209">
        <f>IFERROR(Opv.kohd.[[#This Row],[Järjestämisluvan mukaiset 15]]/Opv.kohd.[[#This Row],[Järjestämisluvan mukaiset 9]],0)</f>
        <v>-1</v>
      </c>
      <c r="DR34" s="209">
        <f t="shared" si="10"/>
        <v>0</v>
      </c>
      <c r="DS34" s="209">
        <f t="shared" si="11"/>
        <v>0</v>
      </c>
      <c r="DT34" s="209">
        <f t="shared" si="12"/>
        <v>0</v>
      </c>
      <c r="DU34" s="209">
        <f t="shared" si="13"/>
        <v>0</v>
      </c>
      <c r="DV34" s="209">
        <f t="shared" si="14"/>
        <v>0</v>
      </c>
      <c r="DW34" s="209">
        <f t="shared" si="15"/>
        <v>0</v>
      </c>
      <c r="DX34" s="209">
        <f t="shared" si="16"/>
        <v>0</v>
      </c>
    </row>
    <row r="35" spans="1:128" x14ac:dyDescent="0.25">
      <c r="A35" s="204" t="e">
        <f>IF(INDEX(#REF!,ROW(35:35)-1,1)=0,"",INDEX(#REF!,ROW(35:35)-1,1))</f>
        <v>#REF!</v>
      </c>
      <c r="B35" s="205" t="str">
        <f>IFERROR(VLOOKUP(Opv.kohd.[[#This Row],[Y-tunnus]],'0 Järjestäjätiedot'!$A:$H,2,FALSE),"")</f>
        <v/>
      </c>
      <c r="C35" s="204" t="str">
        <f>IFERROR(VLOOKUP(Opv.kohd.[[#This Row],[Y-tunnus]],'0 Järjestäjätiedot'!$A:$H,COLUMN('0 Järjestäjätiedot'!D:D),FALSE),"")</f>
        <v/>
      </c>
      <c r="D35" s="204" t="str">
        <f>IFERROR(VLOOKUP(Opv.kohd.[[#This Row],[Y-tunnus]],'0 Järjestäjätiedot'!$A:$H,COLUMN('0 Järjestäjätiedot'!H:H),FALSE),"")</f>
        <v/>
      </c>
      <c r="E35" s="204">
        <f>IFERROR(VLOOKUP(Opv.kohd.[[#This Row],[Y-tunnus]],#REF!,COLUMN(#REF!),FALSE),0)</f>
        <v>0</v>
      </c>
      <c r="F35" s="204">
        <f>IFERROR(VLOOKUP(Opv.kohd.[[#This Row],[Y-tunnus]],#REF!,COLUMN(#REF!),FALSE),0)</f>
        <v>0</v>
      </c>
      <c r="G35" s="204">
        <f>IFERROR(VLOOKUP(Opv.kohd.[[#This Row],[Y-tunnus]],#REF!,COLUMN(#REF!),FALSE),0)</f>
        <v>0</v>
      </c>
      <c r="H35" s="204">
        <f>IFERROR(VLOOKUP(Opv.kohd.[[#This Row],[Y-tunnus]],#REF!,COLUMN(#REF!),FALSE),0)</f>
        <v>0</v>
      </c>
      <c r="I35" s="204">
        <f>IFERROR(VLOOKUP(Opv.kohd.[[#This Row],[Y-tunnus]],#REF!,COLUMN(#REF!),FALSE),0)</f>
        <v>0</v>
      </c>
      <c r="J35" s="204">
        <f>IFERROR(VLOOKUP(Opv.kohd.[[#This Row],[Y-tunnus]],#REF!,COLUMN(#REF!),FALSE),0)</f>
        <v>0</v>
      </c>
      <c r="K3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35" s="204">
        <f>Opv.kohd.[[#This Row],[Järjestämisluvan mukaiset 1]]+Opv.kohd.[[#This Row],[Yhteensä  1]]</f>
        <v>0</v>
      </c>
      <c r="M35" s="204">
        <f>IFERROR(VLOOKUP(Opv.kohd.[[#This Row],[Y-tunnus]],#REF!,COLUMN(#REF!),FALSE),0)</f>
        <v>0</v>
      </c>
      <c r="N35" s="204">
        <f>IFERROR(VLOOKUP(Opv.kohd.[[#This Row],[Y-tunnus]],#REF!,COLUMN(#REF!),FALSE),0)</f>
        <v>0</v>
      </c>
      <c r="O35" s="204">
        <f>IFERROR(VLOOKUP(Opv.kohd.[[#This Row],[Y-tunnus]],#REF!,COLUMN(#REF!),FALSE)+VLOOKUP(Opv.kohd.[[#This Row],[Y-tunnus]],#REF!,COLUMN(#REF!),FALSE),0)</f>
        <v>0</v>
      </c>
      <c r="P35" s="204">
        <f>Opv.kohd.[[#This Row],[Talousarvion perusteella kohdentamattomat]]+Opv.kohd.[[#This Row],[Talousarvion perusteella työvoimakoulutus 1]]+Opv.kohd.[[#This Row],[Lisätalousarvioiden perusteella]]</f>
        <v>0</v>
      </c>
      <c r="Q35" s="204">
        <f>IFERROR(VLOOKUP(Opv.kohd.[[#This Row],[Y-tunnus]],#REF!,COLUMN(#REF!),FALSE),0)</f>
        <v>0</v>
      </c>
      <c r="R35" s="210">
        <f>IFERROR(VLOOKUP(Opv.kohd.[[#This Row],[Y-tunnus]],#REF!,COLUMN(#REF!),FALSE)-(Opv.kohd.[[#This Row],[Kohdentamaton työvoima-koulutus 2]]+Opv.kohd.[[#This Row],[Maahan-muuttajien koulutus 2]]+Opv.kohd.[[#This Row],[Lisätalousarvioiden perusteella jaetut 2]]),0)</f>
        <v>0</v>
      </c>
      <c r="S35" s="210">
        <f>IFERROR(VLOOKUP(Opv.kohd.[[#This Row],[Y-tunnus]],#REF!,COLUMN(#REF!),FALSE)+VLOOKUP(Opv.kohd.[[#This Row],[Y-tunnus]],#REF!,COLUMN(#REF!),FALSE),0)</f>
        <v>0</v>
      </c>
      <c r="T35" s="210">
        <f>IFERROR(VLOOKUP(Opv.kohd.[[#This Row],[Y-tunnus]],#REF!,COLUMN(#REF!),FALSE)+VLOOKUP(Opv.kohd.[[#This Row],[Y-tunnus]],#REF!,COLUMN(#REF!),FALSE),0)</f>
        <v>0</v>
      </c>
      <c r="U3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35" s="210">
        <f>Opv.kohd.[[#This Row],[Kohdentamat-tomat 2]]+Opv.kohd.[[#This Row],[Kohdentamaton työvoima-koulutus 2]]+Opv.kohd.[[#This Row],[Maahan-muuttajien koulutus 2]]+Opv.kohd.[[#This Row],[Lisätalousarvioiden perusteella jaetut 2]]</f>
        <v>0</v>
      </c>
      <c r="W35" s="210">
        <f>Opv.kohd.[[#This Row],[Kohdentamat-tomat 2]]-(Opv.kohd.[[#This Row],[Järjestämisluvan mukaiset 1]]+Opv.kohd.[[#This Row],[Kohdentamat-tomat 1]]+Opv.kohd.[[#This Row],[Nuorisotyöt. väh. ja osaamistarp. vast., muu kuin työvoima-koulutus 1]]+Opv.kohd.[[#This Row],[Talousarvion perusteella kohdentamattomat]])</f>
        <v>0</v>
      </c>
      <c r="X35" s="210">
        <f>Opv.kohd.[[#This Row],[Kohdentamaton työvoima-koulutus 2]]-(Opv.kohd.[[#This Row],[Työvoima-koulutus 1]]+Opv.kohd.[[#This Row],[Nuorisotyöt. väh. ja osaamistarp. vast., työvoima-koulutus 1]]+Opv.kohd.[[#This Row],[Talousarvion perusteella työvoimakoulutus 1]])</f>
        <v>0</v>
      </c>
      <c r="Y35" s="210">
        <f>Opv.kohd.[[#This Row],[Maahan-muuttajien koulutus 2]]-Opv.kohd.[[#This Row],[Maahan-muuttajien koulutus 1]]</f>
        <v>0</v>
      </c>
      <c r="Z35" s="210">
        <f>Opv.kohd.[[#This Row],[Lisätalousarvioiden perusteella jaetut 2]]-Opv.kohd.[[#This Row],[Lisätalousarvioiden perusteella]]</f>
        <v>0</v>
      </c>
      <c r="AA35" s="210">
        <f>Opv.kohd.[[#This Row],[Toteutuneet opiskelijavuodet yhteensä 2]]-Opv.kohd.[[#This Row],[Vuoden 2018 tavoitteelliset opiskelijavuodet yhteensä 1]]</f>
        <v>0</v>
      </c>
      <c r="AB35" s="207">
        <f>IFERROR(VLOOKUP(Opv.kohd.[[#This Row],[Y-tunnus]],#REF!,3,FALSE),0)</f>
        <v>0</v>
      </c>
      <c r="AC35" s="207">
        <f>IFERROR(VLOOKUP(Opv.kohd.[[#This Row],[Y-tunnus]],#REF!,4,FALSE),0)</f>
        <v>0</v>
      </c>
      <c r="AD35" s="207">
        <f>IFERROR(VLOOKUP(Opv.kohd.[[#This Row],[Y-tunnus]],#REF!,5,FALSE),0)</f>
        <v>0</v>
      </c>
      <c r="AE35" s="207">
        <f>IFERROR(VLOOKUP(Opv.kohd.[[#This Row],[Y-tunnus]],#REF!,6,FALSE),0)</f>
        <v>0</v>
      </c>
      <c r="AF35" s="207">
        <f>IFERROR(VLOOKUP(Opv.kohd.[[#This Row],[Y-tunnus]],#REF!,7,FALSE),0)</f>
        <v>0</v>
      </c>
      <c r="AG35" s="207">
        <f>IFERROR(VLOOKUP(Opv.kohd.[[#This Row],[Y-tunnus]],#REF!,8,FALSE),0)</f>
        <v>0</v>
      </c>
      <c r="AH35" s="207">
        <f>IFERROR(VLOOKUP(Opv.kohd.[[#This Row],[Y-tunnus]],#REF!,9,FALSE),0)</f>
        <v>0</v>
      </c>
      <c r="AI35" s="207">
        <f>IFERROR(VLOOKUP(Opv.kohd.[[#This Row],[Y-tunnus]],#REF!,10,FALSE),0)</f>
        <v>0</v>
      </c>
      <c r="AJ35" s="204">
        <f>Opv.kohd.[[#This Row],[Järjestämisluvan mukaiset 4]]-Opv.kohd.[[#This Row],[Järjestämisluvan mukaiset 1]]</f>
        <v>0</v>
      </c>
      <c r="AK35" s="204">
        <f>Opv.kohd.[[#This Row],[Kohdentamat-tomat 4]]-Opv.kohd.[[#This Row],[Kohdentamat-tomat 1]]</f>
        <v>0</v>
      </c>
      <c r="AL35" s="204">
        <f>Opv.kohd.[[#This Row],[Työvoima-koulutus 4]]-Opv.kohd.[[#This Row],[Työvoima-koulutus 1]]</f>
        <v>0</v>
      </c>
      <c r="AM35" s="204">
        <f>Opv.kohd.[[#This Row],[Maahan-muuttajien koulutus 4]]-Opv.kohd.[[#This Row],[Maahan-muuttajien koulutus 1]]</f>
        <v>0</v>
      </c>
      <c r="AN35" s="204">
        <f>Opv.kohd.[[#This Row],[Nuorisotyöt. väh. ja osaamistarp. vast., muu kuin työvoima-koulutus 4]]-Opv.kohd.[[#This Row],[Nuorisotyöt. väh. ja osaamistarp. vast., muu kuin työvoima-koulutus 1]]</f>
        <v>0</v>
      </c>
      <c r="AO35" s="204">
        <f>Opv.kohd.[[#This Row],[Nuorisotyöt. väh. ja osaamistarp. vast., työvoima-koulutus 4]]-Opv.kohd.[[#This Row],[Nuorisotyöt. väh. ja osaamistarp. vast., työvoima-koulutus 1]]</f>
        <v>0</v>
      </c>
      <c r="AP35" s="204">
        <f>Opv.kohd.[[#This Row],[Yhteensä 4]]-Opv.kohd.[[#This Row],[Yhteensä  1]]</f>
        <v>0</v>
      </c>
      <c r="AQ35" s="204">
        <f>Opv.kohd.[[#This Row],[Ensikertaisella suoritepäätöksellä jaetut tavoitteelliset opiskelijavuodet yhteensä 4]]-Opv.kohd.[[#This Row],[Ensikertaisella suoritepäätöksellä jaetut tavoitteelliset opiskelijavuodet yhteensä 1]]</f>
        <v>0</v>
      </c>
      <c r="AR35" s="208">
        <f>IFERROR(Opv.kohd.[[#This Row],[Järjestämisluvan mukaiset 5]]/Opv.kohd.[[#This Row],[Järjestämisluvan mukaiset 4]],0)</f>
        <v>0</v>
      </c>
      <c r="AS35" s="208">
        <f>IFERROR(Opv.kohd.[[#This Row],[Kohdentamat-tomat 5]]/Opv.kohd.[[#This Row],[Kohdentamat-tomat 4]],0)</f>
        <v>0</v>
      </c>
      <c r="AT35" s="208">
        <f>IFERROR(Opv.kohd.[[#This Row],[Työvoima-koulutus 5]]/Opv.kohd.[[#This Row],[Työvoima-koulutus 4]],0)</f>
        <v>0</v>
      </c>
      <c r="AU35" s="208">
        <f>IFERROR(Opv.kohd.[[#This Row],[Maahan-muuttajien koulutus 5]]/Opv.kohd.[[#This Row],[Maahan-muuttajien koulutus 4]],0)</f>
        <v>0</v>
      </c>
      <c r="AV35" s="208">
        <f>IFERROR(Opv.kohd.[[#This Row],[Nuorisotyöt. väh. ja osaamistarp. vast., muu kuin työvoima-koulutus 5]]/Opv.kohd.[[#This Row],[Nuorisotyöt. väh. ja osaamistarp. vast., muu kuin työvoima-koulutus 4]],0)</f>
        <v>0</v>
      </c>
      <c r="AW35" s="208">
        <f>IFERROR(Opv.kohd.[[#This Row],[Nuorisotyöt. väh. ja osaamistarp. vast., työvoima-koulutus 5]]/Opv.kohd.[[#This Row],[Nuorisotyöt. väh. ja osaamistarp. vast., työvoima-koulutus 4]],0)</f>
        <v>0</v>
      </c>
      <c r="AX35" s="208">
        <f>IFERROR(Opv.kohd.[[#This Row],[Yhteensä 5]]/Opv.kohd.[[#This Row],[Yhteensä 4]],0)</f>
        <v>0</v>
      </c>
      <c r="AY35" s="208">
        <f>IFERROR(Opv.kohd.[[#This Row],[Ensikertaisella suoritepäätöksellä jaetut tavoitteelliset opiskelijavuodet yhteensä 5]]/Opv.kohd.[[#This Row],[Ensikertaisella suoritepäätöksellä jaetut tavoitteelliset opiskelijavuodet yhteensä 4]],0)</f>
        <v>0</v>
      </c>
      <c r="AZ35" s="207">
        <f>Opv.kohd.[[#This Row],[Yhteensä 7a]]-Opv.kohd.[[#This Row],[Työvoima-koulutus 7a]]</f>
        <v>0</v>
      </c>
      <c r="BA35" s="207">
        <f>IFERROR(VLOOKUP(Opv.kohd.[[#This Row],[Y-tunnus]],#REF!,COLUMN(#REF!),FALSE),0)</f>
        <v>0</v>
      </c>
      <c r="BB35" s="207">
        <f>IFERROR(VLOOKUP(Opv.kohd.[[#This Row],[Y-tunnus]],#REF!,COLUMN(#REF!),FALSE),0)</f>
        <v>0</v>
      </c>
      <c r="BC35" s="207">
        <f>Opv.kohd.[[#This Row],[Muu kuin työvoima-koulutus 7c]]-Opv.kohd.[[#This Row],[Muu kuin työvoima-koulutus 7a]]</f>
        <v>0</v>
      </c>
      <c r="BD35" s="207">
        <f>Opv.kohd.[[#This Row],[Työvoima-koulutus 7c]]-Opv.kohd.[[#This Row],[Työvoima-koulutus 7a]]</f>
        <v>0</v>
      </c>
      <c r="BE35" s="207">
        <f>Opv.kohd.[[#This Row],[Yhteensä 7c]]-Opv.kohd.[[#This Row],[Yhteensä 7a]]</f>
        <v>0</v>
      </c>
      <c r="BF35" s="207">
        <f>Opv.kohd.[[#This Row],[Yhteensä 7c]]-Opv.kohd.[[#This Row],[Työvoima-koulutus 7c]]</f>
        <v>0</v>
      </c>
      <c r="BG35" s="207">
        <f>IFERROR(VLOOKUP(Opv.kohd.[[#This Row],[Y-tunnus]],#REF!,COLUMN(#REF!),FALSE),0)</f>
        <v>0</v>
      </c>
      <c r="BH35" s="207">
        <f>IFERROR(VLOOKUP(Opv.kohd.[[#This Row],[Y-tunnus]],#REF!,COLUMN(#REF!),FALSE),0)</f>
        <v>0</v>
      </c>
      <c r="BI35" s="207">
        <f>IFERROR(VLOOKUP(Opv.kohd.[[#This Row],[Y-tunnus]],#REF!,COLUMN(#REF!),FALSE),0)</f>
        <v>0</v>
      </c>
      <c r="BJ35" s="207">
        <f>IFERROR(VLOOKUP(Opv.kohd.[[#This Row],[Y-tunnus]],#REF!,COLUMN(#REF!),FALSE),0)</f>
        <v>0</v>
      </c>
      <c r="BK35" s="207">
        <f>Opv.kohd.[[#This Row],[Muu kuin työvoima-koulutus 7d]]+Opv.kohd.[[#This Row],[Työvoima-koulutus 7d]]</f>
        <v>0</v>
      </c>
      <c r="BL35" s="207">
        <f>Opv.kohd.[[#This Row],[Muu kuin työvoima-koulutus 7c]]-Opv.kohd.[[#This Row],[Muu kuin työvoima-koulutus 7d]]</f>
        <v>0</v>
      </c>
      <c r="BM35" s="207">
        <f>Opv.kohd.[[#This Row],[Työvoima-koulutus 7c]]-Opv.kohd.[[#This Row],[Työvoima-koulutus 7d]]</f>
        <v>0</v>
      </c>
      <c r="BN35" s="207">
        <f>Opv.kohd.[[#This Row],[Yhteensä 7c]]-Opv.kohd.[[#This Row],[Yhteensä 7d]]</f>
        <v>0</v>
      </c>
      <c r="BO35" s="207">
        <f>Opv.kohd.[[#This Row],[Muu kuin työvoima-koulutus 7e]]-(Opv.kohd.[[#This Row],[Järjestämisluvan mukaiset 4]]+Opv.kohd.[[#This Row],[Kohdentamat-tomat 4]]+Opv.kohd.[[#This Row],[Maahan-muuttajien koulutus 4]]+Opv.kohd.[[#This Row],[Nuorisotyöt. väh. ja osaamistarp. vast., muu kuin työvoima-koulutus 4]])</f>
        <v>0</v>
      </c>
      <c r="BP35" s="207">
        <f>Opv.kohd.[[#This Row],[Työvoima-koulutus 7e]]-(Opv.kohd.[[#This Row],[Työvoima-koulutus 4]]+Opv.kohd.[[#This Row],[Nuorisotyöt. väh. ja osaamistarp. vast., työvoima-koulutus 4]])</f>
        <v>0</v>
      </c>
      <c r="BQ35" s="207">
        <f>Opv.kohd.[[#This Row],[Yhteensä 7e]]-Opv.kohd.[[#This Row],[Ensikertaisella suoritepäätöksellä jaetut tavoitteelliset opiskelijavuodet yhteensä 4]]</f>
        <v>0</v>
      </c>
      <c r="BR35" s="263">
        <v>893</v>
      </c>
      <c r="BS35" s="263">
        <v>85</v>
      </c>
      <c r="BT35" s="263">
        <v>0</v>
      </c>
      <c r="BU35" s="263">
        <v>25</v>
      </c>
      <c r="BV35" s="263">
        <v>0</v>
      </c>
      <c r="BW35" s="263">
        <v>0</v>
      </c>
      <c r="BX35" s="263">
        <v>110</v>
      </c>
      <c r="BY35" s="263">
        <v>1003</v>
      </c>
      <c r="BZ35" s="207">
        <f t="shared" si="2"/>
        <v>893</v>
      </c>
      <c r="CA35" s="207">
        <f t="shared" si="3"/>
        <v>85</v>
      </c>
      <c r="CB35" s="207">
        <f t="shared" si="4"/>
        <v>0</v>
      </c>
      <c r="CC35" s="207">
        <f t="shared" si="5"/>
        <v>25</v>
      </c>
      <c r="CD35" s="207">
        <f t="shared" si="6"/>
        <v>0</v>
      </c>
      <c r="CE35" s="207">
        <f t="shared" si="7"/>
        <v>0</v>
      </c>
      <c r="CF35" s="207">
        <f t="shared" si="8"/>
        <v>110</v>
      </c>
      <c r="CG35" s="207">
        <f t="shared" si="9"/>
        <v>1003</v>
      </c>
      <c r="CH35" s="207">
        <f>Opv.kohd.[[#This Row],[Tavoitteelliset opiskelijavuodet yhteensä 9]]-Opv.kohd.[[#This Row],[Työvoima-koulutus 9]]-Opv.kohd.[[#This Row],[Nuorisotyöt. väh. ja osaamistarp. vast., työvoima-koulutus 9]]-Opv.kohd.[[#This Row],[Muu kuin työvoima-koulutus 7e]]</f>
        <v>1003</v>
      </c>
      <c r="CI35" s="207">
        <f>(Opv.kohd.[[#This Row],[Työvoima-koulutus 9]]+Opv.kohd.[[#This Row],[Nuorisotyöt. väh. ja osaamistarp. vast., työvoima-koulutus 9]])-Opv.kohd.[[#This Row],[Työvoima-koulutus 7e]]</f>
        <v>0</v>
      </c>
      <c r="CJ35" s="207">
        <f>Opv.kohd.[[#This Row],[Tavoitteelliset opiskelijavuodet yhteensä 9]]-Opv.kohd.[[#This Row],[Yhteensä 7e]]</f>
        <v>1003</v>
      </c>
      <c r="CK35" s="207">
        <f>Opv.kohd.[[#This Row],[Järjestämisluvan mukaiset 4]]+Opv.kohd.[[#This Row],[Järjestämisluvan mukaiset 13]]</f>
        <v>0</v>
      </c>
      <c r="CL35" s="207">
        <f>Opv.kohd.[[#This Row],[Kohdentamat-tomat 4]]+Opv.kohd.[[#This Row],[Kohdentamat-tomat 13]]</f>
        <v>0</v>
      </c>
      <c r="CM35" s="207">
        <f>Opv.kohd.[[#This Row],[Työvoima-koulutus 4]]+Opv.kohd.[[#This Row],[Työvoima-koulutus 13]]</f>
        <v>0</v>
      </c>
      <c r="CN35" s="207">
        <f>Opv.kohd.[[#This Row],[Maahan-muuttajien koulutus 4]]+Opv.kohd.[[#This Row],[Maahan-muuttajien koulutus 13]]</f>
        <v>0</v>
      </c>
      <c r="CO35" s="207">
        <f>Opv.kohd.[[#This Row],[Nuorisotyöt. väh. ja osaamistarp. vast., muu kuin työvoima-koulutus 4]]+Opv.kohd.[[#This Row],[Nuorisotyöt. väh. ja osaamistarp. vast., muu kuin työvoima-koulutus 13]]</f>
        <v>0</v>
      </c>
      <c r="CP35" s="207">
        <f>Opv.kohd.[[#This Row],[Nuorisotyöt. väh. ja osaamistarp. vast., työvoima-koulutus 4]]+Opv.kohd.[[#This Row],[Nuorisotyöt. väh. ja osaamistarp. vast., työvoima-koulutus 13]]</f>
        <v>0</v>
      </c>
      <c r="CQ35" s="207">
        <f>Opv.kohd.[[#This Row],[Yhteensä 4]]+Opv.kohd.[[#This Row],[Yhteensä 13]]</f>
        <v>0</v>
      </c>
      <c r="CR35" s="207">
        <f>Opv.kohd.[[#This Row],[Ensikertaisella suoritepäätöksellä jaetut tavoitteelliset opiskelijavuodet yhteensä 4]]+Opv.kohd.[[#This Row],[Tavoitteelliset opiskelijavuodet yhteensä 13]]</f>
        <v>0</v>
      </c>
      <c r="CS35" s="120">
        <v>0</v>
      </c>
      <c r="CT35" s="120">
        <v>0</v>
      </c>
      <c r="CU35" s="120">
        <v>0</v>
      </c>
      <c r="CV35" s="120">
        <v>0</v>
      </c>
      <c r="CW35" s="120">
        <v>0</v>
      </c>
      <c r="CX35" s="120">
        <v>0</v>
      </c>
      <c r="CY35" s="120">
        <v>0</v>
      </c>
      <c r="CZ35" s="120">
        <v>0</v>
      </c>
      <c r="DA35" s="209">
        <f>IFERROR(Opv.kohd.[[#This Row],[Järjestämisluvan mukaiset 13]]/Opv.kohd.[[#This Row],[Järjestämisluvan mukaiset 12]],0)</f>
        <v>0</v>
      </c>
      <c r="DB35" s="209">
        <f>IFERROR(Opv.kohd.[[#This Row],[Kohdentamat-tomat 13]]/Opv.kohd.[[#This Row],[Kohdentamat-tomat 12]],0)</f>
        <v>0</v>
      </c>
      <c r="DC35" s="209">
        <f>IFERROR(Opv.kohd.[[#This Row],[Työvoima-koulutus 13]]/Opv.kohd.[[#This Row],[Työvoima-koulutus 12]],0)</f>
        <v>0</v>
      </c>
      <c r="DD35" s="209">
        <f>IFERROR(Opv.kohd.[[#This Row],[Maahan-muuttajien koulutus 13]]/Opv.kohd.[[#This Row],[Maahan-muuttajien koulutus 12]],0)</f>
        <v>0</v>
      </c>
      <c r="DE35" s="209">
        <f>IFERROR(Opv.kohd.[[#This Row],[Nuorisotyöt. väh. ja osaamistarp. vast., muu kuin työvoima-koulutus 13]]/Opv.kohd.[[#This Row],[Nuorisotyöt. väh. ja osaamistarp. vast., muu kuin työvoima-koulutus 12]],0)</f>
        <v>0</v>
      </c>
      <c r="DF35" s="209">
        <f>IFERROR(Opv.kohd.[[#This Row],[Nuorisotyöt. väh. ja osaamistarp. vast., työvoima-koulutus 13]]/Opv.kohd.[[#This Row],[Nuorisotyöt. väh. ja osaamistarp. vast., työvoima-koulutus 12]],0)</f>
        <v>0</v>
      </c>
      <c r="DG35" s="209">
        <f>IFERROR(Opv.kohd.[[#This Row],[Yhteensä 13]]/Opv.kohd.[[#This Row],[Yhteensä 12]],0)</f>
        <v>0</v>
      </c>
      <c r="DH35" s="209">
        <f>IFERROR(Opv.kohd.[[#This Row],[Tavoitteelliset opiskelijavuodet yhteensä 13]]/Opv.kohd.[[#This Row],[Tavoitteelliset opiskelijavuodet yhteensä 12]],0)</f>
        <v>0</v>
      </c>
      <c r="DI35" s="207">
        <f>Opv.kohd.[[#This Row],[Järjestämisluvan mukaiset 12]]-Opv.kohd.[[#This Row],[Järjestämisluvan mukaiset 9]]</f>
        <v>-893</v>
      </c>
      <c r="DJ35" s="207">
        <f>Opv.kohd.[[#This Row],[Kohdentamat-tomat 12]]-Opv.kohd.[[#This Row],[Kohdentamat-tomat 9]]</f>
        <v>-85</v>
      </c>
      <c r="DK35" s="207">
        <f>Opv.kohd.[[#This Row],[Työvoima-koulutus 12]]-Opv.kohd.[[#This Row],[Työvoima-koulutus 9]]</f>
        <v>0</v>
      </c>
      <c r="DL35" s="207">
        <f>Opv.kohd.[[#This Row],[Maahan-muuttajien koulutus 12]]-Opv.kohd.[[#This Row],[Maahan-muuttajien koulutus 9]]</f>
        <v>-25</v>
      </c>
      <c r="DM35" s="207">
        <f>Opv.kohd.[[#This Row],[Nuorisotyöt. väh. ja osaamistarp. vast., muu kuin työvoima-koulutus 12]]-Opv.kohd.[[#This Row],[Nuorisotyöt. väh. ja osaamistarp. vast., muu kuin työvoima-koulutus 9]]</f>
        <v>0</v>
      </c>
      <c r="DN35" s="207">
        <f>Opv.kohd.[[#This Row],[Nuorisotyöt. väh. ja osaamistarp. vast., työvoima-koulutus 12]]-Opv.kohd.[[#This Row],[Nuorisotyöt. väh. ja osaamistarp. vast., työvoima-koulutus 9]]</f>
        <v>0</v>
      </c>
      <c r="DO35" s="207">
        <f>Opv.kohd.[[#This Row],[Yhteensä 12]]-Opv.kohd.[[#This Row],[Yhteensä 9]]</f>
        <v>-110</v>
      </c>
      <c r="DP35" s="207">
        <f>Opv.kohd.[[#This Row],[Tavoitteelliset opiskelijavuodet yhteensä 12]]-Opv.kohd.[[#This Row],[Tavoitteelliset opiskelijavuodet yhteensä 9]]</f>
        <v>-1003</v>
      </c>
      <c r="DQ35" s="209">
        <f>IFERROR(Opv.kohd.[[#This Row],[Järjestämisluvan mukaiset 15]]/Opv.kohd.[[#This Row],[Järjestämisluvan mukaiset 9]],0)</f>
        <v>-1</v>
      </c>
      <c r="DR35" s="209">
        <f t="shared" si="10"/>
        <v>0</v>
      </c>
      <c r="DS35" s="209">
        <f t="shared" si="11"/>
        <v>0</v>
      </c>
      <c r="DT35" s="209">
        <f t="shared" si="12"/>
        <v>0</v>
      </c>
      <c r="DU35" s="209">
        <f t="shared" si="13"/>
        <v>0</v>
      </c>
      <c r="DV35" s="209">
        <f t="shared" si="14"/>
        <v>0</v>
      </c>
      <c r="DW35" s="209">
        <f t="shared" si="15"/>
        <v>0</v>
      </c>
      <c r="DX35" s="209">
        <f t="shared" si="16"/>
        <v>0</v>
      </c>
    </row>
    <row r="36" spans="1:128" x14ac:dyDescent="0.25">
      <c r="A36" s="204" t="e">
        <f>IF(INDEX(#REF!,ROW(36:36)-1,1)=0,"",INDEX(#REF!,ROW(36:36)-1,1))</f>
        <v>#REF!</v>
      </c>
      <c r="B36" s="205" t="str">
        <f>IFERROR(VLOOKUP(Opv.kohd.[[#This Row],[Y-tunnus]],'0 Järjestäjätiedot'!$A:$H,2,FALSE),"")</f>
        <v/>
      </c>
      <c r="C36" s="204" t="str">
        <f>IFERROR(VLOOKUP(Opv.kohd.[[#This Row],[Y-tunnus]],'0 Järjestäjätiedot'!$A:$H,COLUMN('0 Järjestäjätiedot'!D:D),FALSE),"")</f>
        <v/>
      </c>
      <c r="D36" s="204" t="str">
        <f>IFERROR(VLOOKUP(Opv.kohd.[[#This Row],[Y-tunnus]],'0 Järjestäjätiedot'!$A:$H,COLUMN('0 Järjestäjätiedot'!H:H),FALSE),"")</f>
        <v/>
      </c>
      <c r="E36" s="204">
        <f>IFERROR(VLOOKUP(Opv.kohd.[[#This Row],[Y-tunnus]],#REF!,COLUMN(#REF!),FALSE),0)</f>
        <v>0</v>
      </c>
      <c r="F36" s="204">
        <f>IFERROR(VLOOKUP(Opv.kohd.[[#This Row],[Y-tunnus]],#REF!,COLUMN(#REF!),FALSE),0)</f>
        <v>0</v>
      </c>
      <c r="G36" s="204">
        <f>IFERROR(VLOOKUP(Opv.kohd.[[#This Row],[Y-tunnus]],#REF!,COLUMN(#REF!),FALSE),0)</f>
        <v>0</v>
      </c>
      <c r="H36" s="204">
        <f>IFERROR(VLOOKUP(Opv.kohd.[[#This Row],[Y-tunnus]],#REF!,COLUMN(#REF!),FALSE),0)</f>
        <v>0</v>
      </c>
      <c r="I36" s="204">
        <f>IFERROR(VLOOKUP(Opv.kohd.[[#This Row],[Y-tunnus]],#REF!,COLUMN(#REF!),FALSE),0)</f>
        <v>0</v>
      </c>
      <c r="J36" s="204">
        <f>IFERROR(VLOOKUP(Opv.kohd.[[#This Row],[Y-tunnus]],#REF!,COLUMN(#REF!),FALSE),0)</f>
        <v>0</v>
      </c>
      <c r="K3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36" s="204">
        <f>Opv.kohd.[[#This Row],[Järjestämisluvan mukaiset 1]]+Opv.kohd.[[#This Row],[Yhteensä  1]]</f>
        <v>0</v>
      </c>
      <c r="M36" s="204">
        <f>IFERROR(VLOOKUP(Opv.kohd.[[#This Row],[Y-tunnus]],#REF!,COLUMN(#REF!),FALSE),0)</f>
        <v>0</v>
      </c>
      <c r="N36" s="204">
        <f>IFERROR(VLOOKUP(Opv.kohd.[[#This Row],[Y-tunnus]],#REF!,COLUMN(#REF!),FALSE),0)</f>
        <v>0</v>
      </c>
      <c r="O36" s="204">
        <f>IFERROR(VLOOKUP(Opv.kohd.[[#This Row],[Y-tunnus]],#REF!,COLUMN(#REF!),FALSE)+VLOOKUP(Opv.kohd.[[#This Row],[Y-tunnus]],#REF!,COLUMN(#REF!),FALSE),0)</f>
        <v>0</v>
      </c>
      <c r="P36" s="204">
        <f>Opv.kohd.[[#This Row],[Talousarvion perusteella kohdentamattomat]]+Opv.kohd.[[#This Row],[Talousarvion perusteella työvoimakoulutus 1]]+Opv.kohd.[[#This Row],[Lisätalousarvioiden perusteella]]</f>
        <v>0</v>
      </c>
      <c r="Q36" s="204">
        <f>IFERROR(VLOOKUP(Opv.kohd.[[#This Row],[Y-tunnus]],#REF!,COLUMN(#REF!),FALSE),0)</f>
        <v>0</v>
      </c>
      <c r="R36" s="210">
        <f>IFERROR(VLOOKUP(Opv.kohd.[[#This Row],[Y-tunnus]],#REF!,COLUMN(#REF!),FALSE)-(Opv.kohd.[[#This Row],[Kohdentamaton työvoima-koulutus 2]]+Opv.kohd.[[#This Row],[Maahan-muuttajien koulutus 2]]+Opv.kohd.[[#This Row],[Lisätalousarvioiden perusteella jaetut 2]]),0)</f>
        <v>0</v>
      </c>
      <c r="S36" s="210">
        <f>IFERROR(VLOOKUP(Opv.kohd.[[#This Row],[Y-tunnus]],#REF!,COLUMN(#REF!),FALSE)+VLOOKUP(Opv.kohd.[[#This Row],[Y-tunnus]],#REF!,COLUMN(#REF!),FALSE),0)</f>
        <v>0</v>
      </c>
      <c r="T36" s="210">
        <f>IFERROR(VLOOKUP(Opv.kohd.[[#This Row],[Y-tunnus]],#REF!,COLUMN(#REF!),FALSE)+VLOOKUP(Opv.kohd.[[#This Row],[Y-tunnus]],#REF!,COLUMN(#REF!),FALSE),0)</f>
        <v>0</v>
      </c>
      <c r="U3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36" s="210">
        <f>Opv.kohd.[[#This Row],[Kohdentamat-tomat 2]]+Opv.kohd.[[#This Row],[Kohdentamaton työvoima-koulutus 2]]+Opv.kohd.[[#This Row],[Maahan-muuttajien koulutus 2]]+Opv.kohd.[[#This Row],[Lisätalousarvioiden perusteella jaetut 2]]</f>
        <v>0</v>
      </c>
      <c r="W36" s="210">
        <f>Opv.kohd.[[#This Row],[Kohdentamat-tomat 2]]-(Opv.kohd.[[#This Row],[Järjestämisluvan mukaiset 1]]+Opv.kohd.[[#This Row],[Kohdentamat-tomat 1]]+Opv.kohd.[[#This Row],[Nuorisotyöt. väh. ja osaamistarp. vast., muu kuin työvoima-koulutus 1]]+Opv.kohd.[[#This Row],[Talousarvion perusteella kohdentamattomat]])</f>
        <v>0</v>
      </c>
      <c r="X36" s="210">
        <f>Opv.kohd.[[#This Row],[Kohdentamaton työvoima-koulutus 2]]-(Opv.kohd.[[#This Row],[Työvoima-koulutus 1]]+Opv.kohd.[[#This Row],[Nuorisotyöt. väh. ja osaamistarp. vast., työvoima-koulutus 1]]+Opv.kohd.[[#This Row],[Talousarvion perusteella työvoimakoulutus 1]])</f>
        <v>0</v>
      </c>
      <c r="Y36" s="210">
        <f>Opv.kohd.[[#This Row],[Maahan-muuttajien koulutus 2]]-Opv.kohd.[[#This Row],[Maahan-muuttajien koulutus 1]]</f>
        <v>0</v>
      </c>
      <c r="Z36" s="210">
        <f>Opv.kohd.[[#This Row],[Lisätalousarvioiden perusteella jaetut 2]]-Opv.kohd.[[#This Row],[Lisätalousarvioiden perusteella]]</f>
        <v>0</v>
      </c>
      <c r="AA36" s="210">
        <f>Opv.kohd.[[#This Row],[Toteutuneet opiskelijavuodet yhteensä 2]]-Opv.kohd.[[#This Row],[Vuoden 2018 tavoitteelliset opiskelijavuodet yhteensä 1]]</f>
        <v>0</v>
      </c>
      <c r="AB36" s="207">
        <f>IFERROR(VLOOKUP(Opv.kohd.[[#This Row],[Y-tunnus]],#REF!,3,FALSE),0)</f>
        <v>0</v>
      </c>
      <c r="AC36" s="207">
        <f>IFERROR(VLOOKUP(Opv.kohd.[[#This Row],[Y-tunnus]],#REF!,4,FALSE),0)</f>
        <v>0</v>
      </c>
      <c r="AD36" s="207">
        <f>IFERROR(VLOOKUP(Opv.kohd.[[#This Row],[Y-tunnus]],#REF!,5,FALSE),0)</f>
        <v>0</v>
      </c>
      <c r="AE36" s="207">
        <f>IFERROR(VLOOKUP(Opv.kohd.[[#This Row],[Y-tunnus]],#REF!,6,FALSE),0)</f>
        <v>0</v>
      </c>
      <c r="AF36" s="207">
        <f>IFERROR(VLOOKUP(Opv.kohd.[[#This Row],[Y-tunnus]],#REF!,7,FALSE),0)</f>
        <v>0</v>
      </c>
      <c r="AG36" s="207">
        <f>IFERROR(VLOOKUP(Opv.kohd.[[#This Row],[Y-tunnus]],#REF!,8,FALSE),0)</f>
        <v>0</v>
      </c>
      <c r="AH36" s="207">
        <f>IFERROR(VLOOKUP(Opv.kohd.[[#This Row],[Y-tunnus]],#REF!,9,FALSE),0)</f>
        <v>0</v>
      </c>
      <c r="AI36" s="207">
        <f>IFERROR(VLOOKUP(Opv.kohd.[[#This Row],[Y-tunnus]],#REF!,10,FALSE),0)</f>
        <v>0</v>
      </c>
      <c r="AJ36" s="204">
        <f>Opv.kohd.[[#This Row],[Järjestämisluvan mukaiset 4]]-Opv.kohd.[[#This Row],[Järjestämisluvan mukaiset 1]]</f>
        <v>0</v>
      </c>
      <c r="AK36" s="204">
        <f>Opv.kohd.[[#This Row],[Kohdentamat-tomat 4]]-Opv.kohd.[[#This Row],[Kohdentamat-tomat 1]]</f>
        <v>0</v>
      </c>
      <c r="AL36" s="204">
        <f>Opv.kohd.[[#This Row],[Työvoima-koulutus 4]]-Opv.kohd.[[#This Row],[Työvoima-koulutus 1]]</f>
        <v>0</v>
      </c>
      <c r="AM36" s="204">
        <f>Opv.kohd.[[#This Row],[Maahan-muuttajien koulutus 4]]-Opv.kohd.[[#This Row],[Maahan-muuttajien koulutus 1]]</f>
        <v>0</v>
      </c>
      <c r="AN36" s="204">
        <f>Opv.kohd.[[#This Row],[Nuorisotyöt. väh. ja osaamistarp. vast., muu kuin työvoima-koulutus 4]]-Opv.kohd.[[#This Row],[Nuorisotyöt. väh. ja osaamistarp. vast., muu kuin työvoima-koulutus 1]]</f>
        <v>0</v>
      </c>
      <c r="AO36" s="204">
        <f>Opv.kohd.[[#This Row],[Nuorisotyöt. väh. ja osaamistarp. vast., työvoima-koulutus 4]]-Opv.kohd.[[#This Row],[Nuorisotyöt. väh. ja osaamistarp. vast., työvoima-koulutus 1]]</f>
        <v>0</v>
      </c>
      <c r="AP36" s="204">
        <f>Opv.kohd.[[#This Row],[Yhteensä 4]]-Opv.kohd.[[#This Row],[Yhteensä  1]]</f>
        <v>0</v>
      </c>
      <c r="AQ36" s="204">
        <f>Opv.kohd.[[#This Row],[Ensikertaisella suoritepäätöksellä jaetut tavoitteelliset opiskelijavuodet yhteensä 4]]-Opv.kohd.[[#This Row],[Ensikertaisella suoritepäätöksellä jaetut tavoitteelliset opiskelijavuodet yhteensä 1]]</f>
        <v>0</v>
      </c>
      <c r="AR36" s="208">
        <f>IFERROR(Opv.kohd.[[#This Row],[Järjestämisluvan mukaiset 5]]/Opv.kohd.[[#This Row],[Järjestämisluvan mukaiset 4]],0)</f>
        <v>0</v>
      </c>
      <c r="AS36" s="208">
        <f>IFERROR(Opv.kohd.[[#This Row],[Kohdentamat-tomat 5]]/Opv.kohd.[[#This Row],[Kohdentamat-tomat 4]],0)</f>
        <v>0</v>
      </c>
      <c r="AT36" s="208">
        <f>IFERROR(Opv.kohd.[[#This Row],[Työvoima-koulutus 5]]/Opv.kohd.[[#This Row],[Työvoima-koulutus 4]],0)</f>
        <v>0</v>
      </c>
      <c r="AU36" s="208">
        <f>IFERROR(Opv.kohd.[[#This Row],[Maahan-muuttajien koulutus 5]]/Opv.kohd.[[#This Row],[Maahan-muuttajien koulutus 4]],0)</f>
        <v>0</v>
      </c>
      <c r="AV36" s="208">
        <f>IFERROR(Opv.kohd.[[#This Row],[Nuorisotyöt. väh. ja osaamistarp. vast., muu kuin työvoima-koulutus 5]]/Opv.kohd.[[#This Row],[Nuorisotyöt. väh. ja osaamistarp. vast., muu kuin työvoima-koulutus 4]],0)</f>
        <v>0</v>
      </c>
      <c r="AW36" s="208">
        <f>IFERROR(Opv.kohd.[[#This Row],[Nuorisotyöt. väh. ja osaamistarp. vast., työvoima-koulutus 5]]/Opv.kohd.[[#This Row],[Nuorisotyöt. väh. ja osaamistarp. vast., työvoima-koulutus 4]],0)</f>
        <v>0</v>
      </c>
      <c r="AX36" s="208">
        <f>IFERROR(Opv.kohd.[[#This Row],[Yhteensä 5]]/Opv.kohd.[[#This Row],[Yhteensä 4]],0)</f>
        <v>0</v>
      </c>
      <c r="AY36" s="208">
        <f>IFERROR(Opv.kohd.[[#This Row],[Ensikertaisella suoritepäätöksellä jaetut tavoitteelliset opiskelijavuodet yhteensä 5]]/Opv.kohd.[[#This Row],[Ensikertaisella suoritepäätöksellä jaetut tavoitteelliset opiskelijavuodet yhteensä 4]],0)</f>
        <v>0</v>
      </c>
      <c r="AZ36" s="207">
        <f>Opv.kohd.[[#This Row],[Yhteensä 7a]]-Opv.kohd.[[#This Row],[Työvoima-koulutus 7a]]</f>
        <v>0</v>
      </c>
      <c r="BA36" s="207">
        <f>IFERROR(VLOOKUP(Opv.kohd.[[#This Row],[Y-tunnus]],#REF!,COLUMN(#REF!),FALSE),0)</f>
        <v>0</v>
      </c>
      <c r="BB36" s="207">
        <f>IFERROR(VLOOKUP(Opv.kohd.[[#This Row],[Y-tunnus]],#REF!,COLUMN(#REF!),FALSE),0)</f>
        <v>0</v>
      </c>
      <c r="BC36" s="207">
        <f>Opv.kohd.[[#This Row],[Muu kuin työvoima-koulutus 7c]]-Opv.kohd.[[#This Row],[Muu kuin työvoima-koulutus 7a]]</f>
        <v>0</v>
      </c>
      <c r="BD36" s="207">
        <f>Opv.kohd.[[#This Row],[Työvoima-koulutus 7c]]-Opv.kohd.[[#This Row],[Työvoima-koulutus 7a]]</f>
        <v>0</v>
      </c>
      <c r="BE36" s="207">
        <f>Opv.kohd.[[#This Row],[Yhteensä 7c]]-Opv.kohd.[[#This Row],[Yhteensä 7a]]</f>
        <v>0</v>
      </c>
      <c r="BF36" s="207">
        <f>Opv.kohd.[[#This Row],[Yhteensä 7c]]-Opv.kohd.[[#This Row],[Työvoima-koulutus 7c]]</f>
        <v>0</v>
      </c>
      <c r="BG36" s="207">
        <f>IFERROR(VLOOKUP(Opv.kohd.[[#This Row],[Y-tunnus]],#REF!,COLUMN(#REF!),FALSE),0)</f>
        <v>0</v>
      </c>
      <c r="BH36" s="207">
        <f>IFERROR(VLOOKUP(Opv.kohd.[[#This Row],[Y-tunnus]],#REF!,COLUMN(#REF!),FALSE),0)</f>
        <v>0</v>
      </c>
      <c r="BI36" s="207">
        <f>IFERROR(VLOOKUP(Opv.kohd.[[#This Row],[Y-tunnus]],#REF!,COLUMN(#REF!),FALSE),0)</f>
        <v>0</v>
      </c>
      <c r="BJ36" s="207">
        <f>IFERROR(VLOOKUP(Opv.kohd.[[#This Row],[Y-tunnus]],#REF!,COLUMN(#REF!),FALSE),0)</f>
        <v>0</v>
      </c>
      <c r="BK36" s="207">
        <f>Opv.kohd.[[#This Row],[Muu kuin työvoima-koulutus 7d]]+Opv.kohd.[[#This Row],[Työvoima-koulutus 7d]]</f>
        <v>0</v>
      </c>
      <c r="BL36" s="207">
        <f>Opv.kohd.[[#This Row],[Muu kuin työvoima-koulutus 7c]]-Opv.kohd.[[#This Row],[Muu kuin työvoima-koulutus 7d]]</f>
        <v>0</v>
      </c>
      <c r="BM36" s="207">
        <f>Opv.kohd.[[#This Row],[Työvoima-koulutus 7c]]-Opv.kohd.[[#This Row],[Työvoima-koulutus 7d]]</f>
        <v>0</v>
      </c>
      <c r="BN36" s="207">
        <f>Opv.kohd.[[#This Row],[Yhteensä 7c]]-Opv.kohd.[[#This Row],[Yhteensä 7d]]</f>
        <v>0</v>
      </c>
      <c r="BO36" s="207">
        <f>Opv.kohd.[[#This Row],[Muu kuin työvoima-koulutus 7e]]-(Opv.kohd.[[#This Row],[Järjestämisluvan mukaiset 4]]+Opv.kohd.[[#This Row],[Kohdentamat-tomat 4]]+Opv.kohd.[[#This Row],[Maahan-muuttajien koulutus 4]]+Opv.kohd.[[#This Row],[Nuorisotyöt. väh. ja osaamistarp. vast., muu kuin työvoima-koulutus 4]])</f>
        <v>0</v>
      </c>
      <c r="BP36" s="207">
        <f>Opv.kohd.[[#This Row],[Työvoima-koulutus 7e]]-(Opv.kohd.[[#This Row],[Työvoima-koulutus 4]]+Opv.kohd.[[#This Row],[Nuorisotyöt. väh. ja osaamistarp. vast., työvoima-koulutus 4]])</f>
        <v>0</v>
      </c>
      <c r="BQ36" s="207">
        <f>Opv.kohd.[[#This Row],[Yhteensä 7e]]-Opv.kohd.[[#This Row],[Ensikertaisella suoritepäätöksellä jaetut tavoitteelliset opiskelijavuodet yhteensä 4]]</f>
        <v>0</v>
      </c>
      <c r="BR36" s="263">
        <v>36</v>
      </c>
      <c r="BS36" s="263">
        <v>3</v>
      </c>
      <c r="BT36" s="263">
        <v>0</v>
      </c>
      <c r="BU36" s="263">
        <v>10</v>
      </c>
      <c r="BV36" s="263">
        <v>3</v>
      </c>
      <c r="BW36" s="263">
        <v>0</v>
      </c>
      <c r="BX36" s="263">
        <v>16</v>
      </c>
      <c r="BY36" s="263">
        <v>52</v>
      </c>
      <c r="BZ36" s="207">
        <f t="shared" si="2"/>
        <v>36</v>
      </c>
      <c r="CA36" s="207">
        <f t="shared" si="3"/>
        <v>3</v>
      </c>
      <c r="CB36" s="207">
        <f t="shared" si="4"/>
        <v>0</v>
      </c>
      <c r="CC36" s="207">
        <f t="shared" si="5"/>
        <v>10</v>
      </c>
      <c r="CD36" s="207">
        <f t="shared" si="6"/>
        <v>3</v>
      </c>
      <c r="CE36" s="207">
        <f t="shared" si="7"/>
        <v>0</v>
      </c>
      <c r="CF36" s="207">
        <f t="shared" si="8"/>
        <v>16</v>
      </c>
      <c r="CG36" s="207">
        <f t="shared" si="9"/>
        <v>52</v>
      </c>
      <c r="CH36" s="207">
        <f>Opv.kohd.[[#This Row],[Tavoitteelliset opiskelijavuodet yhteensä 9]]-Opv.kohd.[[#This Row],[Työvoima-koulutus 9]]-Opv.kohd.[[#This Row],[Nuorisotyöt. väh. ja osaamistarp. vast., työvoima-koulutus 9]]-Opv.kohd.[[#This Row],[Muu kuin työvoima-koulutus 7e]]</f>
        <v>52</v>
      </c>
      <c r="CI36" s="207">
        <f>(Opv.kohd.[[#This Row],[Työvoima-koulutus 9]]+Opv.kohd.[[#This Row],[Nuorisotyöt. väh. ja osaamistarp. vast., työvoima-koulutus 9]])-Opv.kohd.[[#This Row],[Työvoima-koulutus 7e]]</f>
        <v>0</v>
      </c>
      <c r="CJ36" s="207">
        <f>Opv.kohd.[[#This Row],[Tavoitteelliset opiskelijavuodet yhteensä 9]]-Opv.kohd.[[#This Row],[Yhteensä 7e]]</f>
        <v>52</v>
      </c>
      <c r="CK36" s="207">
        <f>Opv.kohd.[[#This Row],[Järjestämisluvan mukaiset 4]]+Opv.kohd.[[#This Row],[Järjestämisluvan mukaiset 13]]</f>
        <v>0</v>
      </c>
      <c r="CL36" s="207">
        <f>Opv.kohd.[[#This Row],[Kohdentamat-tomat 4]]+Opv.kohd.[[#This Row],[Kohdentamat-tomat 13]]</f>
        <v>0</v>
      </c>
      <c r="CM36" s="207">
        <f>Opv.kohd.[[#This Row],[Työvoima-koulutus 4]]+Opv.kohd.[[#This Row],[Työvoima-koulutus 13]]</f>
        <v>0</v>
      </c>
      <c r="CN36" s="207">
        <f>Opv.kohd.[[#This Row],[Maahan-muuttajien koulutus 4]]+Opv.kohd.[[#This Row],[Maahan-muuttajien koulutus 13]]</f>
        <v>0</v>
      </c>
      <c r="CO36" s="207">
        <f>Opv.kohd.[[#This Row],[Nuorisotyöt. väh. ja osaamistarp. vast., muu kuin työvoima-koulutus 4]]+Opv.kohd.[[#This Row],[Nuorisotyöt. väh. ja osaamistarp. vast., muu kuin työvoima-koulutus 13]]</f>
        <v>0</v>
      </c>
      <c r="CP36" s="207">
        <f>Opv.kohd.[[#This Row],[Nuorisotyöt. väh. ja osaamistarp. vast., työvoima-koulutus 4]]+Opv.kohd.[[#This Row],[Nuorisotyöt. väh. ja osaamistarp. vast., työvoima-koulutus 13]]</f>
        <v>0</v>
      </c>
      <c r="CQ36" s="207">
        <f>Opv.kohd.[[#This Row],[Yhteensä 4]]+Opv.kohd.[[#This Row],[Yhteensä 13]]</f>
        <v>0</v>
      </c>
      <c r="CR36" s="207">
        <f>Opv.kohd.[[#This Row],[Ensikertaisella suoritepäätöksellä jaetut tavoitteelliset opiskelijavuodet yhteensä 4]]+Opv.kohd.[[#This Row],[Tavoitteelliset opiskelijavuodet yhteensä 13]]</f>
        <v>0</v>
      </c>
      <c r="CS36" s="120">
        <v>0</v>
      </c>
      <c r="CT36" s="120">
        <v>0</v>
      </c>
      <c r="CU36" s="120">
        <v>0</v>
      </c>
      <c r="CV36" s="120">
        <v>0</v>
      </c>
      <c r="CW36" s="120">
        <v>0</v>
      </c>
      <c r="CX36" s="120">
        <v>0</v>
      </c>
      <c r="CY36" s="120">
        <v>0</v>
      </c>
      <c r="CZ36" s="120">
        <v>0</v>
      </c>
      <c r="DA36" s="209">
        <f>IFERROR(Opv.kohd.[[#This Row],[Järjestämisluvan mukaiset 13]]/Opv.kohd.[[#This Row],[Järjestämisluvan mukaiset 12]],0)</f>
        <v>0</v>
      </c>
      <c r="DB36" s="209">
        <f>IFERROR(Opv.kohd.[[#This Row],[Kohdentamat-tomat 13]]/Opv.kohd.[[#This Row],[Kohdentamat-tomat 12]],0)</f>
        <v>0</v>
      </c>
      <c r="DC36" s="209">
        <f>IFERROR(Opv.kohd.[[#This Row],[Työvoima-koulutus 13]]/Opv.kohd.[[#This Row],[Työvoima-koulutus 12]],0)</f>
        <v>0</v>
      </c>
      <c r="DD36" s="209">
        <f>IFERROR(Opv.kohd.[[#This Row],[Maahan-muuttajien koulutus 13]]/Opv.kohd.[[#This Row],[Maahan-muuttajien koulutus 12]],0)</f>
        <v>0</v>
      </c>
      <c r="DE36" s="209">
        <f>IFERROR(Opv.kohd.[[#This Row],[Nuorisotyöt. väh. ja osaamistarp. vast., muu kuin työvoima-koulutus 13]]/Opv.kohd.[[#This Row],[Nuorisotyöt. väh. ja osaamistarp. vast., muu kuin työvoima-koulutus 12]],0)</f>
        <v>0</v>
      </c>
      <c r="DF36" s="209">
        <f>IFERROR(Opv.kohd.[[#This Row],[Nuorisotyöt. väh. ja osaamistarp. vast., työvoima-koulutus 13]]/Opv.kohd.[[#This Row],[Nuorisotyöt. väh. ja osaamistarp. vast., työvoima-koulutus 12]],0)</f>
        <v>0</v>
      </c>
      <c r="DG36" s="209">
        <f>IFERROR(Opv.kohd.[[#This Row],[Yhteensä 13]]/Opv.kohd.[[#This Row],[Yhteensä 12]],0)</f>
        <v>0</v>
      </c>
      <c r="DH36" s="209">
        <f>IFERROR(Opv.kohd.[[#This Row],[Tavoitteelliset opiskelijavuodet yhteensä 13]]/Opv.kohd.[[#This Row],[Tavoitteelliset opiskelijavuodet yhteensä 12]],0)</f>
        <v>0</v>
      </c>
      <c r="DI36" s="207">
        <f>Opv.kohd.[[#This Row],[Järjestämisluvan mukaiset 12]]-Opv.kohd.[[#This Row],[Järjestämisluvan mukaiset 9]]</f>
        <v>-36</v>
      </c>
      <c r="DJ36" s="207">
        <f>Opv.kohd.[[#This Row],[Kohdentamat-tomat 12]]-Opv.kohd.[[#This Row],[Kohdentamat-tomat 9]]</f>
        <v>-3</v>
      </c>
      <c r="DK36" s="207">
        <f>Opv.kohd.[[#This Row],[Työvoima-koulutus 12]]-Opv.kohd.[[#This Row],[Työvoima-koulutus 9]]</f>
        <v>0</v>
      </c>
      <c r="DL36" s="207">
        <f>Opv.kohd.[[#This Row],[Maahan-muuttajien koulutus 12]]-Opv.kohd.[[#This Row],[Maahan-muuttajien koulutus 9]]</f>
        <v>-10</v>
      </c>
      <c r="DM36" s="207">
        <f>Opv.kohd.[[#This Row],[Nuorisotyöt. väh. ja osaamistarp. vast., muu kuin työvoima-koulutus 12]]-Opv.kohd.[[#This Row],[Nuorisotyöt. väh. ja osaamistarp. vast., muu kuin työvoima-koulutus 9]]</f>
        <v>-3</v>
      </c>
      <c r="DN36" s="207">
        <f>Opv.kohd.[[#This Row],[Nuorisotyöt. väh. ja osaamistarp. vast., työvoima-koulutus 12]]-Opv.kohd.[[#This Row],[Nuorisotyöt. väh. ja osaamistarp. vast., työvoima-koulutus 9]]</f>
        <v>0</v>
      </c>
      <c r="DO36" s="207">
        <f>Opv.kohd.[[#This Row],[Yhteensä 12]]-Opv.kohd.[[#This Row],[Yhteensä 9]]</f>
        <v>-16</v>
      </c>
      <c r="DP36" s="207">
        <f>Opv.kohd.[[#This Row],[Tavoitteelliset opiskelijavuodet yhteensä 12]]-Opv.kohd.[[#This Row],[Tavoitteelliset opiskelijavuodet yhteensä 9]]</f>
        <v>-52</v>
      </c>
      <c r="DQ36" s="209">
        <f>IFERROR(Opv.kohd.[[#This Row],[Järjestämisluvan mukaiset 15]]/Opv.kohd.[[#This Row],[Järjestämisluvan mukaiset 9]],0)</f>
        <v>-1</v>
      </c>
      <c r="DR36" s="209">
        <f t="shared" si="10"/>
        <v>0</v>
      </c>
      <c r="DS36" s="209">
        <f t="shared" si="11"/>
        <v>0</v>
      </c>
      <c r="DT36" s="209">
        <f t="shared" si="12"/>
        <v>0</v>
      </c>
      <c r="DU36" s="209">
        <f t="shared" si="13"/>
        <v>0</v>
      </c>
      <c r="DV36" s="209">
        <f t="shared" si="14"/>
        <v>0</v>
      </c>
      <c r="DW36" s="209">
        <f t="shared" si="15"/>
        <v>0</v>
      </c>
      <c r="DX36" s="209">
        <f t="shared" si="16"/>
        <v>0</v>
      </c>
    </row>
    <row r="37" spans="1:128" x14ac:dyDescent="0.25">
      <c r="A37" s="204" t="e">
        <f>IF(INDEX(#REF!,ROW(37:37)-1,1)=0,"",INDEX(#REF!,ROW(37:37)-1,1))</f>
        <v>#REF!</v>
      </c>
      <c r="B37" s="205" t="str">
        <f>IFERROR(VLOOKUP(Opv.kohd.[[#This Row],[Y-tunnus]],'0 Järjestäjätiedot'!$A:$H,2,FALSE),"")</f>
        <v/>
      </c>
      <c r="C37" s="204" t="str">
        <f>IFERROR(VLOOKUP(Opv.kohd.[[#This Row],[Y-tunnus]],'0 Järjestäjätiedot'!$A:$H,COLUMN('0 Järjestäjätiedot'!D:D),FALSE),"")</f>
        <v/>
      </c>
      <c r="D37" s="204" t="str">
        <f>IFERROR(VLOOKUP(Opv.kohd.[[#This Row],[Y-tunnus]],'0 Järjestäjätiedot'!$A:$H,COLUMN('0 Järjestäjätiedot'!H:H),FALSE),"")</f>
        <v/>
      </c>
      <c r="E37" s="204">
        <f>IFERROR(VLOOKUP(Opv.kohd.[[#This Row],[Y-tunnus]],#REF!,COLUMN(#REF!),FALSE),0)</f>
        <v>0</v>
      </c>
      <c r="F37" s="204">
        <f>IFERROR(VLOOKUP(Opv.kohd.[[#This Row],[Y-tunnus]],#REF!,COLUMN(#REF!),FALSE),0)</f>
        <v>0</v>
      </c>
      <c r="G37" s="204">
        <f>IFERROR(VLOOKUP(Opv.kohd.[[#This Row],[Y-tunnus]],#REF!,COLUMN(#REF!),FALSE),0)</f>
        <v>0</v>
      </c>
      <c r="H37" s="204">
        <f>IFERROR(VLOOKUP(Opv.kohd.[[#This Row],[Y-tunnus]],#REF!,COLUMN(#REF!),FALSE),0)</f>
        <v>0</v>
      </c>
      <c r="I37" s="204">
        <f>IFERROR(VLOOKUP(Opv.kohd.[[#This Row],[Y-tunnus]],#REF!,COLUMN(#REF!),FALSE),0)</f>
        <v>0</v>
      </c>
      <c r="J37" s="204">
        <f>IFERROR(VLOOKUP(Opv.kohd.[[#This Row],[Y-tunnus]],#REF!,COLUMN(#REF!),FALSE),0)</f>
        <v>0</v>
      </c>
      <c r="K3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37" s="204">
        <f>Opv.kohd.[[#This Row],[Järjestämisluvan mukaiset 1]]+Opv.kohd.[[#This Row],[Yhteensä  1]]</f>
        <v>0</v>
      </c>
      <c r="M37" s="204">
        <f>IFERROR(VLOOKUP(Opv.kohd.[[#This Row],[Y-tunnus]],#REF!,COLUMN(#REF!),FALSE),0)</f>
        <v>0</v>
      </c>
      <c r="N37" s="204">
        <f>IFERROR(VLOOKUP(Opv.kohd.[[#This Row],[Y-tunnus]],#REF!,COLUMN(#REF!),FALSE),0)</f>
        <v>0</v>
      </c>
      <c r="O37" s="204">
        <f>IFERROR(VLOOKUP(Opv.kohd.[[#This Row],[Y-tunnus]],#REF!,COLUMN(#REF!),FALSE)+VLOOKUP(Opv.kohd.[[#This Row],[Y-tunnus]],#REF!,COLUMN(#REF!),FALSE),0)</f>
        <v>0</v>
      </c>
      <c r="P37" s="204">
        <f>Opv.kohd.[[#This Row],[Talousarvion perusteella kohdentamattomat]]+Opv.kohd.[[#This Row],[Talousarvion perusteella työvoimakoulutus 1]]+Opv.kohd.[[#This Row],[Lisätalousarvioiden perusteella]]</f>
        <v>0</v>
      </c>
      <c r="Q37" s="204">
        <f>IFERROR(VLOOKUP(Opv.kohd.[[#This Row],[Y-tunnus]],#REF!,COLUMN(#REF!),FALSE),0)</f>
        <v>0</v>
      </c>
      <c r="R37" s="210">
        <f>IFERROR(VLOOKUP(Opv.kohd.[[#This Row],[Y-tunnus]],#REF!,COLUMN(#REF!),FALSE)-(Opv.kohd.[[#This Row],[Kohdentamaton työvoima-koulutus 2]]+Opv.kohd.[[#This Row],[Maahan-muuttajien koulutus 2]]+Opv.kohd.[[#This Row],[Lisätalousarvioiden perusteella jaetut 2]]),0)</f>
        <v>0</v>
      </c>
      <c r="S37" s="210">
        <f>IFERROR(VLOOKUP(Opv.kohd.[[#This Row],[Y-tunnus]],#REF!,COLUMN(#REF!),FALSE)+VLOOKUP(Opv.kohd.[[#This Row],[Y-tunnus]],#REF!,COLUMN(#REF!),FALSE),0)</f>
        <v>0</v>
      </c>
      <c r="T37" s="210">
        <f>IFERROR(VLOOKUP(Opv.kohd.[[#This Row],[Y-tunnus]],#REF!,COLUMN(#REF!),FALSE)+VLOOKUP(Opv.kohd.[[#This Row],[Y-tunnus]],#REF!,COLUMN(#REF!),FALSE),0)</f>
        <v>0</v>
      </c>
      <c r="U3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37" s="210">
        <f>Opv.kohd.[[#This Row],[Kohdentamat-tomat 2]]+Opv.kohd.[[#This Row],[Kohdentamaton työvoima-koulutus 2]]+Opv.kohd.[[#This Row],[Maahan-muuttajien koulutus 2]]+Opv.kohd.[[#This Row],[Lisätalousarvioiden perusteella jaetut 2]]</f>
        <v>0</v>
      </c>
      <c r="W37" s="210">
        <f>Opv.kohd.[[#This Row],[Kohdentamat-tomat 2]]-(Opv.kohd.[[#This Row],[Järjestämisluvan mukaiset 1]]+Opv.kohd.[[#This Row],[Kohdentamat-tomat 1]]+Opv.kohd.[[#This Row],[Nuorisotyöt. väh. ja osaamistarp. vast., muu kuin työvoima-koulutus 1]]+Opv.kohd.[[#This Row],[Talousarvion perusteella kohdentamattomat]])</f>
        <v>0</v>
      </c>
      <c r="X37" s="210">
        <f>Opv.kohd.[[#This Row],[Kohdentamaton työvoima-koulutus 2]]-(Opv.kohd.[[#This Row],[Työvoima-koulutus 1]]+Opv.kohd.[[#This Row],[Nuorisotyöt. väh. ja osaamistarp. vast., työvoima-koulutus 1]]+Opv.kohd.[[#This Row],[Talousarvion perusteella työvoimakoulutus 1]])</f>
        <v>0</v>
      </c>
      <c r="Y37" s="210">
        <f>Opv.kohd.[[#This Row],[Maahan-muuttajien koulutus 2]]-Opv.kohd.[[#This Row],[Maahan-muuttajien koulutus 1]]</f>
        <v>0</v>
      </c>
      <c r="Z37" s="210">
        <f>Opv.kohd.[[#This Row],[Lisätalousarvioiden perusteella jaetut 2]]-Opv.kohd.[[#This Row],[Lisätalousarvioiden perusteella]]</f>
        <v>0</v>
      </c>
      <c r="AA37" s="210">
        <f>Opv.kohd.[[#This Row],[Toteutuneet opiskelijavuodet yhteensä 2]]-Opv.kohd.[[#This Row],[Vuoden 2018 tavoitteelliset opiskelijavuodet yhteensä 1]]</f>
        <v>0</v>
      </c>
      <c r="AB37" s="207">
        <f>IFERROR(VLOOKUP(Opv.kohd.[[#This Row],[Y-tunnus]],#REF!,3,FALSE),0)</f>
        <v>0</v>
      </c>
      <c r="AC37" s="207">
        <f>IFERROR(VLOOKUP(Opv.kohd.[[#This Row],[Y-tunnus]],#REF!,4,FALSE),0)</f>
        <v>0</v>
      </c>
      <c r="AD37" s="207">
        <f>IFERROR(VLOOKUP(Opv.kohd.[[#This Row],[Y-tunnus]],#REF!,5,FALSE),0)</f>
        <v>0</v>
      </c>
      <c r="AE37" s="207">
        <f>IFERROR(VLOOKUP(Opv.kohd.[[#This Row],[Y-tunnus]],#REF!,6,FALSE),0)</f>
        <v>0</v>
      </c>
      <c r="AF37" s="207">
        <f>IFERROR(VLOOKUP(Opv.kohd.[[#This Row],[Y-tunnus]],#REF!,7,FALSE),0)</f>
        <v>0</v>
      </c>
      <c r="AG37" s="207">
        <f>IFERROR(VLOOKUP(Opv.kohd.[[#This Row],[Y-tunnus]],#REF!,8,FALSE),0)</f>
        <v>0</v>
      </c>
      <c r="AH37" s="207">
        <f>IFERROR(VLOOKUP(Opv.kohd.[[#This Row],[Y-tunnus]],#REF!,9,FALSE),0)</f>
        <v>0</v>
      </c>
      <c r="AI37" s="207">
        <f>IFERROR(VLOOKUP(Opv.kohd.[[#This Row],[Y-tunnus]],#REF!,10,FALSE),0)</f>
        <v>0</v>
      </c>
      <c r="AJ37" s="204">
        <f>Opv.kohd.[[#This Row],[Järjestämisluvan mukaiset 4]]-Opv.kohd.[[#This Row],[Järjestämisluvan mukaiset 1]]</f>
        <v>0</v>
      </c>
      <c r="AK37" s="204">
        <f>Opv.kohd.[[#This Row],[Kohdentamat-tomat 4]]-Opv.kohd.[[#This Row],[Kohdentamat-tomat 1]]</f>
        <v>0</v>
      </c>
      <c r="AL37" s="204">
        <f>Opv.kohd.[[#This Row],[Työvoima-koulutus 4]]-Opv.kohd.[[#This Row],[Työvoima-koulutus 1]]</f>
        <v>0</v>
      </c>
      <c r="AM37" s="204">
        <f>Opv.kohd.[[#This Row],[Maahan-muuttajien koulutus 4]]-Opv.kohd.[[#This Row],[Maahan-muuttajien koulutus 1]]</f>
        <v>0</v>
      </c>
      <c r="AN37" s="204">
        <f>Opv.kohd.[[#This Row],[Nuorisotyöt. väh. ja osaamistarp. vast., muu kuin työvoima-koulutus 4]]-Opv.kohd.[[#This Row],[Nuorisotyöt. väh. ja osaamistarp. vast., muu kuin työvoima-koulutus 1]]</f>
        <v>0</v>
      </c>
      <c r="AO37" s="204">
        <f>Opv.kohd.[[#This Row],[Nuorisotyöt. väh. ja osaamistarp. vast., työvoima-koulutus 4]]-Opv.kohd.[[#This Row],[Nuorisotyöt. väh. ja osaamistarp. vast., työvoima-koulutus 1]]</f>
        <v>0</v>
      </c>
      <c r="AP37" s="204">
        <f>Opv.kohd.[[#This Row],[Yhteensä 4]]-Opv.kohd.[[#This Row],[Yhteensä  1]]</f>
        <v>0</v>
      </c>
      <c r="AQ37" s="204">
        <f>Opv.kohd.[[#This Row],[Ensikertaisella suoritepäätöksellä jaetut tavoitteelliset opiskelijavuodet yhteensä 4]]-Opv.kohd.[[#This Row],[Ensikertaisella suoritepäätöksellä jaetut tavoitteelliset opiskelijavuodet yhteensä 1]]</f>
        <v>0</v>
      </c>
      <c r="AR37" s="208">
        <f>IFERROR(Opv.kohd.[[#This Row],[Järjestämisluvan mukaiset 5]]/Opv.kohd.[[#This Row],[Järjestämisluvan mukaiset 4]],0)</f>
        <v>0</v>
      </c>
      <c r="AS37" s="208">
        <f>IFERROR(Opv.kohd.[[#This Row],[Kohdentamat-tomat 5]]/Opv.kohd.[[#This Row],[Kohdentamat-tomat 4]],0)</f>
        <v>0</v>
      </c>
      <c r="AT37" s="208">
        <f>IFERROR(Opv.kohd.[[#This Row],[Työvoima-koulutus 5]]/Opv.kohd.[[#This Row],[Työvoima-koulutus 4]],0)</f>
        <v>0</v>
      </c>
      <c r="AU37" s="208">
        <f>IFERROR(Opv.kohd.[[#This Row],[Maahan-muuttajien koulutus 5]]/Opv.kohd.[[#This Row],[Maahan-muuttajien koulutus 4]],0)</f>
        <v>0</v>
      </c>
      <c r="AV37" s="208">
        <f>IFERROR(Opv.kohd.[[#This Row],[Nuorisotyöt. väh. ja osaamistarp. vast., muu kuin työvoima-koulutus 5]]/Opv.kohd.[[#This Row],[Nuorisotyöt. väh. ja osaamistarp. vast., muu kuin työvoima-koulutus 4]],0)</f>
        <v>0</v>
      </c>
      <c r="AW37" s="208">
        <f>IFERROR(Opv.kohd.[[#This Row],[Nuorisotyöt. väh. ja osaamistarp. vast., työvoima-koulutus 5]]/Opv.kohd.[[#This Row],[Nuorisotyöt. väh. ja osaamistarp. vast., työvoima-koulutus 4]],0)</f>
        <v>0</v>
      </c>
      <c r="AX37" s="208">
        <f>IFERROR(Opv.kohd.[[#This Row],[Yhteensä 5]]/Opv.kohd.[[#This Row],[Yhteensä 4]],0)</f>
        <v>0</v>
      </c>
      <c r="AY37" s="208">
        <f>IFERROR(Opv.kohd.[[#This Row],[Ensikertaisella suoritepäätöksellä jaetut tavoitteelliset opiskelijavuodet yhteensä 5]]/Opv.kohd.[[#This Row],[Ensikertaisella suoritepäätöksellä jaetut tavoitteelliset opiskelijavuodet yhteensä 4]],0)</f>
        <v>0</v>
      </c>
      <c r="AZ37" s="207">
        <f>Opv.kohd.[[#This Row],[Yhteensä 7a]]-Opv.kohd.[[#This Row],[Työvoima-koulutus 7a]]</f>
        <v>0</v>
      </c>
      <c r="BA37" s="207">
        <f>IFERROR(VLOOKUP(Opv.kohd.[[#This Row],[Y-tunnus]],#REF!,COLUMN(#REF!),FALSE),0)</f>
        <v>0</v>
      </c>
      <c r="BB37" s="207">
        <f>IFERROR(VLOOKUP(Opv.kohd.[[#This Row],[Y-tunnus]],#REF!,COLUMN(#REF!),FALSE),0)</f>
        <v>0</v>
      </c>
      <c r="BC37" s="207">
        <f>Opv.kohd.[[#This Row],[Muu kuin työvoima-koulutus 7c]]-Opv.kohd.[[#This Row],[Muu kuin työvoima-koulutus 7a]]</f>
        <v>0</v>
      </c>
      <c r="BD37" s="207">
        <f>Opv.kohd.[[#This Row],[Työvoima-koulutus 7c]]-Opv.kohd.[[#This Row],[Työvoima-koulutus 7a]]</f>
        <v>0</v>
      </c>
      <c r="BE37" s="207">
        <f>Opv.kohd.[[#This Row],[Yhteensä 7c]]-Opv.kohd.[[#This Row],[Yhteensä 7a]]</f>
        <v>0</v>
      </c>
      <c r="BF37" s="207">
        <f>Opv.kohd.[[#This Row],[Yhteensä 7c]]-Opv.kohd.[[#This Row],[Työvoima-koulutus 7c]]</f>
        <v>0</v>
      </c>
      <c r="BG37" s="207">
        <f>IFERROR(VLOOKUP(Opv.kohd.[[#This Row],[Y-tunnus]],#REF!,COLUMN(#REF!),FALSE),0)</f>
        <v>0</v>
      </c>
      <c r="BH37" s="207">
        <f>IFERROR(VLOOKUP(Opv.kohd.[[#This Row],[Y-tunnus]],#REF!,COLUMN(#REF!),FALSE),0)</f>
        <v>0</v>
      </c>
      <c r="BI37" s="207">
        <f>IFERROR(VLOOKUP(Opv.kohd.[[#This Row],[Y-tunnus]],#REF!,COLUMN(#REF!),FALSE),0)</f>
        <v>0</v>
      </c>
      <c r="BJ37" s="207">
        <f>IFERROR(VLOOKUP(Opv.kohd.[[#This Row],[Y-tunnus]],#REF!,COLUMN(#REF!),FALSE),0)</f>
        <v>0</v>
      </c>
      <c r="BK37" s="207">
        <f>Opv.kohd.[[#This Row],[Muu kuin työvoima-koulutus 7d]]+Opv.kohd.[[#This Row],[Työvoima-koulutus 7d]]</f>
        <v>0</v>
      </c>
      <c r="BL37" s="207">
        <f>Opv.kohd.[[#This Row],[Muu kuin työvoima-koulutus 7c]]-Opv.kohd.[[#This Row],[Muu kuin työvoima-koulutus 7d]]</f>
        <v>0</v>
      </c>
      <c r="BM37" s="207">
        <f>Opv.kohd.[[#This Row],[Työvoima-koulutus 7c]]-Opv.kohd.[[#This Row],[Työvoima-koulutus 7d]]</f>
        <v>0</v>
      </c>
      <c r="BN37" s="207">
        <f>Opv.kohd.[[#This Row],[Yhteensä 7c]]-Opv.kohd.[[#This Row],[Yhteensä 7d]]</f>
        <v>0</v>
      </c>
      <c r="BO37" s="207">
        <f>Opv.kohd.[[#This Row],[Muu kuin työvoima-koulutus 7e]]-(Opv.kohd.[[#This Row],[Järjestämisluvan mukaiset 4]]+Opv.kohd.[[#This Row],[Kohdentamat-tomat 4]]+Opv.kohd.[[#This Row],[Maahan-muuttajien koulutus 4]]+Opv.kohd.[[#This Row],[Nuorisotyöt. väh. ja osaamistarp. vast., muu kuin työvoima-koulutus 4]])</f>
        <v>0</v>
      </c>
      <c r="BP37" s="207">
        <f>Opv.kohd.[[#This Row],[Työvoima-koulutus 7e]]-(Opv.kohd.[[#This Row],[Työvoima-koulutus 4]]+Opv.kohd.[[#This Row],[Nuorisotyöt. väh. ja osaamistarp. vast., työvoima-koulutus 4]])</f>
        <v>0</v>
      </c>
      <c r="BQ37" s="207">
        <f>Opv.kohd.[[#This Row],[Yhteensä 7e]]-Opv.kohd.[[#This Row],[Ensikertaisella suoritepäätöksellä jaetut tavoitteelliset opiskelijavuodet yhteensä 4]]</f>
        <v>0</v>
      </c>
      <c r="BR37" s="263">
        <v>1361</v>
      </c>
      <c r="BS37" s="263">
        <v>30</v>
      </c>
      <c r="BT37" s="263">
        <v>80</v>
      </c>
      <c r="BU37" s="263">
        <v>10</v>
      </c>
      <c r="BV37" s="263">
        <v>0</v>
      </c>
      <c r="BW37" s="263">
        <v>0</v>
      </c>
      <c r="BX37" s="263">
        <v>120</v>
      </c>
      <c r="BY37" s="263">
        <v>1481</v>
      </c>
      <c r="BZ37" s="207">
        <f t="shared" si="2"/>
        <v>1361</v>
      </c>
      <c r="CA37" s="207">
        <f t="shared" si="3"/>
        <v>30</v>
      </c>
      <c r="CB37" s="207">
        <f t="shared" si="4"/>
        <v>80</v>
      </c>
      <c r="CC37" s="207">
        <f t="shared" si="5"/>
        <v>10</v>
      </c>
      <c r="CD37" s="207">
        <f t="shared" si="6"/>
        <v>0</v>
      </c>
      <c r="CE37" s="207">
        <f t="shared" si="7"/>
        <v>0</v>
      </c>
      <c r="CF37" s="207">
        <f t="shared" si="8"/>
        <v>120</v>
      </c>
      <c r="CG37" s="207">
        <f t="shared" si="9"/>
        <v>1481</v>
      </c>
      <c r="CH37" s="207">
        <f>Opv.kohd.[[#This Row],[Tavoitteelliset opiskelijavuodet yhteensä 9]]-Opv.kohd.[[#This Row],[Työvoima-koulutus 9]]-Opv.kohd.[[#This Row],[Nuorisotyöt. väh. ja osaamistarp. vast., työvoima-koulutus 9]]-Opv.kohd.[[#This Row],[Muu kuin työvoima-koulutus 7e]]</f>
        <v>1401</v>
      </c>
      <c r="CI37" s="207">
        <f>(Opv.kohd.[[#This Row],[Työvoima-koulutus 9]]+Opv.kohd.[[#This Row],[Nuorisotyöt. väh. ja osaamistarp. vast., työvoima-koulutus 9]])-Opv.kohd.[[#This Row],[Työvoima-koulutus 7e]]</f>
        <v>80</v>
      </c>
      <c r="CJ37" s="207">
        <f>Opv.kohd.[[#This Row],[Tavoitteelliset opiskelijavuodet yhteensä 9]]-Opv.kohd.[[#This Row],[Yhteensä 7e]]</f>
        <v>1481</v>
      </c>
      <c r="CK37" s="207">
        <f>Opv.kohd.[[#This Row],[Järjestämisluvan mukaiset 4]]+Opv.kohd.[[#This Row],[Järjestämisluvan mukaiset 13]]</f>
        <v>0</v>
      </c>
      <c r="CL37" s="207">
        <f>Opv.kohd.[[#This Row],[Kohdentamat-tomat 4]]+Opv.kohd.[[#This Row],[Kohdentamat-tomat 13]]</f>
        <v>0</v>
      </c>
      <c r="CM37" s="207">
        <f>Opv.kohd.[[#This Row],[Työvoima-koulutus 4]]+Opv.kohd.[[#This Row],[Työvoima-koulutus 13]]</f>
        <v>0</v>
      </c>
      <c r="CN37" s="207">
        <f>Opv.kohd.[[#This Row],[Maahan-muuttajien koulutus 4]]+Opv.kohd.[[#This Row],[Maahan-muuttajien koulutus 13]]</f>
        <v>0</v>
      </c>
      <c r="CO37" s="207">
        <f>Opv.kohd.[[#This Row],[Nuorisotyöt. väh. ja osaamistarp. vast., muu kuin työvoima-koulutus 4]]+Opv.kohd.[[#This Row],[Nuorisotyöt. väh. ja osaamistarp. vast., muu kuin työvoima-koulutus 13]]</f>
        <v>0</v>
      </c>
      <c r="CP37" s="207">
        <f>Opv.kohd.[[#This Row],[Nuorisotyöt. väh. ja osaamistarp. vast., työvoima-koulutus 4]]+Opv.kohd.[[#This Row],[Nuorisotyöt. väh. ja osaamistarp. vast., työvoima-koulutus 13]]</f>
        <v>0</v>
      </c>
      <c r="CQ37" s="207">
        <f>Opv.kohd.[[#This Row],[Yhteensä 4]]+Opv.kohd.[[#This Row],[Yhteensä 13]]</f>
        <v>0</v>
      </c>
      <c r="CR37" s="207">
        <f>Opv.kohd.[[#This Row],[Ensikertaisella suoritepäätöksellä jaetut tavoitteelliset opiskelijavuodet yhteensä 4]]+Opv.kohd.[[#This Row],[Tavoitteelliset opiskelijavuodet yhteensä 13]]</f>
        <v>0</v>
      </c>
      <c r="CS37" s="120">
        <v>0</v>
      </c>
      <c r="CT37" s="120">
        <v>0</v>
      </c>
      <c r="CU37" s="120">
        <v>0</v>
      </c>
      <c r="CV37" s="120">
        <v>0</v>
      </c>
      <c r="CW37" s="120">
        <v>0</v>
      </c>
      <c r="CX37" s="120">
        <v>0</v>
      </c>
      <c r="CY37" s="120">
        <v>0</v>
      </c>
      <c r="CZ37" s="120">
        <v>0</v>
      </c>
      <c r="DA37" s="209">
        <f>IFERROR(Opv.kohd.[[#This Row],[Järjestämisluvan mukaiset 13]]/Opv.kohd.[[#This Row],[Järjestämisluvan mukaiset 12]],0)</f>
        <v>0</v>
      </c>
      <c r="DB37" s="209">
        <f>IFERROR(Opv.kohd.[[#This Row],[Kohdentamat-tomat 13]]/Opv.kohd.[[#This Row],[Kohdentamat-tomat 12]],0)</f>
        <v>0</v>
      </c>
      <c r="DC37" s="209">
        <f>IFERROR(Opv.kohd.[[#This Row],[Työvoima-koulutus 13]]/Opv.kohd.[[#This Row],[Työvoima-koulutus 12]],0)</f>
        <v>0</v>
      </c>
      <c r="DD37" s="209">
        <f>IFERROR(Opv.kohd.[[#This Row],[Maahan-muuttajien koulutus 13]]/Opv.kohd.[[#This Row],[Maahan-muuttajien koulutus 12]],0)</f>
        <v>0</v>
      </c>
      <c r="DE37" s="209">
        <f>IFERROR(Opv.kohd.[[#This Row],[Nuorisotyöt. väh. ja osaamistarp. vast., muu kuin työvoima-koulutus 13]]/Opv.kohd.[[#This Row],[Nuorisotyöt. väh. ja osaamistarp. vast., muu kuin työvoima-koulutus 12]],0)</f>
        <v>0</v>
      </c>
      <c r="DF37" s="209">
        <f>IFERROR(Opv.kohd.[[#This Row],[Nuorisotyöt. väh. ja osaamistarp. vast., työvoima-koulutus 13]]/Opv.kohd.[[#This Row],[Nuorisotyöt. väh. ja osaamistarp. vast., työvoima-koulutus 12]],0)</f>
        <v>0</v>
      </c>
      <c r="DG37" s="209">
        <f>IFERROR(Opv.kohd.[[#This Row],[Yhteensä 13]]/Opv.kohd.[[#This Row],[Yhteensä 12]],0)</f>
        <v>0</v>
      </c>
      <c r="DH37" s="209">
        <f>IFERROR(Opv.kohd.[[#This Row],[Tavoitteelliset opiskelijavuodet yhteensä 13]]/Opv.kohd.[[#This Row],[Tavoitteelliset opiskelijavuodet yhteensä 12]],0)</f>
        <v>0</v>
      </c>
      <c r="DI37" s="207">
        <f>Opv.kohd.[[#This Row],[Järjestämisluvan mukaiset 12]]-Opv.kohd.[[#This Row],[Järjestämisluvan mukaiset 9]]</f>
        <v>-1361</v>
      </c>
      <c r="DJ37" s="207">
        <f>Opv.kohd.[[#This Row],[Kohdentamat-tomat 12]]-Opv.kohd.[[#This Row],[Kohdentamat-tomat 9]]</f>
        <v>-30</v>
      </c>
      <c r="DK37" s="207">
        <f>Opv.kohd.[[#This Row],[Työvoima-koulutus 12]]-Opv.kohd.[[#This Row],[Työvoima-koulutus 9]]</f>
        <v>-80</v>
      </c>
      <c r="DL37" s="207">
        <f>Opv.kohd.[[#This Row],[Maahan-muuttajien koulutus 12]]-Opv.kohd.[[#This Row],[Maahan-muuttajien koulutus 9]]</f>
        <v>-10</v>
      </c>
      <c r="DM37" s="207">
        <f>Opv.kohd.[[#This Row],[Nuorisotyöt. väh. ja osaamistarp. vast., muu kuin työvoima-koulutus 12]]-Opv.kohd.[[#This Row],[Nuorisotyöt. väh. ja osaamistarp. vast., muu kuin työvoima-koulutus 9]]</f>
        <v>0</v>
      </c>
      <c r="DN37" s="207">
        <f>Opv.kohd.[[#This Row],[Nuorisotyöt. väh. ja osaamistarp. vast., työvoima-koulutus 12]]-Opv.kohd.[[#This Row],[Nuorisotyöt. väh. ja osaamistarp. vast., työvoima-koulutus 9]]</f>
        <v>0</v>
      </c>
      <c r="DO37" s="207">
        <f>Opv.kohd.[[#This Row],[Yhteensä 12]]-Opv.kohd.[[#This Row],[Yhteensä 9]]</f>
        <v>-120</v>
      </c>
      <c r="DP37" s="207">
        <f>Opv.kohd.[[#This Row],[Tavoitteelliset opiskelijavuodet yhteensä 12]]-Opv.kohd.[[#This Row],[Tavoitteelliset opiskelijavuodet yhteensä 9]]</f>
        <v>-1481</v>
      </c>
      <c r="DQ37" s="209">
        <f>IFERROR(Opv.kohd.[[#This Row],[Järjestämisluvan mukaiset 15]]/Opv.kohd.[[#This Row],[Järjestämisluvan mukaiset 9]],0)</f>
        <v>-1</v>
      </c>
      <c r="DR37" s="209">
        <f t="shared" si="10"/>
        <v>0</v>
      </c>
      <c r="DS37" s="209">
        <f t="shared" si="11"/>
        <v>0</v>
      </c>
      <c r="DT37" s="209">
        <f t="shared" si="12"/>
        <v>0</v>
      </c>
      <c r="DU37" s="209">
        <f t="shared" si="13"/>
        <v>0</v>
      </c>
      <c r="DV37" s="209">
        <f t="shared" si="14"/>
        <v>0</v>
      </c>
      <c r="DW37" s="209">
        <f t="shared" si="15"/>
        <v>0</v>
      </c>
      <c r="DX37" s="209">
        <f t="shared" si="16"/>
        <v>0</v>
      </c>
    </row>
    <row r="38" spans="1:128" x14ac:dyDescent="0.25">
      <c r="A38" s="204" t="e">
        <f>IF(INDEX(#REF!,ROW(38:38)-1,1)=0,"",INDEX(#REF!,ROW(38:38)-1,1))</f>
        <v>#REF!</v>
      </c>
      <c r="B38" s="205" t="str">
        <f>IFERROR(VLOOKUP(Opv.kohd.[[#This Row],[Y-tunnus]],'0 Järjestäjätiedot'!$A:$H,2,FALSE),"")</f>
        <v/>
      </c>
      <c r="C38" s="204" t="str">
        <f>IFERROR(VLOOKUP(Opv.kohd.[[#This Row],[Y-tunnus]],'0 Järjestäjätiedot'!$A:$H,COLUMN('0 Järjestäjätiedot'!D:D),FALSE),"")</f>
        <v/>
      </c>
      <c r="D38" s="204" t="str">
        <f>IFERROR(VLOOKUP(Opv.kohd.[[#This Row],[Y-tunnus]],'0 Järjestäjätiedot'!$A:$H,COLUMN('0 Järjestäjätiedot'!H:H),FALSE),"")</f>
        <v/>
      </c>
      <c r="E38" s="204">
        <f>IFERROR(VLOOKUP(Opv.kohd.[[#This Row],[Y-tunnus]],#REF!,COLUMN(#REF!),FALSE),0)</f>
        <v>0</v>
      </c>
      <c r="F38" s="204">
        <f>IFERROR(VLOOKUP(Opv.kohd.[[#This Row],[Y-tunnus]],#REF!,COLUMN(#REF!),FALSE),0)</f>
        <v>0</v>
      </c>
      <c r="G38" s="204">
        <f>IFERROR(VLOOKUP(Opv.kohd.[[#This Row],[Y-tunnus]],#REF!,COLUMN(#REF!),FALSE),0)</f>
        <v>0</v>
      </c>
      <c r="H38" s="204">
        <f>IFERROR(VLOOKUP(Opv.kohd.[[#This Row],[Y-tunnus]],#REF!,COLUMN(#REF!),FALSE),0)</f>
        <v>0</v>
      </c>
      <c r="I38" s="204">
        <f>IFERROR(VLOOKUP(Opv.kohd.[[#This Row],[Y-tunnus]],#REF!,COLUMN(#REF!),FALSE),0)</f>
        <v>0</v>
      </c>
      <c r="J38" s="204">
        <f>IFERROR(VLOOKUP(Opv.kohd.[[#This Row],[Y-tunnus]],#REF!,COLUMN(#REF!),FALSE),0)</f>
        <v>0</v>
      </c>
      <c r="K3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38" s="204">
        <f>Opv.kohd.[[#This Row],[Järjestämisluvan mukaiset 1]]+Opv.kohd.[[#This Row],[Yhteensä  1]]</f>
        <v>0</v>
      </c>
      <c r="M38" s="204">
        <f>IFERROR(VLOOKUP(Opv.kohd.[[#This Row],[Y-tunnus]],#REF!,COLUMN(#REF!),FALSE),0)</f>
        <v>0</v>
      </c>
      <c r="N38" s="204">
        <f>IFERROR(VLOOKUP(Opv.kohd.[[#This Row],[Y-tunnus]],#REF!,COLUMN(#REF!),FALSE),0)</f>
        <v>0</v>
      </c>
      <c r="O38" s="204">
        <f>IFERROR(VLOOKUP(Opv.kohd.[[#This Row],[Y-tunnus]],#REF!,COLUMN(#REF!),FALSE)+VLOOKUP(Opv.kohd.[[#This Row],[Y-tunnus]],#REF!,COLUMN(#REF!),FALSE),0)</f>
        <v>0</v>
      </c>
      <c r="P38" s="204">
        <f>Opv.kohd.[[#This Row],[Talousarvion perusteella kohdentamattomat]]+Opv.kohd.[[#This Row],[Talousarvion perusteella työvoimakoulutus 1]]+Opv.kohd.[[#This Row],[Lisätalousarvioiden perusteella]]</f>
        <v>0</v>
      </c>
      <c r="Q38" s="204">
        <f>IFERROR(VLOOKUP(Opv.kohd.[[#This Row],[Y-tunnus]],#REF!,COLUMN(#REF!),FALSE),0)</f>
        <v>0</v>
      </c>
      <c r="R38" s="210">
        <f>IFERROR(VLOOKUP(Opv.kohd.[[#This Row],[Y-tunnus]],#REF!,COLUMN(#REF!),FALSE)-(Opv.kohd.[[#This Row],[Kohdentamaton työvoima-koulutus 2]]+Opv.kohd.[[#This Row],[Maahan-muuttajien koulutus 2]]+Opv.kohd.[[#This Row],[Lisätalousarvioiden perusteella jaetut 2]]),0)</f>
        <v>0</v>
      </c>
      <c r="S38" s="210">
        <f>IFERROR(VLOOKUP(Opv.kohd.[[#This Row],[Y-tunnus]],#REF!,COLUMN(#REF!),FALSE)+VLOOKUP(Opv.kohd.[[#This Row],[Y-tunnus]],#REF!,COLUMN(#REF!),FALSE),0)</f>
        <v>0</v>
      </c>
      <c r="T38" s="210">
        <f>IFERROR(VLOOKUP(Opv.kohd.[[#This Row],[Y-tunnus]],#REF!,COLUMN(#REF!),FALSE)+VLOOKUP(Opv.kohd.[[#This Row],[Y-tunnus]],#REF!,COLUMN(#REF!),FALSE),0)</f>
        <v>0</v>
      </c>
      <c r="U3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38" s="210">
        <f>Opv.kohd.[[#This Row],[Kohdentamat-tomat 2]]+Opv.kohd.[[#This Row],[Kohdentamaton työvoima-koulutus 2]]+Opv.kohd.[[#This Row],[Maahan-muuttajien koulutus 2]]+Opv.kohd.[[#This Row],[Lisätalousarvioiden perusteella jaetut 2]]</f>
        <v>0</v>
      </c>
      <c r="W38" s="210">
        <f>Opv.kohd.[[#This Row],[Kohdentamat-tomat 2]]-(Opv.kohd.[[#This Row],[Järjestämisluvan mukaiset 1]]+Opv.kohd.[[#This Row],[Kohdentamat-tomat 1]]+Opv.kohd.[[#This Row],[Nuorisotyöt. väh. ja osaamistarp. vast., muu kuin työvoima-koulutus 1]]+Opv.kohd.[[#This Row],[Talousarvion perusteella kohdentamattomat]])</f>
        <v>0</v>
      </c>
      <c r="X38" s="210">
        <f>Opv.kohd.[[#This Row],[Kohdentamaton työvoima-koulutus 2]]-(Opv.kohd.[[#This Row],[Työvoima-koulutus 1]]+Opv.kohd.[[#This Row],[Nuorisotyöt. väh. ja osaamistarp. vast., työvoima-koulutus 1]]+Opv.kohd.[[#This Row],[Talousarvion perusteella työvoimakoulutus 1]])</f>
        <v>0</v>
      </c>
      <c r="Y38" s="210">
        <f>Opv.kohd.[[#This Row],[Maahan-muuttajien koulutus 2]]-Opv.kohd.[[#This Row],[Maahan-muuttajien koulutus 1]]</f>
        <v>0</v>
      </c>
      <c r="Z38" s="210">
        <f>Opv.kohd.[[#This Row],[Lisätalousarvioiden perusteella jaetut 2]]-Opv.kohd.[[#This Row],[Lisätalousarvioiden perusteella]]</f>
        <v>0</v>
      </c>
      <c r="AA38" s="210">
        <f>Opv.kohd.[[#This Row],[Toteutuneet opiskelijavuodet yhteensä 2]]-Opv.kohd.[[#This Row],[Vuoden 2018 tavoitteelliset opiskelijavuodet yhteensä 1]]</f>
        <v>0</v>
      </c>
      <c r="AB38" s="207">
        <f>IFERROR(VLOOKUP(Opv.kohd.[[#This Row],[Y-tunnus]],#REF!,3,FALSE),0)</f>
        <v>0</v>
      </c>
      <c r="AC38" s="207">
        <f>IFERROR(VLOOKUP(Opv.kohd.[[#This Row],[Y-tunnus]],#REF!,4,FALSE),0)</f>
        <v>0</v>
      </c>
      <c r="AD38" s="207">
        <f>IFERROR(VLOOKUP(Opv.kohd.[[#This Row],[Y-tunnus]],#REF!,5,FALSE),0)</f>
        <v>0</v>
      </c>
      <c r="AE38" s="207">
        <f>IFERROR(VLOOKUP(Opv.kohd.[[#This Row],[Y-tunnus]],#REF!,6,FALSE),0)</f>
        <v>0</v>
      </c>
      <c r="AF38" s="207">
        <f>IFERROR(VLOOKUP(Opv.kohd.[[#This Row],[Y-tunnus]],#REF!,7,FALSE),0)</f>
        <v>0</v>
      </c>
      <c r="AG38" s="207">
        <f>IFERROR(VLOOKUP(Opv.kohd.[[#This Row],[Y-tunnus]],#REF!,8,FALSE),0)</f>
        <v>0</v>
      </c>
      <c r="AH38" s="207">
        <f>IFERROR(VLOOKUP(Opv.kohd.[[#This Row],[Y-tunnus]],#REF!,9,FALSE),0)</f>
        <v>0</v>
      </c>
      <c r="AI38" s="207">
        <f>IFERROR(VLOOKUP(Opv.kohd.[[#This Row],[Y-tunnus]],#REF!,10,FALSE),0)</f>
        <v>0</v>
      </c>
      <c r="AJ38" s="204">
        <f>Opv.kohd.[[#This Row],[Järjestämisluvan mukaiset 4]]-Opv.kohd.[[#This Row],[Järjestämisluvan mukaiset 1]]</f>
        <v>0</v>
      </c>
      <c r="AK38" s="204">
        <f>Opv.kohd.[[#This Row],[Kohdentamat-tomat 4]]-Opv.kohd.[[#This Row],[Kohdentamat-tomat 1]]</f>
        <v>0</v>
      </c>
      <c r="AL38" s="204">
        <f>Opv.kohd.[[#This Row],[Työvoima-koulutus 4]]-Opv.kohd.[[#This Row],[Työvoima-koulutus 1]]</f>
        <v>0</v>
      </c>
      <c r="AM38" s="204">
        <f>Opv.kohd.[[#This Row],[Maahan-muuttajien koulutus 4]]-Opv.kohd.[[#This Row],[Maahan-muuttajien koulutus 1]]</f>
        <v>0</v>
      </c>
      <c r="AN38" s="204">
        <f>Opv.kohd.[[#This Row],[Nuorisotyöt. väh. ja osaamistarp. vast., muu kuin työvoima-koulutus 4]]-Opv.kohd.[[#This Row],[Nuorisotyöt. väh. ja osaamistarp. vast., muu kuin työvoima-koulutus 1]]</f>
        <v>0</v>
      </c>
      <c r="AO38" s="204">
        <f>Opv.kohd.[[#This Row],[Nuorisotyöt. väh. ja osaamistarp. vast., työvoima-koulutus 4]]-Opv.kohd.[[#This Row],[Nuorisotyöt. väh. ja osaamistarp. vast., työvoima-koulutus 1]]</f>
        <v>0</v>
      </c>
      <c r="AP38" s="204">
        <f>Opv.kohd.[[#This Row],[Yhteensä 4]]-Opv.kohd.[[#This Row],[Yhteensä  1]]</f>
        <v>0</v>
      </c>
      <c r="AQ38" s="204">
        <f>Opv.kohd.[[#This Row],[Ensikertaisella suoritepäätöksellä jaetut tavoitteelliset opiskelijavuodet yhteensä 4]]-Opv.kohd.[[#This Row],[Ensikertaisella suoritepäätöksellä jaetut tavoitteelliset opiskelijavuodet yhteensä 1]]</f>
        <v>0</v>
      </c>
      <c r="AR38" s="208">
        <f>IFERROR(Opv.kohd.[[#This Row],[Järjestämisluvan mukaiset 5]]/Opv.kohd.[[#This Row],[Järjestämisluvan mukaiset 4]],0)</f>
        <v>0</v>
      </c>
      <c r="AS38" s="208">
        <f>IFERROR(Opv.kohd.[[#This Row],[Kohdentamat-tomat 5]]/Opv.kohd.[[#This Row],[Kohdentamat-tomat 4]],0)</f>
        <v>0</v>
      </c>
      <c r="AT38" s="208">
        <f>IFERROR(Opv.kohd.[[#This Row],[Työvoima-koulutus 5]]/Opv.kohd.[[#This Row],[Työvoima-koulutus 4]],0)</f>
        <v>0</v>
      </c>
      <c r="AU38" s="208">
        <f>IFERROR(Opv.kohd.[[#This Row],[Maahan-muuttajien koulutus 5]]/Opv.kohd.[[#This Row],[Maahan-muuttajien koulutus 4]],0)</f>
        <v>0</v>
      </c>
      <c r="AV38" s="208">
        <f>IFERROR(Opv.kohd.[[#This Row],[Nuorisotyöt. väh. ja osaamistarp. vast., muu kuin työvoima-koulutus 5]]/Opv.kohd.[[#This Row],[Nuorisotyöt. väh. ja osaamistarp. vast., muu kuin työvoima-koulutus 4]],0)</f>
        <v>0</v>
      </c>
      <c r="AW38" s="208">
        <f>IFERROR(Opv.kohd.[[#This Row],[Nuorisotyöt. väh. ja osaamistarp. vast., työvoima-koulutus 5]]/Opv.kohd.[[#This Row],[Nuorisotyöt. väh. ja osaamistarp. vast., työvoima-koulutus 4]],0)</f>
        <v>0</v>
      </c>
      <c r="AX38" s="208">
        <f>IFERROR(Opv.kohd.[[#This Row],[Yhteensä 5]]/Opv.kohd.[[#This Row],[Yhteensä 4]],0)</f>
        <v>0</v>
      </c>
      <c r="AY38" s="208">
        <f>IFERROR(Opv.kohd.[[#This Row],[Ensikertaisella suoritepäätöksellä jaetut tavoitteelliset opiskelijavuodet yhteensä 5]]/Opv.kohd.[[#This Row],[Ensikertaisella suoritepäätöksellä jaetut tavoitteelliset opiskelijavuodet yhteensä 4]],0)</f>
        <v>0</v>
      </c>
      <c r="AZ38" s="207">
        <f>Opv.kohd.[[#This Row],[Yhteensä 7a]]-Opv.kohd.[[#This Row],[Työvoima-koulutus 7a]]</f>
        <v>0</v>
      </c>
      <c r="BA38" s="207">
        <f>IFERROR(VLOOKUP(Opv.kohd.[[#This Row],[Y-tunnus]],#REF!,COLUMN(#REF!),FALSE),0)</f>
        <v>0</v>
      </c>
      <c r="BB38" s="207">
        <f>IFERROR(VLOOKUP(Opv.kohd.[[#This Row],[Y-tunnus]],#REF!,COLUMN(#REF!),FALSE),0)</f>
        <v>0</v>
      </c>
      <c r="BC38" s="207">
        <f>Opv.kohd.[[#This Row],[Muu kuin työvoima-koulutus 7c]]-Opv.kohd.[[#This Row],[Muu kuin työvoima-koulutus 7a]]</f>
        <v>0</v>
      </c>
      <c r="BD38" s="207">
        <f>Opv.kohd.[[#This Row],[Työvoima-koulutus 7c]]-Opv.kohd.[[#This Row],[Työvoima-koulutus 7a]]</f>
        <v>0</v>
      </c>
      <c r="BE38" s="207">
        <f>Opv.kohd.[[#This Row],[Yhteensä 7c]]-Opv.kohd.[[#This Row],[Yhteensä 7a]]</f>
        <v>0</v>
      </c>
      <c r="BF38" s="207">
        <f>Opv.kohd.[[#This Row],[Yhteensä 7c]]-Opv.kohd.[[#This Row],[Työvoima-koulutus 7c]]</f>
        <v>0</v>
      </c>
      <c r="BG38" s="207">
        <f>IFERROR(VLOOKUP(Opv.kohd.[[#This Row],[Y-tunnus]],#REF!,COLUMN(#REF!),FALSE),0)</f>
        <v>0</v>
      </c>
      <c r="BH38" s="207">
        <f>IFERROR(VLOOKUP(Opv.kohd.[[#This Row],[Y-tunnus]],#REF!,COLUMN(#REF!),FALSE),0)</f>
        <v>0</v>
      </c>
      <c r="BI38" s="207">
        <f>IFERROR(VLOOKUP(Opv.kohd.[[#This Row],[Y-tunnus]],#REF!,COLUMN(#REF!),FALSE),0)</f>
        <v>0</v>
      </c>
      <c r="BJ38" s="207">
        <f>IFERROR(VLOOKUP(Opv.kohd.[[#This Row],[Y-tunnus]],#REF!,COLUMN(#REF!),FALSE),0)</f>
        <v>0</v>
      </c>
      <c r="BK38" s="207">
        <f>Opv.kohd.[[#This Row],[Muu kuin työvoima-koulutus 7d]]+Opv.kohd.[[#This Row],[Työvoima-koulutus 7d]]</f>
        <v>0</v>
      </c>
      <c r="BL38" s="207">
        <f>Opv.kohd.[[#This Row],[Muu kuin työvoima-koulutus 7c]]-Opv.kohd.[[#This Row],[Muu kuin työvoima-koulutus 7d]]</f>
        <v>0</v>
      </c>
      <c r="BM38" s="207">
        <f>Opv.kohd.[[#This Row],[Työvoima-koulutus 7c]]-Opv.kohd.[[#This Row],[Työvoima-koulutus 7d]]</f>
        <v>0</v>
      </c>
      <c r="BN38" s="207">
        <f>Opv.kohd.[[#This Row],[Yhteensä 7c]]-Opv.kohd.[[#This Row],[Yhteensä 7d]]</f>
        <v>0</v>
      </c>
      <c r="BO38" s="207">
        <f>Opv.kohd.[[#This Row],[Muu kuin työvoima-koulutus 7e]]-(Opv.kohd.[[#This Row],[Järjestämisluvan mukaiset 4]]+Opv.kohd.[[#This Row],[Kohdentamat-tomat 4]]+Opv.kohd.[[#This Row],[Maahan-muuttajien koulutus 4]]+Opv.kohd.[[#This Row],[Nuorisotyöt. väh. ja osaamistarp. vast., muu kuin työvoima-koulutus 4]])</f>
        <v>0</v>
      </c>
      <c r="BP38" s="207">
        <f>Opv.kohd.[[#This Row],[Työvoima-koulutus 7e]]-(Opv.kohd.[[#This Row],[Työvoima-koulutus 4]]+Opv.kohd.[[#This Row],[Nuorisotyöt. väh. ja osaamistarp. vast., työvoima-koulutus 4]])</f>
        <v>0</v>
      </c>
      <c r="BQ38" s="207">
        <f>Opv.kohd.[[#This Row],[Yhteensä 7e]]-Opv.kohd.[[#This Row],[Ensikertaisella suoritepäätöksellä jaetut tavoitteelliset opiskelijavuodet yhteensä 4]]</f>
        <v>0</v>
      </c>
      <c r="BR38" s="263">
        <v>64</v>
      </c>
      <c r="BS38" s="263">
        <v>11</v>
      </c>
      <c r="BT38" s="263">
        <v>0</v>
      </c>
      <c r="BU38" s="263">
        <v>0</v>
      </c>
      <c r="BV38" s="263">
        <v>0</v>
      </c>
      <c r="BW38" s="263">
        <v>0</v>
      </c>
      <c r="BX38" s="263">
        <v>11</v>
      </c>
      <c r="BY38" s="263">
        <v>75</v>
      </c>
      <c r="BZ38" s="207">
        <f t="shared" si="2"/>
        <v>64</v>
      </c>
      <c r="CA38" s="207">
        <f t="shared" si="3"/>
        <v>11</v>
      </c>
      <c r="CB38" s="207">
        <f t="shared" si="4"/>
        <v>0</v>
      </c>
      <c r="CC38" s="207">
        <f t="shared" si="5"/>
        <v>0</v>
      </c>
      <c r="CD38" s="207">
        <f t="shared" si="6"/>
        <v>0</v>
      </c>
      <c r="CE38" s="207">
        <f t="shared" si="7"/>
        <v>0</v>
      </c>
      <c r="CF38" s="207">
        <f t="shared" si="8"/>
        <v>11</v>
      </c>
      <c r="CG38" s="207">
        <f t="shared" si="9"/>
        <v>75</v>
      </c>
      <c r="CH38" s="207">
        <f>Opv.kohd.[[#This Row],[Tavoitteelliset opiskelijavuodet yhteensä 9]]-Opv.kohd.[[#This Row],[Työvoima-koulutus 9]]-Opv.kohd.[[#This Row],[Nuorisotyöt. väh. ja osaamistarp. vast., työvoima-koulutus 9]]-Opv.kohd.[[#This Row],[Muu kuin työvoima-koulutus 7e]]</f>
        <v>75</v>
      </c>
      <c r="CI38" s="207">
        <f>(Opv.kohd.[[#This Row],[Työvoima-koulutus 9]]+Opv.kohd.[[#This Row],[Nuorisotyöt. väh. ja osaamistarp. vast., työvoima-koulutus 9]])-Opv.kohd.[[#This Row],[Työvoima-koulutus 7e]]</f>
        <v>0</v>
      </c>
      <c r="CJ38" s="207">
        <f>Opv.kohd.[[#This Row],[Tavoitteelliset opiskelijavuodet yhteensä 9]]-Opv.kohd.[[#This Row],[Yhteensä 7e]]</f>
        <v>75</v>
      </c>
      <c r="CK38" s="207">
        <f>Opv.kohd.[[#This Row],[Järjestämisluvan mukaiset 4]]+Opv.kohd.[[#This Row],[Järjestämisluvan mukaiset 13]]</f>
        <v>0</v>
      </c>
      <c r="CL38" s="207">
        <f>Opv.kohd.[[#This Row],[Kohdentamat-tomat 4]]+Opv.kohd.[[#This Row],[Kohdentamat-tomat 13]]</f>
        <v>0</v>
      </c>
      <c r="CM38" s="207">
        <f>Opv.kohd.[[#This Row],[Työvoima-koulutus 4]]+Opv.kohd.[[#This Row],[Työvoima-koulutus 13]]</f>
        <v>0</v>
      </c>
      <c r="CN38" s="207">
        <f>Opv.kohd.[[#This Row],[Maahan-muuttajien koulutus 4]]+Opv.kohd.[[#This Row],[Maahan-muuttajien koulutus 13]]</f>
        <v>0</v>
      </c>
      <c r="CO38" s="207">
        <f>Opv.kohd.[[#This Row],[Nuorisotyöt. väh. ja osaamistarp. vast., muu kuin työvoima-koulutus 4]]+Opv.kohd.[[#This Row],[Nuorisotyöt. väh. ja osaamistarp. vast., muu kuin työvoima-koulutus 13]]</f>
        <v>0</v>
      </c>
      <c r="CP38" s="207">
        <f>Opv.kohd.[[#This Row],[Nuorisotyöt. väh. ja osaamistarp. vast., työvoima-koulutus 4]]+Opv.kohd.[[#This Row],[Nuorisotyöt. väh. ja osaamistarp. vast., työvoima-koulutus 13]]</f>
        <v>0</v>
      </c>
      <c r="CQ38" s="207">
        <f>Opv.kohd.[[#This Row],[Yhteensä 4]]+Opv.kohd.[[#This Row],[Yhteensä 13]]</f>
        <v>0</v>
      </c>
      <c r="CR38" s="207">
        <f>Opv.kohd.[[#This Row],[Ensikertaisella suoritepäätöksellä jaetut tavoitteelliset opiskelijavuodet yhteensä 4]]+Opv.kohd.[[#This Row],[Tavoitteelliset opiskelijavuodet yhteensä 13]]</f>
        <v>0</v>
      </c>
      <c r="CS38" s="120">
        <v>0</v>
      </c>
      <c r="CT38" s="120">
        <v>0</v>
      </c>
      <c r="CU38" s="120">
        <v>0</v>
      </c>
      <c r="CV38" s="120">
        <v>0</v>
      </c>
      <c r="CW38" s="120">
        <v>0</v>
      </c>
      <c r="CX38" s="120">
        <v>0</v>
      </c>
      <c r="CY38" s="120">
        <v>0</v>
      </c>
      <c r="CZ38" s="120">
        <v>0</v>
      </c>
      <c r="DA38" s="209">
        <f>IFERROR(Opv.kohd.[[#This Row],[Järjestämisluvan mukaiset 13]]/Opv.kohd.[[#This Row],[Järjestämisluvan mukaiset 12]],0)</f>
        <v>0</v>
      </c>
      <c r="DB38" s="209">
        <f>IFERROR(Opv.kohd.[[#This Row],[Kohdentamat-tomat 13]]/Opv.kohd.[[#This Row],[Kohdentamat-tomat 12]],0)</f>
        <v>0</v>
      </c>
      <c r="DC38" s="209">
        <f>IFERROR(Opv.kohd.[[#This Row],[Työvoima-koulutus 13]]/Opv.kohd.[[#This Row],[Työvoima-koulutus 12]],0)</f>
        <v>0</v>
      </c>
      <c r="DD38" s="209">
        <f>IFERROR(Opv.kohd.[[#This Row],[Maahan-muuttajien koulutus 13]]/Opv.kohd.[[#This Row],[Maahan-muuttajien koulutus 12]],0)</f>
        <v>0</v>
      </c>
      <c r="DE38" s="209">
        <f>IFERROR(Opv.kohd.[[#This Row],[Nuorisotyöt. väh. ja osaamistarp. vast., muu kuin työvoima-koulutus 13]]/Opv.kohd.[[#This Row],[Nuorisotyöt. väh. ja osaamistarp. vast., muu kuin työvoima-koulutus 12]],0)</f>
        <v>0</v>
      </c>
      <c r="DF38" s="209">
        <f>IFERROR(Opv.kohd.[[#This Row],[Nuorisotyöt. väh. ja osaamistarp. vast., työvoima-koulutus 13]]/Opv.kohd.[[#This Row],[Nuorisotyöt. väh. ja osaamistarp. vast., työvoima-koulutus 12]],0)</f>
        <v>0</v>
      </c>
      <c r="DG38" s="209">
        <f>IFERROR(Opv.kohd.[[#This Row],[Yhteensä 13]]/Opv.kohd.[[#This Row],[Yhteensä 12]],0)</f>
        <v>0</v>
      </c>
      <c r="DH38" s="209">
        <f>IFERROR(Opv.kohd.[[#This Row],[Tavoitteelliset opiskelijavuodet yhteensä 13]]/Opv.kohd.[[#This Row],[Tavoitteelliset opiskelijavuodet yhteensä 12]],0)</f>
        <v>0</v>
      </c>
      <c r="DI38" s="207">
        <f>Opv.kohd.[[#This Row],[Järjestämisluvan mukaiset 12]]-Opv.kohd.[[#This Row],[Järjestämisluvan mukaiset 9]]</f>
        <v>-64</v>
      </c>
      <c r="DJ38" s="207">
        <f>Opv.kohd.[[#This Row],[Kohdentamat-tomat 12]]-Opv.kohd.[[#This Row],[Kohdentamat-tomat 9]]</f>
        <v>-11</v>
      </c>
      <c r="DK38" s="207">
        <f>Opv.kohd.[[#This Row],[Työvoima-koulutus 12]]-Opv.kohd.[[#This Row],[Työvoima-koulutus 9]]</f>
        <v>0</v>
      </c>
      <c r="DL38" s="207">
        <f>Opv.kohd.[[#This Row],[Maahan-muuttajien koulutus 12]]-Opv.kohd.[[#This Row],[Maahan-muuttajien koulutus 9]]</f>
        <v>0</v>
      </c>
      <c r="DM38" s="207">
        <f>Opv.kohd.[[#This Row],[Nuorisotyöt. väh. ja osaamistarp. vast., muu kuin työvoima-koulutus 12]]-Opv.kohd.[[#This Row],[Nuorisotyöt. väh. ja osaamistarp. vast., muu kuin työvoima-koulutus 9]]</f>
        <v>0</v>
      </c>
      <c r="DN38" s="207">
        <f>Opv.kohd.[[#This Row],[Nuorisotyöt. väh. ja osaamistarp. vast., työvoima-koulutus 12]]-Opv.kohd.[[#This Row],[Nuorisotyöt. väh. ja osaamistarp. vast., työvoima-koulutus 9]]</f>
        <v>0</v>
      </c>
      <c r="DO38" s="207">
        <f>Opv.kohd.[[#This Row],[Yhteensä 12]]-Opv.kohd.[[#This Row],[Yhteensä 9]]</f>
        <v>-11</v>
      </c>
      <c r="DP38" s="207">
        <f>Opv.kohd.[[#This Row],[Tavoitteelliset opiskelijavuodet yhteensä 12]]-Opv.kohd.[[#This Row],[Tavoitteelliset opiskelijavuodet yhteensä 9]]</f>
        <v>-75</v>
      </c>
      <c r="DQ38" s="209">
        <f>IFERROR(Opv.kohd.[[#This Row],[Järjestämisluvan mukaiset 15]]/Opv.kohd.[[#This Row],[Järjestämisluvan mukaiset 9]],0)</f>
        <v>-1</v>
      </c>
      <c r="DR38" s="209">
        <f t="shared" si="10"/>
        <v>0</v>
      </c>
      <c r="DS38" s="209">
        <f t="shared" si="11"/>
        <v>0</v>
      </c>
      <c r="DT38" s="209">
        <f t="shared" si="12"/>
        <v>0</v>
      </c>
      <c r="DU38" s="209">
        <f t="shared" si="13"/>
        <v>0</v>
      </c>
      <c r="DV38" s="209">
        <f t="shared" si="14"/>
        <v>0</v>
      </c>
      <c r="DW38" s="209">
        <f t="shared" si="15"/>
        <v>0</v>
      </c>
      <c r="DX38" s="209">
        <f t="shared" si="16"/>
        <v>0</v>
      </c>
    </row>
    <row r="39" spans="1:128" x14ac:dyDescent="0.25">
      <c r="A39" s="204" t="e">
        <f>IF(INDEX(#REF!,ROW(39:39)-1,1)=0,"",INDEX(#REF!,ROW(39:39)-1,1))</f>
        <v>#REF!</v>
      </c>
      <c r="B39" s="205" t="str">
        <f>IFERROR(VLOOKUP(Opv.kohd.[[#This Row],[Y-tunnus]],'0 Järjestäjätiedot'!$A:$H,2,FALSE),"")</f>
        <v/>
      </c>
      <c r="C39" s="204" t="str">
        <f>IFERROR(VLOOKUP(Opv.kohd.[[#This Row],[Y-tunnus]],'0 Järjestäjätiedot'!$A:$H,COLUMN('0 Järjestäjätiedot'!D:D),FALSE),"")</f>
        <v/>
      </c>
      <c r="D39" s="204" t="str">
        <f>IFERROR(VLOOKUP(Opv.kohd.[[#This Row],[Y-tunnus]],'0 Järjestäjätiedot'!$A:$H,COLUMN('0 Järjestäjätiedot'!H:H),FALSE),"")</f>
        <v/>
      </c>
      <c r="E39" s="204">
        <f>IFERROR(VLOOKUP(Opv.kohd.[[#This Row],[Y-tunnus]],#REF!,COLUMN(#REF!),FALSE),0)</f>
        <v>0</v>
      </c>
      <c r="F39" s="204">
        <f>IFERROR(VLOOKUP(Opv.kohd.[[#This Row],[Y-tunnus]],#REF!,COLUMN(#REF!),FALSE),0)</f>
        <v>0</v>
      </c>
      <c r="G39" s="204">
        <f>IFERROR(VLOOKUP(Opv.kohd.[[#This Row],[Y-tunnus]],#REF!,COLUMN(#REF!),FALSE),0)</f>
        <v>0</v>
      </c>
      <c r="H39" s="204">
        <f>IFERROR(VLOOKUP(Opv.kohd.[[#This Row],[Y-tunnus]],#REF!,COLUMN(#REF!),FALSE),0)</f>
        <v>0</v>
      </c>
      <c r="I39" s="204">
        <f>IFERROR(VLOOKUP(Opv.kohd.[[#This Row],[Y-tunnus]],#REF!,COLUMN(#REF!),FALSE),0)</f>
        <v>0</v>
      </c>
      <c r="J39" s="204">
        <f>IFERROR(VLOOKUP(Opv.kohd.[[#This Row],[Y-tunnus]],#REF!,COLUMN(#REF!),FALSE),0)</f>
        <v>0</v>
      </c>
      <c r="K3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39" s="204">
        <f>Opv.kohd.[[#This Row],[Järjestämisluvan mukaiset 1]]+Opv.kohd.[[#This Row],[Yhteensä  1]]</f>
        <v>0</v>
      </c>
      <c r="M39" s="204">
        <f>IFERROR(VLOOKUP(Opv.kohd.[[#This Row],[Y-tunnus]],#REF!,COLUMN(#REF!),FALSE),0)</f>
        <v>0</v>
      </c>
      <c r="N39" s="204">
        <f>IFERROR(VLOOKUP(Opv.kohd.[[#This Row],[Y-tunnus]],#REF!,COLUMN(#REF!),FALSE),0)</f>
        <v>0</v>
      </c>
      <c r="O39" s="204">
        <f>IFERROR(VLOOKUP(Opv.kohd.[[#This Row],[Y-tunnus]],#REF!,COLUMN(#REF!),FALSE)+VLOOKUP(Opv.kohd.[[#This Row],[Y-tunnus]],#REF!,COLUMN(#REF!),FALSE),0)</f>
        <v>0</v>
      </c>
      <c r="P39" s="204">
        <f>Opv.kohd.[[#This Row],[Talousarvion perusteella kohdentamattomat]]+Opv.kohd.[[#This Row],[Talousarvion perusteella työvoimakoulutus 1]]+Opv.kohd.[[#This Row],[Lisätalousarvioiden perusteella]]</f>
        <v>0</v>
      </c>
      <c r="Q39" s="204">
        <f>IFERROR(VLOOKUP(Opv.kohd.[[#This Row],[Y-tunnus]],#REF!,COLUMN(#REF!),FALSE),0)</f>
        <v>0</v>
      </c>
      <c r="R39" s="210">
        <f>IFERROR(VLOOKUP(Opv.kohd.[[#This Row],[Y-tunnus]],#REF!,COLUMN(#REF!),FALSE)-(Opv.kohd.[[#This Row],[Kohdentamaton työvoima-koulutus 2]]+Opv.kohd.[[#This Row],[Maahan-muuttajien koulutus 2]]+Opv.kohd.[[#This Row],[Lisätalousarvioiden perusteella jaetut 2]]),0)</f>
        <v>0</v>
      </c>
      <c r="S39" s="210">
        <f>IFERROR(VLOOKUP(Opv.kohd.[[#This Row],[Y-tunnus]],#REF!,COLUMN(#REF!),FALSE)+VLOOKUP(Opv.kohd.[[#This Row],[Y-tunnus]],#REF!,COLUMN(#REF!),FALSE),0)</f>
        <v>0</v>
      </c>
      <c r="T39" s="210">
        <f>IFERROR(VLOOKUP(Opv.kohd.[[#This Row],[Y-tunnus]],#REF!,COLUMN(#REF!),FALSE)+VLOOKUP(Opv.kohd.[[#This Row],[Y-tunnus]],#REF!,COLUMN(#REF!),FALSE),0)</f>
        <v>0</v>
      </c>
      <c r="U3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39" s="210">
        <f>Opv.kohd.[[#This Row],[Kohdentamat-tomat 2]]+Opv.kohd.[[#This Row],[Kohdentamaton työvoima-koulutus 2]]+Opv.kohd.[[#This Row],[Maahan-muuttajien koulutus 2]]+Opv.kohd.[[#This Row],[Lisätalousarvioiden perusteella jaetut 2]]</f>
        <v>0</v>
      </c>
      <c r="W39" s="210">
        <f>Opv.kohd.[[#This Row],[Kohdentamat-tomat 2]]-(Opv.kohd.[[#This Row],[Järjestämisluvan mukaiset 1]]+Opv.kohd.[[#This Row],[Kohdentamat-tomat 1]]+Opv.kohd.[[#This Row],[Nuorisotyöt. väh. ja osaamistarp. vast., muu kuin työvoima-koulutus 1]]+Opv.kohd.[[#This Row],[Talousarvion perusteella kohdentamattomat]])</f>
        <v>0</v>
      </c>
      <c r="X39" s="210">
        <f>Opv.kohd.[[#This Row],[Kohdentamaton työvoima-koulutus 2]]-(Opv.kohd.[[#This Row],[Työvoima-koulutus 1]]+Opv.kohd.[[#This Row],[Nuorisotyöt. väh. ja osaamistarp. vast., työvoima-koulutus 1]]+Opv.kohd.[[#This Row],[Talousarvion perusteella työvoimakoulutus 1]])</f>
        <v>0</v>
      </c>
      <c r="Y39" s="210">
        <f>Opv.kohd.[[#This Row],[Maahan-muuttajien koulutus 2]]-Opv.kohd.[[#This Row],[Maahan-muuttajien koulutus 1]]</f>
        <v>0</v>
      </c>
      <c r="Z39" s="210">
        <f>Opv.kohd.[[#This Row],[Lisätalousarvioiden perusteella jaetut 2]]-Opv.kohd.[[#This Row],[Lisätalousarvioiden perusteella]]</f>
        <v>0</v>
      </c>
      <c r="AA39" s="210">
        <f>Opv.kohd.[[#This Row],[Toteutuneet opiskelijavuodet yhteensä 2]]-Opv.kohd.[[#This Row],[Vuoden 2018 tavoitteelliset opiskelijavuodet yhteensä 1]]</f>
        <v>0</v>
      </c>
      <c r="AB39" s="207">
        <f>IFERROR(VLOOKUP(Opv.kohd.[[#This Row],[Y-tunnus]],#REF!,3,FALSE),0)</f>
        <v>0</v>
      </c>
      <c r="AC39" s="207">
        <f>IFERROR(VLOOKUP(Opv.kohd.[[#This Row],[Y-tunnus]],#REF!,4,FALSE),0)</f>
        <v>0</v>
      </c>
      <c r="AD39" s="207">
        <f>IFERROR(VLOOKUP(Opv.kohd.[[#This Row],[Y-tunnus]],#REF!,5,FALSE),0)</f>
        <v>0</v>
      </c>
      <c r="AE39" s="207">
        <f>IFERROR(VLOOKUP(Opv.kohd.[[#This Row],[Y-tunnus]],#REF!,6,FALSE),0)</f>
        <v>0</v>
      </c>
      <c r="AF39" s="207">
        <f>IFERROR(VLOOKUP(Opv.kohd.[[#This Row],[Y-tunnus]],#REF!,7,FALSE),0)</f>
        <v>0</v>
      </c>
      <c r="AG39" s="207">
        <f>IFERROR(VLOOKUP(Opv.kohd.[[#This Row],[Y-tunnus]],#REF!,8,FALSE),0)</f>
        <v>0</v>
      </c>
      <c r="AH39" s="207">
        <f>IFERROR(VLOOKUP(Opv.kohd.[[#This Row],[Y-tunnus]],#REF!,9,FALSE),0)</f>
        <v>0</v>
      </c>
      <c r="AI39" s="207">
        <f>IFERROR(VLOOKUP(Opv.kohd.[[#This Row],[Y-tunnus]],#REF!,10,FALSE),0)</f>
        <v>0</v>
      </c>
      <c r="AJ39" s="204">
        <f>Opv.kohd.[[#This Row],[Järjestämisluvan mukaiset 4]]-Opv.kohd.[[#This Row],[Järjestämisluvan mukaiset 1]]</f>
        <v>0</v>
      </c>
      <c r="AK39" s="204">
        <f>Opv.kohd.[[#This Row],[Kohdentamat-tomat 4]]-Opv.kohd.[[#This Row],[Kohdentamat-tomat 1]]</f>
        <v>0</v>
      </c>
      <c r="AL39" s="204">
        <f>Opv.kohd.[[#This Row],[Työvoima-koulutus 4]]-Opv.kohd.[[#This Row],[Työvoima-koulutus 1]]</f>
        <v>0</v>
      </c>
      <c r="AM39" s="204">
        <f>Opv.kohd.[[#This Row],[Maahan-muuttajien koulutus 4]]-Opv.kohd.[[#This Row],[Maahan-muuttajien koulutus 1]]</f>
        <v>0</v>
      </c>
      <c r="AN39" s="204">
        <f>Opv.kohd.[[#This Row],[Nuorisotyöt. väh. ja osaamistarp. vast., muu kuin työvoima-koulutus 4]]-Opv.kohd.[[#This Row],[Nuorisotyöt. väh. ja osaamistarp. vast., muu kuin työvoima-koulutus 1]]</f>
        <v>0</v>
      </c>
      <c r="AO39" s="204">
        <f>Opv.kohd.[[#This Row],[Nuorisotyöt. väh. ja osaamistarp. vast., työvoima-koulutus 4]]-Opv.kohd.[[#This Row],[Nuorisotyöt. väh. ja osaamistarp. vast., työvoima-koulutus 1]]</f>
        <v>0</v>
      </c>
      <c r="AP39" s="204">
        <f>Opv.kohd.[[#This Row],[Yhteensä 4]]-Opv.kohd.[[#This Row],[Yhteensä  1]]</f>
        <v>0</v>
      </c>
      <c r="AQ39" s="204">
        <f>Opv.kohd.[[#This Row],[Ensikertaisella suoritepäätöksellä jaetut tavoitteelliset opiskelijavuodet yhteensä 4]]-Opv.kohd.[[#This Row],[Ensikertaisella suoritepäätöksellä jaetut tavoitteelliset opiskelijavuodet yhteensä 1]]</f>
        <v>0</v>
      </c>
      <c r="AR39" s="208">
        <f>IFERROR(Opv.kohd.[[#This Row],[Järjestämisluvan mukaiset 5]]/Opv.kohd.[[#This Row],[Järjestämisluvan mukaiset 4]],0)</f>
        <v>0</v>
      </c>
      <c r="AS39" s="208">
        <f>IFERROR(Opv.kohd.[[#This Row],[Kohdentamat-tomat 5]]/Opv.kohd.[[#This Row],[Kohdentamat-tomat 4]],0)</f>
        <v>0</v>
      </c>
      <c r="AT39" s="208">
        <f>IFERROR(Opv.kohd.[[#This Row],[Työvoima-koulutus 5]]/Opv.kohd.[[#This Row],[Työvoima-koulutus 4]],0)</f>
        <v>0</v>
      </c>
      <c r="AU39" s="208">
        <f>IFERROR(Opv.kohd.[[#This Row],[Maahan-muuttajien koulutus 5]]/Opv.kohd.[[#This Row],[Maahan-muuttajien koulutus 4]],0)</f>
        <v>0</v>
      </c>
      <c r="AV39" s="208">
        <f>IFERROR(Opv.kohd.[[#This Row],[Nuorisotyöt. väh. ja osaamistarp. vast., muu kuin työvoima-koulutus 5]]/Opv.kohd.[[#This Row],[Nuorisotyöt. väh. ja osaamistarp. vast., muu kuin työvoima-koulutus 4]],0)</f>
        <v>0</v>
      </c>
      <c r="AW39" s="208">
        <f>IFERROR(Opv.kohd.[[#This Row],[Nuorisotyöt. väh. ja osaamistarp. vast., työvoima-koulutus 5]]/Opv.kohd.[[#This Row],[Nuorisotyöt. väh. ja osaamistarp. vast., työvoima-koulutus 4]],0)</f>
        <v>0</v>
      </c>
      <c r="AX39" s="208">
        <f>IFERROR(Opv.kohd.[[#This Row],[Yhteensä 5]]/Opv.kohd.[[#This Row],[Yhteensä 4]],0)</f>
        <v>0</v>
      </c>
      <c r="AY39" s="208">
        <f>IFERROR(Opv.kohd.[[#This Row],[Ensikertaisella suoritepäätöksellä jaetut tavoitteelliset opiskelijavuodet yhteensä 5]]/Opv.kohd.[[#This Row],[Ensikertaisella suoritepäätöksellä jaetut tavoitteelliset opiskelijavuodet yhteensä 4]],0)</f>
        <v>0</v>
      </c>
      <c r="AZ39" s="207">
        <f>Opv.kohd.[[#This Row],[Yhteensä 7a]]-Opv.kohd.[[#This Row],[Työvoima-koulutus 7a]]</f>
        <v>0</v>
      </c>
      <c r="BA39" s="207">
        <f>IFERROR(VLOOKUP(Opv.kohd.[[#This Row],[Y-tunnus]],#REF!,COLUMN(#REF!),FALSE),0)</f>
        <v>0</v>
      </c>
      <c r="BB39" s="207">
        <f>IFERROR(VLOOKUP(Opv.kohd.[[#This Row],[Y-tunnus]],#REF!,COLUMN(#REF!),FALSE),0)</f>
        <v>0</v>
      </c>
      <c r="BC39" s="207">
        <f>Opv.kohd.[[#This Row],[Muu kuin työvoima-koulutus 7c]]-Opv.kohd.[[#This Row],[Muu kuin työvoima-koulutus 7a]]</f>
        <v>0</v>
      </c>
      <c r="BD39" s="207">
        <f>Opv.kohd.[[#This Row],[Työvoima-koulutus 7c]]-Opv.kohd.[[#This Row],[Työvoima-koulutus 7a]]</f>
        <v>0</v>
      </c>
      <c r="BE39" s="207">
        <f>Opv.kohd.[[#This Row],[Yhteensä 7c]]-Opv.kohd.[[#This Row],[Yhteensä 7a]]</f>
        <v>0</v>
      </c>
      <c r="BF39" s="207">
        <f>Opv.kohd.[[#This Row],[Yhteensä 7c]]-Opv.kohd.[[#This Row],[Työvoima-koulutus 7c]]</f>
        <v>0</v>
      </c>
      <c r="BG39" s="207">
        <f>IFERROR(VLOOKUP(Opv.kohd.[[#This Row],[Y-tunnus]],#REF!,COLUMN(#REF!),FALSE),0)</f>
        <v>0</v>
      </c>
      <c r="BH39" s="207">
        <f>IFERROR(VLOOKUP(Opv.kohd.[[#This Row],[Y-tunnus]],#REF!,COLUMN(#REF!),FALSE),0)</f>
        <v>0</v>
      </c>
      <c r="BI39" s="207">
        <f>IFERROR(VLOOKUP(Opv.kohd.[[#This Row],[Y-tunnus]],#REF!,COLUMN(#REF!),FALSE),0)</f>
        <v>0</v>
      </c>
      <c r="BJ39" s="207">
        <f>IFERROR(VLOOKUP(Opv.kohd.[[#This Row],[Y-tunnus]],#REF!,COLUMN(#REF!),FALSE),0)</f>
        <v>0</v>
      </c>
      <c r="BK39" s="207">
        <f>Opv.kohd.[[#This Row],[Muu kuin työvoima-koulutus 7d]]+Opv.kohd.[[#This Row],[Työvoima-koulutus 7d]]</f>
        <v>0</v>
      </c>
      <c r="BL39" s="207">
        <f>Opv.kohd.[[#This Row],[Muu kuin työvoima-koulutus 7c]]-Opv.kohd.[[#This Row],[Muu kuin työvoima-koulutus 7d]]</f>
        <v>0</v>
      </c>
      <c r="BM39" s="207">
        <f>Opv.kohd.[[#This Row],[Työvoima-koulutus 7c]]-Opv.kohd.[[#This Row],[Työvoima-koulutus 7d]]</f>
        <v>0</v>
      </c>
      <c r="BN39" s="207">
        <f>Opv.kohd.[[#This Row],[Yhteensä 7c]]-Opv.kohd.[[#This Row],[Yhteensä 7d]]</f>
        <v>0</v>
      </c>
      <c r="BO39" s="207">
        <f>Opv.kohd.[[#This Row],[Muu kuin työvoima-koulutus 7e]]-(Opv.kohd.[[#This Row],[Järjestämisluvan mukaiset 4]]+Opv.kohd.[[#This Row],[Kohdentamat-tomat 4]]+Opv.kohd.[[#This Row],[Maahan-muuttajien koulutus 4]]+Opv.kohd.[[#This Row],[Nuorisotyöt. väh. ja osaamistarp. vast., muu kuin työvoima-koulutus 4]])</f>
        <v>0</v>
      </c>
      <c r="BP39" s="207">
        <f>Opv.kohd.[[#This Row],[Työvoima-koulutus 7e]]-(Opv.kohd.[[#This Row],[Työvoima-koulutus 4]]+Opv.kohd.[[#This Row],[Nuorisotyöt. väh. ja osaamistarp. vast., työvoima-koulutus 4]])</f>
        <v>0</v>
      </c>
      <c r="BQ39" s="207">
        <f>Opv.kohd.[[#This Row],[Yhteensä 7e]]-Opv.kohd.[[#This Row],[Ensikertaisella suoritepäätöksellä jaetut tavoitteelliset opiskelijavuodet yhteensä 4]]</f>
        <v>0</v>
      </c>
      <c r="BR39" s="263">
        <v>68</v>
      </c>
      <c r="BS39" s="263">
        <v>0</v>
      </c>
      <c r="BT39" s="263">
        <v>0</v>
      </c>
      <c r="BU39" s="263">
        <v>0</v>
      </c>
      <c r="BV39" s="263">
        <v>0</v>
      </c>
      <c r="BW39" s="263">
        <v>0</v>
      </c>
      <c r="BX39" s="263">
        <v>0</v>
      </c>
      <c r="BY39" s="263">
        <v>68</v>
      </c>
      <c r="BZ39" s="207">
        <f t="shared" si="2"/>
        <v>68</v>
      </c>
      <c r="CA39" s="207">
        <f t="shared" si="3"/>
        <v>0</v>
      </c>
      <c r="CB39" s="207">
        <f t="shared" si="4"/>
        <v>0</v>
      </c>
      <c r="CC39" s="207">
        <f t="shared" si="5"/>
        <v>0</v>
      </c>
      <c r="CD39" s="207">
        <f t="shared" si="6"/>
        <v>0</v>
      </c>
      <c r="CE39" s="207">
        <f t="shared" si="7"/>
        <v>0</v>
      </c>
      <c r="CF39" s="207">
        <f t="shared" si="8"/>
        <v>0</v>
      </c>
      <c r="CG39" s="207">
        <f t="shared" si="9"/>
        <v>68</v>
      </c>
      <c r="CH39" s="207">
        <f>Opv.kohd.[[#This Row],[Tavoitteelliset opiskelijavuodet yhteensä 9]]-Opv.kohd.[[#This Row],[Työvoima-koulutus 9]]-Opv.kohd.[[#This Row],[Nuorisotyöt. väh. ja osaamistarp. vast., työvoima-koulutus 9]]-Opv.kohd.[[#This Row],[Muu kuin työvoima-koulutus 7e]]</f>
        <v>68</v>
      </c>
      <c r="CI39" s="207">
        <f>(Opv.kohd.[[#This Row],[Työvoima-koulutus 9]]+Opv.kohd.[[#This Row],[Nuorisotyöt. väh. ja osaamistarp. vast., työvoima-koulutus 9]])-Opv.kohd.[[#This Row],[Työvoima-koulutus 7e]]</f>
        <v>0</v>
      </c>
      <c r="CJ39" s="207">
        <f>Opv.kohd.[[#This Row],[Tavoitteelliset opiskelijavuodet yhteensä 9]]-Opv.kohd.[[#This Row],[Yhteensä 7e]]</f>
        <v>68</v>
      </c>
      <c r="CK39" s="207">
        <f>Opv.kohd.[[#This Row],[Järjestämisluvan mukaiset 4]]+Opv.kohd.[[#This Row],[Järjestämisluvan mukaiset 13]]</f>
        <v>0</v>
      </c>
      <c r="CL39" s="207">
        <f>Opv.kohd.[[#This Row],[Kohdentamat-tomat 4]]+Opv.kohd.[[#This Row],[Kohdentamat-tomat 13]]</f>
        <v>0</v>
      </c>
      <c r="CM39" s="207">
        <f>Opv.kohd.[[#This Row],[Työvoima-koulutus 4]]+Opv.kohd.[[#This Row],[Työvoima-koulutus 13]]</f>
        <v>0</v>
      </c>
      <c r="CN39" s="207">
        <f>Opv.kohd.[[#This Row],[Maahan-muuttajien koulutus 4]]+Opv.kohd.[[#This Row],[Maahan-muuttajien koulutus 13]]</f>
        <v>0</v>
      </c>
      <c r="CO39" s="207">
        <f>Opv.kohd.[[#This Row],[Nuorisotyöt. väh. ja osaamistarp. vast., muu kuin työvoima-koulutus 4]]+Opv.kohd.[[#This Row],[Nuorisotyöt. väh. ja osaamistarp. vast., muu kuin työvoima-koulutus 13]]</f>
        <v>0</v>
      </c>
      <c r="CP39" s="207">
        <f>Opv.kohd.[[#This Row],[Nuorisotyöt. väh. ja osaamistarp. vast., työvoima-koulutus 4]]+Opv.kohd.[[#This Row],[Nuorisotyöt. väh. ja osaamistarp. vast., työvoima-koulutus 13]]</f>
        <v>0</v>
      </c>
      <c r="CQ39" s="207">
        <f>Opv.kohd.[[#This Row],[Yhteensä 4]]+Opv.kohd.[[#This Row],[Yhteensä 13]]</f>
        <v>0</v>
      </c>
      <c r="CR39" s="207">
        <f>Opv.kohd.[[#This Row],[Ensikertaisella suoritepäätöksellä jaetut tavoitteelliset opiskelijavuodet yhteensä 4]]+Opv.kohd.[[#This Row],[Tavoitteelliset opiskelijavuodet yhteensä 13]]</f>
        <v>0</v>
      </c>
      <c r="CS39" s="120">
        <v>0</v>
      </c>
      <c r="CT39" s="120">
        <v>0</v>
      </c>
      <c r="CU39" s="120">
        <v>0</v>
      </c>
      <c r="CV39" s="120">
        <v>0</v>
      </c>
      <c r="CW39" s="120">
        <v>0</v>
      </c>
      <c r="CX39" s="120">
        <v>0</v>
      </c>
      <c r="CY39" s="120">
        <v>0</v>
      </c>
      <c r="CZ39" s="120">
        <v>0</v>
      </c>
      <c r="DA39" s="209">
        <f>IFERROR(Opv.kohd.[[#This Row],[Järjestämisluvan mukaiset 13]]/Opv.kohd.[[#This Row],[Järjestämisluvan mukaiset 12]],0)</f>
        <v>0</v>
      </c>
      <c r="DB39" s="209">
        <f>IFERROR(Opv.kohd.[[#This Row],[Kohdentamat-tomat 13]]/Opv.kohd.[[#This Row],[Kohdentamat-tomat 12]],0)</f>
        <v>0</v>
      </c>
      <c r="DC39" s="209">
        <f>IFERROR(Opv.kohd.[[#This Row],[Työvoima-koulutus 13]]/Opv.kohd.[[#This Row],[Työvoima-koulutus 12]],0)</f>
        <v>0</v>
      </c>
      <c r="DD39" s="209">
        <f>IFERROR(Opv.kohd.[[#This Row],[Maahan-muuttajien koulutus 13]]/Opv.kohd.[[#This Row],[Maahan-muuttajien koulutus 12]],0)</f>
        <v>0</v>
      </c>
      <c r="DE39" s="209">
        <f>IFERROR(Opv.kohd.[[#This Row],[Nuorisotyöt. väh. ja osaamistarp. vast., muu kuin työvoima-koulutus 13]]/Opv.kohd.[[#This Row],[Nuorisotyöt. väh. ja osaamistarp. vast., muu kuin työvoima-koulutus 12]],0)</f>
        <v>0</v>
      </c>
      <c r="DF39" s="209">
        <f>IFERROR(Opv.kohd.[[#This Row],[Nuorisotyöt. väh. ja osaamistarp. vast., työvoima-koulutus 13]]/Opv.kohd.[[#This Row],[Nuorisotyöt. väh. ja osaamistarp. vast., työvoima-koulutus 12]],0)</f>
        <v>0</v>
      </c>
      <c r="DG39" s="209">
        <f>IFERROR(Opv.kohd.[[#This Row],[Yhteensä 13]]/Opv.kohd.[[#This Row],[Yhteensä 12]],0)</f>
        <v>0</v>
      </c>
      <c r="DH39" s="209">
        <f>IFERROR(Opv.kohd.[[#This Row],[Tavoitteelliset opiskelijavuodet yhteensä 13]]/Opv.kohd.[[#This Row],[Tavoitteelliset opiskelijavuodet yhteensä 12]],0)</f>
        <v>0</v>
      </c>
      <c r="DI39" s="207">
        <f>Opv.kohd.[[#This Row],[Järjestämisluvan mukaiset 12]]-Opv.kohd.[[#This Row],[Järjestämisluvan mukaiset 9]]</f>
        <v>-68</v>
      </c>
      <c r="DJ39" s="207">
        <f>Opv.kohd.[[#This Row],[Kohdentamat-tomat 12]]-Opv.kohd.[[#This Row],[Kohdentamat-tomat 9]]</f>
        <v>0</v>
      </c>
      <c r="DK39" s="207">
        <f>Opv.kohd.[[#This Row],[Työvoima-koulutus 12]]-Opv.kohd.[[#This Row],[Työvoima-koulutus 9]]</f>
        <v>0</v>
      </c>
      <c r="DL39" s="207">
        <f>Opv.kohd.[[#This Row],[Maahan-muuttajien koulutus 12]]-Opv.kohd.[[#This Row],[Maahan-muuttajien koulutus 9]]</f>
        <v>0</v>
      </c>
      <c r="DM39" s="207">
        <f>Opv.kohd.[[#This Row],[Nuorisotyöt. väh. ja osaamistarp. vast., muu kuin työvoima-koulutus 12]]-Opv.kohd.[[#This Row],[Nuorisotyöt. väh. ja osaamistarp. vast., muu kuin työvoima-koulutus 9]]</f>
        <v>0</v>
      </c>
      <c r="DN39" s="207">
        <f>Opv.kohd.[[#This Row],[Nuorisotyöt. väh. ja osaamistarp. vast., työvoima-koulutus 12]]-Opv.kohd.[[#This Row],[Nuorisotyöt. väh. ja osaamistarp. vast., työvoima-koulutus 9]]</f>
        <v>0</v>
      </c>
      <c r="DO39" s="207">
        <f>Opv.kohd.[[#This Row],[Yhteensä 12]]-Opv.kohd.[[#This Row],[Yhteensä 9]]</f>
        <v>0</v>
      </c>
      <c r="DP39" s="207">
        <f>Opv.kohd.[[#This Row],[Tavoitteelliset opiskelijavuodet yhteensä 12]]-Opv.kohd.[[#This Row],[Tavoitteelliset opiskelijavuodet yhteensä 9]]</f>
        <v>-68</v>
      </c>
      <c r="DQ39" s="209">
        <f>IFERROR(Opv.kohd.[[#This Row],[Järjestämisluvan mukaiset 15]]/Opv.kohd.[[#This Row],[Järjestämisluvan mukaiset 9]],0)</f>
        <v>-1</v>
      </c>
      <c r="DR39" s="209">
        <f t="shared" si="10"/>
        <v>0</v>
      </c>
      <c r="DS39" s="209">
        <f t="shared" si="11"/>
        <v>0</v>
      </c>
      <c r="DT39" s="209">
        <f t="shared" si="12"/>
        <v>0</v>
      </c>
      <c r="DU39" s="209">
        <f t="shared" si="13"/>
        <v>0</v>
      </c>
      <c r="DV39" s="209">
        <f t="shared" si="14"/>
        <v>0</v>
      </c>
      <c r="DW39" s="209">
        <f t="shared" si="15"/>
        <v>0</v>
      </c>
      <c r="DX39" s="209">
        <f t="shared" si="16"/>
        <v>0</v>
      </c>
    </row>
    <row r="40" spans="1:128" x14ac:dyDescent="0.25">
      <c r="A40" s="204" t="e">
        <f>IF(INDEX(#REF!,ROW(40:40)-1,1)=0,"",INDEX(#REF!,ROW(40:40)-1,1))</f>
        <v>#REF!</v>
      </c>
      <c r="B40" s="205" t="str">
        <f>IFERROR(VLOOKUP(Opv.kohd.[[#This Row],[Y-tunnus]],'0 Järjestäjätiedot'!$A:$H,2,FALSE),"")</f>
        <v/>
      </c>
      <c r="C40" s="204" t="str">
        <f>IFERROR(VLOOKUP(Opv.kohd.[[#This Row],[Y-tunnus]],'0 Järjestäjätiedot'!$A:$H,COLUMN('0 Järjestäjätiedot'!D:D),FALSE),"")</f>
        <v/>
      </c>
      <c r="D40" s="204" t="str">
        <f>IFERROR(VLOOKUP(Opv.kohd.[[#This Row],[Y-tunnus]],'0 Järjestäjätiedot'!$A:$H,COLUMN('0 Järjestäjätiedot'!H:H),FALSE),"")</f>
        <v/>
      </c>
      <c r="E40" s="204">
        <f>IFERROR(VLOOKUP(Opv.kohd.[[#This Row],[Y-tunnus]],#REF!,COLUMN(#REF!),FALSE),0)</f>
        <v>0</v>
      </c>
      <c r="F40" s="204">
        <f>IFERROR(VLOOKUP(Opv.kohd.[[#This Row],[Y-tunnus]],#REF!,COLUMN(#REF!),FALSE),0)</f>
        <v>0</v>
      </c>
      <c r="G40" s="204">
        <f>IFERROR(VLOOKUP(Opv.kohd.[[#This Row],[Y-tunnus]],#REF!,COLUMN(#REF!),FALSE),0)</f>
        <v>0</v>
      </c>
      <c r="H40" s="204">
        <f>IFERROR(VLOOKUP(Opv.kohd.[[#This Row],[Y-tunnus]],#REF!,COLUMN(#REF!),FALSE),0)</f>
        <v>0</v>
      </c>
      <c r="I40" s="204">
        <f>IFERROR(VLOOKUP(Opv.kohd.[[#This Row],[Y-tunnus]],#REF!,COLUMN(#REF!),FALSE),0)</f>
        <v>0</v>
      </c>
      <c r="J40" s="204">
        <f>IFERROR(VLOOKUP(Opv.kohd.[[#This Row],[Y-tunnus]],#REF!,COLUMN(#REF!),FALSE),0)</f>
        <v>0</v>
      </c>
      <c r="K4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40" s="204">
        <f>Opv.kohd.[[#This Row],[Järjestämisluvan mukaiset 1]]+Opv.kohd.[[#This Row],[Yhteensä  1]]</f>
        <v>0</v>
      </c>
      <c r="M40" s="204">
        <f>IFERROR(VLOOKUP(Opv.kohd.[[#This Row],[Y-tunnus]],#REF!,COLUMN(#REF!),FALSE),0)</f>
        <v>0</v>
      </c>
      <c r="N40" s="204">
        <f>IFERROR(VLOOKUP(Opv.kohd.[[#This Row],[Y-tunnus]],#REF!,COLUMN(#REF!),FALSE),0)</f>
        <v>0</v>
      </c>
      <c r="O40" s="204">
        <f>IFERROR(VLOOKUP(Opv.kohd.[[#This Row],[Y-tunnus]],#REF!,COLUMN(#REF!),FALSE)+VLOOKUP(Opv.kohd.[[#This Row],[Y-tunnus]],#REF!,COLUMN(#REF!),FALSE),0)</f>
        <v>0</v>
      </c>
      <c r="P40" s="204">
        <f>Opv.kohd.[[#This Row],[Talousarvion perusteella kohdentamattomat]]+Opv.kohd.[[#This Row],[Talousarvion perusteella työvoimakoulutus 1]]+Opv.kohd.[[#This Row],[Lisätalousarvioiden perusteella]]</f>
        <v>0</v>
      </c>
      <c r="Q40" s="204">
        <f>IFERROR(VLOOKUP(Opv.kohd.[[#This Row],[Y-tunnus]],#REF!,COLUMN(#REF!),FALSE),0)</f>
        <v>0</v>
      </c>
      <c r="R40" s="210">
        <f>IFERROR(VLOOKUP(Opv.kohd.[[#This Row],[Y-tunnus]],#REF!,COLUMN(#REF!),FALSE)-(Opv.kohd.[[#This Row],[Kohdentamaton työvoima-koulutus 2]]+Opv.kohd.[[#This Row],[Maahan-muuttajien koulutus 2]]+Opv.kohd.[[#This Row],[Lisätalousarvioiden perusteella jaetut 2]]),0)</f>
        <v>0</v>
      </c>
      <c r="S40" s="210">
        <f>IFERROR(VLOOKUP(Opv.kohd.[[#This Row],[Y-tunnus]],#REF!,COLUMN(#REF!),FALSE)+VLOOKUP(Opv.kohd.[[#This Row],[Y-tunnus]],#REF!,COLUMN(#REF!),FALSE),0)</f>
        <v>0</v>
      </c>
      <c r="T40" s="210">
        <f>IFERROR(VLOOKUP(Opv.kohd.[[#This Row],[Y-tunnus]],#REF!,COLUMN(#REF!),FALSE)+VLOOKUP(Opv.kohd.[[#This Row],[Y-tunnus]],#REF!,COLUMN(#REF!),FALSE),0)</f>
        <v>0</v>
      </c>
      <c r="U4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40" s="210">
        <f>Opv.kohd.[[#This Row],[Kohdentamat-tomat 2]]+Opv.kohd.[[#This Row],[Kohdentamaton työvoima-koulutus 2]]+Opv.kohd.[[#This Row],[Maahan-muuttajien koulutus 2]]+Opv.kohd.[[#This Row],[Lisätalousarvioiden perusteella jaetut 2]]</f>
        <v>0</v>
      </c>
      <c r="W40" s="210">
        <f>Opv.kohd.[[#This Row],[Kohdentamat-tomat 2]]-(Opv.kohd.[[#This Row],[Järjestämisluvan mukaiset 1]]+Opv.kohd.[[#This Row],[Kohdentamat-tomat 1]]+Opv.kohd.[[#This Row],[Nuorisotyöt. väh. ja osaamistarp. vast., muu kuin työvoima-koulutus 1]]+Opv.kohd.[[#This Row],[Talousarvion perusteella kohdentamattomat]])</f>
        <v>0</v>
      </c>
      <c r="X40" s="210">
        <f>Opv.kohd.[[#This Row],[Kohdentamaton työvoima-koulutus 2]]-(Opv.kohd.[[#This Row],[Työvoima-koulutus 1]]+Opv.kohd.[[#This Row],[Nuorisotyöt. väh. ja osaamistarp. vast., työvoima-koulutus 1]]+Opv.kohd.[[#This Row],[Talousarvion perusteella työvoimakoulutus 1]])</f>
        <v>0</v>
      </c>
      <c r="Y40" s="210">
        <f>Opv.kohd.[[#This Row],[Maahan-muuttajien koulutus 2]]-Opv.kohd.[[#This Row],[Maahan-muuttajien koulutus 1]]</f>
        <v>0</v>
      </c>
      <c r="Z40" s="210">
        <f>Opv.kohd.[[#This Row],[Lisätalousarvioiden perusteella jaetut 2]]-Opv.kohd.[[#This Row],[Lisätalousarvioiden perusteella]]</f>
        <v>0</v>
      </c>
      <c r="AA40" s="210">
        <f>Opv.kohd.[[#This Row],[Toteutuneet opiskelijavuodet yhteensä 2]]-Opv.kohd.[[#This Row],[Vuoden 2018 tavoitteelliset opiskelijavuodet yhteensä 1]]</f>
        <v>0</v>
      </c>
      <c r="AB40" s="207">
        <f>IFERROR(VLOOKUP(Opv.kohd.[[#This Row],[Y-tunnus]],#REF!,3,FALSE),0)</f>
        <v>0</v>
      </c>
      <c r="AC40" s="207">
        <f>IFERROR(VLOOKUP(Opv.kohd.[[#This Row],[Y-tunnus]],#REF!,4,FALSE),0)</f>
        <v>0</v>
      </c>
      <c r="AD40" s="207">
        <f>IFERROR(VLOOKUP(Opv.kohd.[[#This Row],[Y-tunnus]],#REF!,5,FALSE),0)</f>
        <v>0</v>
      </c>
      <c r="AE40" s="207">
        <f>IFERROR(VLOOKUP(Opv.kohd.[[#This Row],[Y-tunnus]],#REF!,6,FALSE),0)</f>
        <v>0</v>
      </c>
      <c r="AF40" s="207">
        <f>IFERROR(VLOOKUP(Opv.kohd.[[#This Row],[Y-tunnus]],#REF!,7,FALSE),0)</f>
        <v>0</v>
      </c>
      <c r="AG40" s="207">
        <f>IFERROR(VLOOKUP(Opv.kohd.[[#This Row],[Y-tunnus]],#REF!,8,FALSE),0)</f>
        <v>0</v>
      </c>
      <c r="AH40" s="207">
        <f>IFERROR(VLOOKUP(Opv.kohd.[[#This Row],[Y-tunnus]],#REF!,9,FALSE),0)</f>
        <v>0</v>
      </c>
      <c r="AI40" s="207">
        <f>IFERROR(VLOOKUP(Opv.kohd.[[#This Row],[Y-tunnus]],#REF!,10,FALSE),0)</f>
        <v>0</v>
      </c>
      <c r="AJ40" s="204">
        <f>Opv.kohd.[[#This Row],[Järjestämisluvan mukaiset 4]]-Opv.kohd.[[#This Row],[Järjestämisluvan mukaiset 1]]</f>
        <v>0</v>
      </c>
      <c r="AK40" s="204">
        <f>Opv.kohd.[[#This Row],[Kohdentamat-tomat 4]]-Opv.kohd.[[#This Row],[Kohdentamat-tomat 1]]</f>
        <v>0</v>
      </c>
      <c r="AL40" s="204">
        <f>Opv.kohd.[[#This Row],[Työvoima-koulutus 4]]-Opv.kohd.[[#This Row],[Työvoima-koulutus 1]]</f>
        <v>0</v>
      </c>
      <c r="AM40" s="204">
        <f>Opv.kohd.[[#This Row],[Maahan-muuttajien koulutus 4]]-Opv.kohd.[[#This Row],[Maahan-muuttajien koulutus 1]]</f>
        <v>0</v>
      </c>
      <c r="AN40" s="204">
        <f>Opv.kohd.[[#This Row],[Nuorisotyöt. väh. ja osaamistarp. vast., muu kuin työvoima-koulutus 4]]-Opv.kohd.[[#This Row],[Nuorisotyöt. väh. ja osaamistarp. vast., muu kuin työvoima-koulutus 1]]</f>
        <v>0</v>
      </c>
      <c r="AO40" s="204">
        <f>Opv.kohd.[[#This Row],[Nuorisotyöt. väh. ja osaamistarp. vast., työvoima-koulutus 4]]-Opv.kohd.[[#This Row],[Nuorisotyöt. väh. ja osaamistarp. vast., työvoima-koulutus 1]]</f>
        <v>0</v>
      </c>
      <c r="AP40" s="204">
        <f>Opv.kohd.[[#This Row],[Yhteensä 4]]-Opv.kohd.[[#This Row],[Yhteensä  1]]</f>
        <v>0</v>
      </c>
      <c r="AQ40" s="204">
        <f>Opv.kohd.[[#This Row],[Ensikertaisella suoritepäätöksellä jaetut tavoitteelliset opiskelijavuodet yhteensä 4]]-Opv.kohd.[[#This Row],[Ensikertaisella suoritepäätöksellä jaetut tavoitteelliset opiskelijavuodet yhteensä 1]]</f>
        <v>0</v>
      </c>
      <c r="AR40" s="208">
        <f>IFERROR(Opv.kohd.[[#This Row],[Järjestämisluvan mukaiset 5]]/Opv.kohd.[[#This Row],[Järjestämisluvan mukaiset 4]],0)</f>
        <v>0</v>
      </c>
      <c r="AS40" s="208">
        <f>IFERROR(Opv.kohd.[[#This Row],[Kohdentamat-tomat 5]]/Opv.kohd.[[#This Row],[Kohdentamat-tomat 4]],0)</f>
        <v>0</v>
      </c>
      <c r="AT40" s="208">
        <f>IFERROR(Opv.kohd.[[#This Row],[Työvoima-koulutus 5]]/Opv.kohd.[[#This Row],[Työvoima-koulutus 4]],0)</f>
        <v>0</v>
      </c>
      <c r="AU40" s="208">
        <f>IFERROR(Opv.kohd.[[#This Row],[Maahan-muuttajien koulutus 5]]/Opv.kohd.[[#This Row],[Maahan-muuttajien koulutus 4]],0)</f>
        <v>0</v>
      </c>
      <c r="AV40" s="208">
        <f>IFERROR(Opv.kohd.[[#This Row],[Nuorisotyöt. väh. ja osaamistarp. vast., muu kuin työvoima-koulutus 5]]/Opv.kohd.[[#This Row],[Nuorisotyöt. väh. ja osaamistarp. vast., muu kuin työvoima-koulutus 4]],0)</f>
        <v>0</v>
      </c>
      <c r="AW40" s="208">
        <f>IFERROR(Opv.kohd.[[#This Row],[Nuorisotyöt. väh. ja osaamistarp. vast., työvoima-koulutus 5]]/Opv.kohd.[[#This Row],[Nuorisotyöt. väh. ja osaamistarp. vast., työvoima-koulutus 4]],0)</f>
        <v>0</v>
      </c>
      <c r="AX40" s="208">
        <f>IFERROR(Opv.kohd.[[#This Row],[Yhteensä 5]]/Opv.kohd.[[#This Row],[Yhteensä 4]],0)</f>
        <v>0</v>
      </c>
      <c r="AY40" s="208">
        <f>IFERROR(Opv.kohd.[[#This Row],[Ensikertaisella suoritepäätöksellä jaetut tavoitteelliset opiskelijavuodet yhteensä 5]]/Opv.kohd.[[#This Row],[Ensikertaisella suoritepäätöksellä jaetut tavoitteelliset opiskelijavuodet yhteensä 4]],0)</f>
        <v>0</v>
      </c>
      <c r="AZ40" s="207">
        <f>Opv.kohd.[[#This Row],[Yhteensä 7a]]-Opv.kohd.[[#This Row],[Työvoima-koulutus 7a]]</f>
        <v>0</v>
      </c>
      <c r="BA40" s="207">
        <f>IFERROR(VLOOKUP(Opv.kohd.[[#This Row],[Y-tunnus]],#REF!,COLUMN(#REF!),FALSE),0)</f>
        <v>0</v>
      </c>
      <c r="BB40" s="207">
        <f>IFERROR(VLOOKUP(Opv.kohd.[[#This Row],[Y-tunnus]],#REF!,COLUMN(#REF!),FALSE),0)</f>
        <v>0</v>
      </c>
      <c r="BC40" s="207">
        <f>Opv.kohd.[[#This Row],[Muu kuin työvoima-koulutus 7c]]-Opv.kohd.[[#This Row],[Muu kuin työvoima-koulutus 7a]]</f>
        <v>0</v>
      </c>
      <c r="BD40" s="207">
        <f>Opv.kohd.[[#This Row],[Työvoima-koulutus 7c]]-Opv.kohd.[[#This Row],[Työvoima-koulutus 7a]]</f>
        <v>0</v>
      </c>
      <c r="BE40" s="207">
        <f>Opv.kohd.[[#This Row],[Yhteensä 7c]]-Opv.kohd.[[#This Row],[Yhteensä 7a]]</f>
        <v>0</v>
      </c>
      <c r="BF40" s="207">
        <f>Opv.kohd.[[#This Row],[Yhteensä 7c]]-Opv.kohd.[[#This Row],[Työvoima-koulutus 7c]]</f>
        <v>0</v>
      </c>
      <c r="BG40" s="207">
        <f>IFERROR(VLOOKUP(Opv.kohd.[[#This Row],[Y-tunnus]],#REF!,COLUMN(#REF!),FALSE),0)</f>
        <v>0</v>
      </c>
      <c r="BH40" s="207">
        <f>IFERROR(VLOOKUP(Opv.kohd.[[#This Row],[Y-tunnus]],#REF!,COLUMN(#REF!),FALSE),0)</f>
        <v>0</v>
      </c>
      <c r="BI40" s="207">
        <f>IFERROR(VLOOKUP(Opv.kohd.[[#This Row],[Y-tunnus]],#REF!,COLUMN(#REF!),FALSE),0)</f>
        <v>0</v>
      </c>
      <c r="BJ40" s="207">
        <f>IFERROR(VLOOKUP(Opv.kohd.[[#This Row],[Y-tunnus]],#REF!,COLUMN(#REF!),FALSE),0)</f>
        <v>0</v>
      </c>
      <c r="BK40" s="207">
        <f>Opv.kohd.[[#This Row],[Muu kuin työvoima-koulutus 7d]]+Opv.kohd.[[#This Row],[Työvoima-koulutus 7d]]</f>
        <v>0</v>
      </c>
      <c r="BL40" s="207">
        <f>Opv.kohd.[[#This Row],[Muu kuin työvoima-koulutus 7c]]-Opv.kohd.[[#This Row],[Muu kuin työvoima-koulutus 7d]]</f>
        <v>0</v>
      </c>
      <c r="BM40" s="207">
        <f>Opv.kohd.[[#This Row],[Työvoima-koulutus 7c]]-Opv.kohd.[[#This Row],[Työvoima-koulutus 7d]]</f>
        <v>0</v>
      </c>
      <c r="BN40" s="207">
        <f>Opv.kohd.[[#This Row],[Yhteensä 7c]]-Opv.kohd.[[#This Row],[Yhteensä 7d]]</f>
        <v>0</v>
      </c>
      <c r="BO40" s="207">
        <f>Opv.kohd.[[#This Row],[Muu kuin työvoima-koulutus 7e]]-(Opv.kohd.[[#This Row],[Järjestämisluvan mukaiset 4]]+Opv.kohd.[[#This Row],[Kohdentamat-tomat 4]]+Opv.kohd.[[#This Row],[Maahan-muuttajien koulutus 4]]+Opv.kohd.[[#This Row],[Nuorisotyöt. väh. ja osaamistarp. vast., muu kuin työvoima-koulutus 4]])</f>
        <v>0</v>
      </c>
      <c r="BP40" s="207">
        <f>Opv.kohd.[[#This Row],[Työvoima-koulutus 7e]]-(Opv.kohd.[[#This Row],[Työvoima-koulutus 4]]+Opv.kohd.[[#This Row],[Nuorisotyöt. väh. ja osaamistarp. vast., työvoima-koulutus 4]])</f>
        <v>0</v>
      </c>
      <c r="BQ40" s="207">
        <f>Opv.kohd.[[#This Row],[Yhteensä 7e]]-Opv.kohd.[[#This Row],[Ensikertaisella suoritepäätöksellä jaetut tavoitteelliset opiskelijavuodet yhteensä 4]]</f>
        <v>0</v>
      </c>
      <c r="BR40" s="263">
        <v>3008</v>
      </c>
      <c r="BS40" s="263">
        <v>105</v>
      </c>
      <c r="BT40" s="263">
        <v>70</v>
      </c>
      <c r="BU40" s="263">
        <v>10</v>
      </c>
      <c r="BV40" s="263">
        <v>15</v>
      </c>
      <c r="BW40" s="263">
        <v>0</v>
      </c>
      <c r="BX40" s="263">
        <v>200</v>
      </c>
      <c r="BY40" s="263">
        <v>3208</v>
      </c>
      <c r="BZ40" s="207">
        <f t="shared" si="2"/>
        <v>3008</v>
      </c>
      <c r="CA40" s="207">
        <f t="shared" si="3"/>
        <v>105</v>
      </c>
      <c r="CB40" s="207">
        <f t="shared" si="4"/>
        <v>70</v>
      </c>
      <c r="CC40" s="207">
        <f t="shared" si="5"/>
        <v>10</v>
      </c>
      <c r="CD40" s="207">
        <f t="shared" si="6"/>
        <v>15</v>
      </c>
      <c r="CE40" s="207">
        <f t="shared" si="7"/>
        <v>0</v>
      </c>
      <c r="CF40" s="207">
        <f t="shared" si="8"/>
        <v>200</v>
      </c>
      <c r="CG40" s="207">
        <f t="shared" si="9"/>
        <v>3208</v>
      </c>
      <c r="CH40" s="207">
        <f>Opv.kohd.[[#This Row],[Tavoitteelliset opiskelijavuodet yhteensä 9]]-Opv.kohd.[[#This Row],[Työvoima-koulutus 9]]-Opv.kohd.[[#This Row],[Nuorisotyöt. väh. ja osaamistarp. vast., työvoima-koulutus 9]]-Opv.kohd.[[#This Row],[Muu kuin työvoima-koulutus 7e]]</f>
        <v>3138</v>
      </c>
      <c r="CI40" s="207">
        <f>(Opv.kohd.[[#This Row],[Työvoima-koulutus 9]]+Opv.kohd.[[#This Row],[Nuorisotyöt. väh. ja osaamistarp. vast., työvoima-koulutus 9]])-Opv.kohd.[[#This Row],[Työvoima-koulutus 7e]]</f>
        <v>70</v>
      </c>
      <c r="CJ40" s="207">
        <f>Opv.kohd.[[#This Row],[Tavoitteelliset opiskelijavuodet yhteensä 9]]-Opv.kohd.[[#This Row],[Yhteensä 7e]]</f>
        <v>3208</v>
      </c>
      <c r="CK40" s="207">
        <f>Opv.kohd.[[#This Row],[Järjestämisluvan mukaiset 4]]+Opv.kohd.[[#This Row],[Järjestämisluvan mukaiset 13]]</f>
        <v>0</v>
      </c>
      <c r="CL40" s="207">
        <f>Opv.kohd.[[#This Row],[Kohdentamat-tomat 4]]+Opv.kohd.[[#This Row],[Kohdentamat-tomat 13]]</f>
        <v>0</v>
      </c>
      <c r="CM40" s="207">
        <f>Opv.kohd.[[#This Row],[Työvoima-koulutus 4]]+Opv.kohd.[[#This Row],[Työvoima-koulutus 13]]</f>
        <v>0</v>
      </c>
      <c r="CN40" s="207">
        <f>Opv.kohd.[[#This Row],[Maahan-muuttajien koulutus 4]]+Opv.kohd.[[#This Row],[Maahan-muuttajien koulutus 13]]</f>
        <v>0</v>
      </c>
      <c r="CO40" s="207">
        <f>Opv.kohd.[[#This Row],[Nuorisotyöt. väh. ja osaamistarp. vast., muu kuin työvoima-koulutus 4]]+Opv.kohd.[[#This Row],[Nuorisotyöt. väh. ja osaamistarp. vast., muu kuin työvoima-koulutus 13]]</f>
        <v>0</v>
      </c>
      <c r="CP40" s="207">
        <f>Opv.kohd.[[#This Row],[Nuorisotyöt. väh. ja osaamistarp. vast., työvoima-koulutus 4]]+Opv.kohd.[[#This Row],[Nuorisotyöt. väh. ja osaamistarp. vast., työvoima-koulutus 13]]</f>
        <v>0</v>
      </c>
      <c r="CQ40" s="207">
        <f>Opv.kohd.[[#This Row],[Yhteensä 4]]+Opv.kohd.[[#This Row],[Yhteensä 13]]</f>
        <v>0</v>
      </c>
      <c r="CR40" s="207">
        <f>Opv.kohd.[[#This Row],[Ensikertaisella suoritepäätöksellä jaetut tavoitteelliset opiskelijavuodet yhteensä 4]]+Opv.kohd.[[#This Row],[Tavoitteelliset opiskelijavuodet yhteensä 13]]</f>
        <v>0</v>
      </c>
      <c r="CS40" s="120">
        <v>0</v>
      </c>
      <c r="CT40" s="120">
        <v>0</v>
      </c>
      <c r="CU40" s="120">
        <v>0</v>
      </c>
      <c r="CV40" s="120">
        <v>0</v>
      </c>
      <c r="CW40" s="120">
        <v>0</v>
      </c>
      <c r="CX40" s="120">
        <v>0</v>
      </c>
      <c r="CY40" s="120">
        <v>0</v>
      </c>
      <c r="CZ40" s="120">
        <v>0</v>
      </c>
      <c r="DA40" s="209">
        <f>IFERROR(Opv.kohd.[[#This Row],[Järjestämisluvan mukaiset 13]]/Opv.kohd.[[#This Row],[Järjestämisluvan mukaiset 12]],0)</f>
        <v>0</v>
      </c>
      <c r="DB40" s="209">
        <f>IFERROR(Opv.kohd.[[#This Row],[Kohdentamat-tomat 13]]/Opv.kohd.[[#This Row],[Kohdentamat-tomat 12]],0)</f>
        <v>0</v>
      </c>
      <c r="DC40" s="209">
        <f>IFERROR(Opv.kohd.[[#This Row],[Työvoima-koulutus 13]]/Opv.kohd.[[#This Row],[Työvoima-koulutus 12]],0)</f>
        <v>0</v>
      </c>
      <c r="DD40" s="209">
        <f>IFERROR(Opv.kohd.[[#This Row],[Maahan-muuttajien koulutus 13]]/Opv.kohd.[[#This Row],[Maahan-muuttajien koulutus 12]],0)</f>
        <v>0</v>
      </c>
      <c r="DE40" s="209">
        <f>IFERROR(Opv.kohd.[[#This Row],[Nuorisotyöt. väh. ja osaamistarp. vast., muu kuin työvoima-koulutus 13]]/Opv.kohd.[[#This Row],[Nuorisotyöt. väh. ja osaamistarp. vast., muu kuin työvoima-koulutus 12]],0)</f>
        <v>0</v>
      </c>
      <c r="DF40" s="209">
        <f>IFERROR(Opv.kohd.[[#This Row],[Nuorisotyöt. väh. ja osaamistarp. vast., työvoima-koulutus 13]]/Opv.kohd.[[#This Row],[Nuorisotyöt. väh. ja osaamistarp. vast., työvoima-koulutus 12]],0)</f>
        <v>0</v>
      </c>
      <c r="DG40" s="209">
        <f>IFERROR(Opv.kohd.[[#This Row],[Yhteensä 13]]/Opv.kohd.[[#This Row],[Yhteensä 12]],0)</f>
        <v>0</v>
      </c>
      <c r="DH40" s="209">
        <f>IFERROR(Opv.kohd.[[#This Row],[Tavoitteelliset opiskelijavuodet yhteensä 13]]/Opv.kohd.[[#This Row],[Tavoitteelliset opiskelijavuodet yhteensä 12]],0)</f>
        <v>0</v>
      </c>
      <c r="DI40" s="207">
        <f>Opv.kohd.[[#This Row],[Järjestämisluvan mukaiset 12]]-Opv.kohd.[[#This Row],[Järjestämisluvan mukaiset 9]]</f>
        <v>-3008</v>
      </c>
      <c r="DJ40" s="207">
        <f>Opv.kohd.[[#This Row],[Kohdentamat-tomat 12]]-Opv.kohd.[[#This Row],[Kohdentamat-tomat 9]]</f>
        <v>-105</v>
      </c>
      <c r="DK40" s="207">
        <f>Opv.kohd.[[#This Row],[Työvoima-koulutus 12]]-Opv.kohd.[[#This Row],[Työvoima-koulutus 9]]</f>
        <v>-70</v>
      </c>
      <c r="DL40" s="207">
        <f>Opv.kohd.[[#This Row],[Maahan-muuttajien koulutus 12]]-Opv.kohd.[[#This Row],[Maahan-muuttajien koulutus 9]]</f>
        <v>-10</v>
      </c>
      <c r="DM40" s="207">
        <f>Opv.kohd.[[#This Row],[Nuorisotyöt. väh. ja osaamistarp. vast., muu kuin työvoima-koulutus 12]]-Opv.kohd.[[#This Row],[Nuorisotyöt. väh. ja osaamistarp. vast., muu kuin työvoima-koulutus 9]]</f>
        <v>-15</v>
      </c>
      <c r="DN40" s="207">
        <f>Opv.kohd.[[#This Row],[Nuorisotyöt. väh. ja osaamistarp. vast., työvoima-koulutus 12]]-Opv.kohd.[[#This Row],[Nuorisotyöt. väh. ja osaamistarp. vast., työvoima-koulutus 9]]</f>
        <v>0</v>
      </c>
      <c r="DO40" s="207">
        <f>Opv.kohd.[[#This Row],[Yhteensä 12]]-Opv.kohd.[[#This Row],[Yhteensä 9]]</f>
        <v>-200</v>
      </c>
      <c r="DP40" s="207">
        <f>Opv.kohd.[[#This Row],[Tavoitteelliset opiskelijavuodet yhteensä 12]]-Opv.kohd.[[#This Row],[Tavoitteelliset opiskelijavuodet yhteensä 9]]</f>
        <v>-3208</v>
      </c>
      <c r="DQ40" s="209">
        <f>IFERROR(Opv.kohd.[[#This Row],[Järjestämisluvan mukaiset 15]]/Opv.kohd.[[#This Row],[Järjestämisluvan mukaiset 9]],0)</f>
        <v>-1</v>
      </c>
      <c r="DR40" s="209">
        <f t="shared" si="10"/>
        <v>0</v>
      </c>
      <c r="DS40" s="209">
        <f t="shared" si="11"/>
        <v>0</v>
      </c>
      <c r="DT40" s="209">
        <f t="shared" si="12"/>
        <v>0</v>
      </c>
      <c r="DU40" s="209">
        <f t="shared" si="13"/>
        <v>0</v>
      </c>
      <c r="DV40" s="209">
        <f t="shared" si="14"/>
        <v>0</v>
      </c>
      <c r="DW40" s="209">
        <f t="shared" si="15"/>
        <v>0</v>
      </c>
      <c r="DX40" s="209">
        <f t="shared" si="16"/>
        <v>0</v>
      </c>
    </row>
    <row r="41" spans="1:128" x14ac:dyDescent="0.25">
      <c r="A41" s="204" t="e">
        <f>IF(INDEX(#REF!,ROW(41:41)-1,1)=0,"",INDEX(#REF!,ROW(41:41)-1,1))</f>
        <v>#REF!</v>
      </c>
      <c r="B41" s="205" t="str">
        <f>IFERROR(VLOOKUP(Opv.kohd.[[#This Row],[Y-tunnus]],'0 Järjestäjätiedot'!$A:$H,2,FALSE),"")</f>
        <v/>
      </c>
      <c r="C41" s="204" t="str">
        <f>IFERROR(VLOOKUP(Opv.kohd.[[#This Row],[Y-tunnus]],'0 Järjestäjätiedot'!$A:$H,COLUMN('0 Järjestäjätiedot'!D:D),FALSE),"")</f>
        <v/>
      </c>
      <c r="D41" s="204" t="str">
        <f>IFERROR(VLOOKUP(Opv.kohd.[[#This Row],[Y-tunnus]],'0 Järjestäjätiedot'!$A:$H,COLUMN('0 Järjestäjätiedot'!H:H),FALSE),"")</f>
        <v/>
      </c>
      <c r="E41" s="204">
        <f>IFERROR(VLOOKUP(Opv.kohd.[[#This Row],[Y-tunnus]],#REF!,COLUMN(#REF!),FALSE),0)</f>
        <v>0</v>
      </c>
      <c r="F41" s="204">
        <f>IFERROR(VLOOKUP(Opv.kohd.[[#This Row],[Y-tunnus]],#REF!,COLUMN(#REF!),FALSE),0)</f>
        <v>0</v>
      </c>
      <c r="G41" s="204">
        <f>IFERROR(VLOOKUP(Opv.kohd.[[#This Row],[Y-tunnus]],#REF!,COLUMN(#REF!),FALSE),0)</f>
        <v>0</v>
      </c>
      <c r="H41" s="204">
        <f>IFERROR(VLOOKUP(Opv.kohd.[[#This Row],[Y-tunnus]],#REF!,COLUMN(#REF!),FALSE),0)</f>
        <v>0</v>
      </c>
      <c r="I41" s="204">
        <f>IFERROR(VLOOKUP(Opv.kohd.[[#This Row],[Y-tunnus]],#REF!,COLUMN(#REF!),FALSE),0)</f>
        <v>0</v>
      </c>
      <c r="J41" s="204">
        <f>IFERROR(VLOOKUP(Opv.kohd.[[#This Row],[Y-tunnus]],#REF!,COLUMN(#REF!),FALSE),0)</f>
        <v>0</v>
      </c>
      <c r="K4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41" s="204">
        <f>Opv.kohd.[[#This Row],[Järjestämisluvan mukaiset 1]]+Opv.kohd.[[#This Row],[Yhteensä  1]]</f>
        <v>0</v>
      </c>
      <c r="M41" s="204">
        <f>IFERROR(VLOOKUP(Opv.kohd.[[#This Row],[Y-tunnus]],#REF!,COLUMN(#REF!),FALSE),0)</f>
        <v>0</v>
      </c>
      <c r="N41" s="204">
        <f>IFERROR(VLOOKUP(Opv.kohd.[[#This Row],[Y-tunnus]],#REF!,COLUMN(#REF!),FALSE),0)</f>
        <v>0</v>
      </c>
      <c r="O41" s="204">
        <f>IFERROR(VLOOKUP(Opv.kohd.[[#This Row],[Y-tunnus]],#REF!,COLUMN(#REF!),FALSE)+VLOOKUP(Opv.kohd.[[#This Row],[Y-tunnus]],#REF!,COLUMN(#REF!),FALSE),0)</f>
        <v>0</v>
      </c>
      <c r="P41" s="204">
        <f>Opv.kohd.[[#This Row],[Talousarvion perusteella kohdentamattomat]]+Opv.kohd.[[#This Row],[Talousarvion perusteella työvoimakoulutus 1]]+Opv.kohd.[[#This Row],[Lisätalousarvioiden perusteella]]</f>
        <v>0</v>
      </c>
      <c r="Q41" s="204">
        <f>IFERROR(VLOOKUP(Opv.kohd.[[#This Row],[Y-tunnus]],#REF!,COLUMN(#REF!),FALSE),0)</f>
        <v>0</v>
      </c>
      <c r="R41" s="210">
        <f>IFERROR(VLOOKUP(Opv.kohd.[[#This Row],[Y-tunnus]],#REF!,COLUMN(#REF!),FALSE)-(Opv.kohd.[[#This Row],[Kohdentamaton työvoima-koulutus 2]]+Opv.kohd.[[#This Row],[Maahan-muuttajien koulutus 2]]+Opv.kohd.[[#This Row],[Lisätalousarvioiden perusteella jaetut 2]]),0)</f>
        <v>0</v>
      </c>
      <c r="S41" s="210">
        <f>IFERROR(VLOOKUP(Opv.kohd.[[#This Row],[Y-tunnus]],#REF!,COLUMN(#REF!),FALSE)+VLOOKUP(Opv.kohd.[[#This Row],[Y-tunnus]],#REF!,COLUMN(#REF!),FALSE),0)</f>
        <v>0</v>
      </c>
      <c r="T41" s="210">
        <f>IFERROR(VLOOKUP(Opv.kohd.[[#This Row],[Y-tunnus]],#REF!,COLUMN(#REF!),FALSE)+VLOOKUP(Opv.kohd.[[#This Row],[Y-tunnus]],#REF!,COLUMN(#REF!),FALSE),0)</f>
        <v>0</v>
      </c>
      <c r="U4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41" s="210">
        <f>Opv.kohd.[[#This Row],[Kohdentamat-tomat 2]]+Opv.kohd.[[#This Row],[Kohdentamaton työvoima-koulutus 2]]+Opv.kohd.[[#This Row],[Maahan-muuttajien koulutus 2]]+Opv.kohd.[[#This Row],[Lisätalousarvioiden perusteella jaetut 2]]</f>
        <v>0</v>
      </c>
      <c r="W41" s="210">
        <f>Opv.kohd.[[#This Row],[Kohdentamat-tomat 2]]-(Opv.kohd.[[#This Row],[Järjestämisluvan mukaiset 1]]+Opv.kohd.[[#This Row],[Kohdentamat-tomat 1]]+Opv.kohd.[[#This Row],[Nuorisotyöt. väh. ja osaamistarp. vast., muu kuin työvoima-koulutus 1]]+Opv.kohd.[[#This Row],[Talousarvion perusteella kohdentamattomat]])</f>
        <v>0</v>
      </c>
      <c r="X41" s="210">
        <f>Opv.kohd.[[#This Row],[Kohdentamaton työvoima-koulutus 2]]-(Opv.kohd.[[#This Row],[Työvoima-koulutus 1]]+Opv.kohd.[[#This Row],[Nuorisotyöt. väh. ja osaamistarp. vast., työvoima-koulutus 1]]+Opv.kohd.[[#This Row],[Talousarvion perusteella työvoimakoulutus 1]])</f>
        <v>0</v>
      </c>
      <c r="Y41" s="210">
        <f>Opv.kohd.[[#This Row],[Maahan-muuttajien koulutus 2]]-Opv.kohd.[[#This Row],[Maahan-muuttajien koulutus 1]]</f>
        <v>0</v>
      </c>
      <c r="Z41" s="210">
        <f>Opv.kohd.[[#This Row],[Lisätalousarvioiden perusteella jaetut 2]]-Opv.kohd.[[#This Row],[Lisätalousarvioiden perusteella]]</f>
        <v>0</v>
      </c>
      <c r="AA41" s="210">
        <f>Opv.kohd.[[#This Row],[Toteutuneet opiskelijavuodet yhteensä 2]]-Opv.kohd.[[#This Row],[Vuoden 2018 tavoitteelliset opiskelijavuodet yhteensä 1]]</f>
        <v>0</v>
      </c>
      <c r="AB41" s="207">
        <f>IFERROR(VLOOKUP(Opv.kohd.[[#This Row],[Y-tunnus]],#REF!,3,FALSE),0)</f>
        <v>0</v>
      </c>
      <c r="AC41" s="207">
        <f>IFERROR(VLOOKUP(Opv.kohd.[[#This Row],[Y-tunnus]],#REF!,4,FALSE),0)</f>
        <v>0</v>
      </c>
      <c r="AD41" s="207">
        <f>IFERROR(VLOOKUP(Opv.kohd.[[#This Row],[Y-tunnus]],#REF!,5,FALSE),0)</f>
        <v>0</v>
      </c>
      <c r="AE41" s="207">
        <f>IFERROR(VLOOKUP(Opv.kohd.[[#This Row],[Y-tunnus]],#REF!,6,FALSE),0)</f>
        <v>0</v>
      </c>
      <c r="AF41" s="207">
        <f>IFERROR(VLOOKUP(Opv.kohd.[[#This Row],[Y-tunnus]],#REF!,7,FALSE),0)</f>
        <v>0</v>
      </c>
      <c r="AG41" s="207">
        <f>IFERROR(VLOOKUP(Opv.kohd.[[#This Row],[Y-tunnus]],#REF!,8,FALSE),0)</f>
        <v>0</v>
      </c>
      <c r="AH41" s="207">
        <f>IFERROR(VLOOKUP(Opv.kohd.[[#This Row],[Y-tunnus]],#REF!,9,FALSE),0)</f>
        <v>0</v>
      </c>
      <c r="AI41" s="207">
        <f>IFERROR(VLOOKUP(Opv.kohd.[[#This Row],[Y-tunnus]],#REF!,10,FALSE),0)</f>
        <v>0</v>
      </c>
      <c r="AJ41" s="204">
        <f>Opv.kohd.[[#This Row],[Järjestämisluvan mukaiset 4]]-Opv.kohd.[[#This Row],[Järjestämisluvan mukaiset 1]]</f>
        <v>0</v>
      </c>
      <c r="AK41" s="204">
        <f>Opv.kohd.[[#This Row],[Kohdentamat-tomat 4]]-Opv.kohd.[[#This Row],[Kohdentamat-tomat 1]]</f>
        <v>0</v>
      </c>
      <c r="AL41" s="204">
        <f>Opv.kohd.[[#This Row],[Työvoima-koulutus 4]]-Opv.kohd.[[#This Row],[Työvoima-koulutus 1]]</f>
        <v>0</v>
      </c>
      <c r="AM41" s="204">
        <f>Opv.kohd.[[#This Row],[Maahan-muuttajien koulutus 4]]-Opv.kohd.[[#This Row],[Maahan-muuttajien koulutus 1]]</f>
        <v>0</v>
      </c>
      <c r="AN41" s="204">
        <f>Opv.kohd.[[#This Row],[Nuorisotyöt. väh. ja osaamistarp. vast., muu kuin työvoima-koulutus 4]]-Opv.kohd.[[#This Row],[Nuorisotyöt. väh. ja osaamistarp. vast., muu kuin työvoima-koulutus 1]]</f>
        <v>0</v>
      </c>
      <c r="AO41" s="204">
        <f>Opv.kohd.[[#This Row],[Nuorisotyöt. väh. ja osaamistarp. vast., työvoima-koulutus 4]]-Opv.kohd.[[#This Row],[Nuorisotyöt. väh. ja osaamistarp. vast., työvoima-koulutus 1]]</f>
        <v>0</v>
      </c>
      <c r="AP41" s="204">
        <f>Opv.kohd.[[#This Row],[Yhteensä 4]]-Opv.kohd.[[#This Row],[Yhteensä  1]]</f>
        <v>0</v>
      </c>
      <c r="AQ41" s="204">
        <f>Opv.kohd.[[#This Row],[Ensikertaisella suoritepäätöksellä jaetut tavoitteelliset opiskelijavuodet yhteensä 4]]-Opv.kohd.[[#This Row],[Ensikertaisella suoritepäätöksellä jaetut tavoitteelliset opiskelijavuodet yhteensä 1]]</f>
        <v>0</v>
      </c>
      <c r="AR41" s="208">
        <f>IFERROR(Opv.kohd.[[#This Row],[Järjestämisluvan mukaiset 5]]/Opv.kohd.[[#This Row],[Järjestämisluvan mukaiset 4]],0)</f>
        <v>0</v>
      </c>
      <c r="AS41" s="208">
        <f>IFERROR(Opv.kohd.[[#This Row],[Kohdentamat-tomat 5]]/Opv.kohd.[[#This Row],[Kohdentamat-tomat 4]],0)</f>
        <v>0</v>
      </c>
      <c r="AT41" s="208">
        <f>IFERROR(Opv.kohd.[[#This Row],[Työvoima-koulutus 5]]/Opv.kohd.[[#This Row],[Työvoima-koulutus 4]],0)</f>
        <v>0</v>
      </c>
      <c r="AU41" s="208">
        <f>IFERROR(Opv.kohd.[[#This Row],[Maahan-muuttajien koulutus 5]]/Opv.kohd.[[#This Row],[Maahan-muuttajien koulutus 4]],0)</f>
        <v>0</v>
      </c>
      <c r="AV41" s="208">
        <f>IFERROR(Opv.kohd.[[#This Row],[Nuorisotyöt. väh. ja osaamistarp. vast., muu kuin työvoima-koulutus 5]]/Opv.kohd.[[#This Row],[Nuorisotyöt. väh. ja osaamistarp. vast., muu kuin työvoima-koulutus 4]],0)</f>
        <v>0</v>
      </c>
      <c r="AW41" s="208">
        <f>IFERROR(Opv.kohd.[[#This Row],[Nuorisotyöt. väh. ja osaamistarp. vast., työvoima-koulutus 5]]/Opv.kohd.[[#This Row],[Nuorisotyöt. väh. ja osaamistarp. vast., työvoima-koulutus 4]],0)</f>
        <v>0</v>
      </c>
      <c r="AX41" s="208">
        <f>IFERROR(Opv.kohd.[[#This Row],[Yhteensä 5]]/Opv.kohd.[[#This Row],[Yhteensä 4]],0)</f>
        <v>0</v>
      </c>
      <c r="AY41" s="208">
        <f>IFERROR(Opv.kohd.[[#This Row],[Ensikertaisella suoritepäätöksellä jaetut tavoitteelliset opiskelijavuodet yhteensä 5]]/Opv.kohd.[[#This Row],[Ensikertaisella suoritepäätöksellä jaetut tavoitteelliset opiskelijavuodet yhteensä 4]],0)</f>
        <v>0</v>
      </c>
      <c r="AZ41" s="207">
        <f>Opv.kohd.[[#This Row],[Yhteensä 7a]]-Opv.kohd.[[#This Row],[Työvoima-koulutus 7a]]</f>
        <v>0</v>
      </c>
      <c r="BA41" s="207">
        <f>IFERROR(VLOOKUP(Opv.kohd.[[#This Row],[Y-tunnus]],#REF!,COLUMN(#REF!),FALSE),0)</f>
        <v>0</v>
      </c>
      <c r="BB41" s="207">
        <f>IFERROR(VLOOKUP(Opv.kohd.[[#This Row],[Y-tunnus]],#REF!,COLUMN(#REF!),FALSE),0)</f>
        <v>0</v>
      </c>
      <c r="BC41" s="207">
        <f>Opv.kohd.[[#This Row],[Muu kuin työvoima-koulutus 7c]]-Opv.kohd.[[#This Row],[Muu kuin työvoima-koulutus 7a]]</f>
        <v>0</v>
      </c>
      <c r="BD41" s="207">
        <f>Opv.kohd.[[#This Row],[Työvoima-koulutus 7c]]-Opv.kohd.[[#This Row],[Työvoima-koulutus 7a]]</f>
        <v>0</v>
      </c>
      <c r="BE41" s="207">
        <f>Opv.kohd.[[#This Row],[Yhteensä 7c]]-Opv.kohd.[[#This Row],[Yhteensä 7a]]</f>
        <v>0</v>
      </c>
      <c r="BF41" s="207">
        <f>Opv.kohd.[[#This Row],[Yhteensä 7c]]-Opv.kohd.[[#This Row],[Työvoima-koulutus 7c]]</f>
        <v>0</v>
      </c>
      <c r="BG41" s="207">
        <f>IFERROR(VLOOKUP(Opv.kohd.[[#This Row],[Y-tunnus]],#REF!,COLUMN(#REF!),FALSE),0)</f>
        <v>0</v>
      </c>
      <c r="BH41" s="207">
        <f>IFERROR(VLOOKUP(Opv.kohd.[[#This Row],[Y-tunnus]],#REF!,COLUMN(#REF!),FALSE),0)</f>
        <v>0</v>
      </c>
      <c r="BI41" s="207">
        <f>IFERROR(VLOOKUP(Opv.kohd.[[#This Row],[Y-tunnus]],#REF!,COLUMN(#REF!),FALSE),0)</f>
        <v>0</v>
      </c>
      <c r="BJ41" s="207">
        <f>IFERROR(VLOOKUP(Opv.kohd.[[#This Row],[Y-tunnus]],#REF!,COLUMN(#REF!),FALSE),0)</f>
        <v>0</v>
      </c>
      <c r="BK41" s="207">
        <f>Opv.kohd.[[#This Row],[Muu kuin työvoima-koulutus 7d]]+Opv.kohd.[[#This Row],[Työvoima-koulutus 7d]]</f>
        <v>0</v>
      </c>
      <c r="BL41" s="207">
        <f>Opv.kohd.[[#This Row],[Muu kuin työvoima-koulutus 7c]]-Opv.kohd.[[#This Row],[Muu kuin työvoima-koulutus 7d]]</f>
        <v>0</v>
      </c>
      <c r="BM41" s="207">
        <f>Opv.kohd.[[#This Row],[Työvoima-koulutus 7c]]-Opv.kohd.[[#This Row],[Työvoima-koulutus 7d]]</f>
        <v>0</v>
      </c>
      <c r="BN41" s="207">
        <f>Opv.kohd.[[#This Row],[Yhteensä 7c]]-Opv.kohd.[[#This Row],[Yhteensä 7d]]</f>
        <v>0</v>
      </c>
      <c r="BO41" s="207">
        <f>Opv.kohd.[[#This Row],[Muu kuin työvoima-koulutus 7e]]-(Opv.kohd.[[#This Row],[Järjestämisluvan mukaiset 4]]+Opv.kohd.[[#This Row],[Kohdentamat-tomat 4]]+Opv.kohd.[[#This Row],[Maahan-muuttajien koulutus 4]]+Opv.kohd.[[#This Row],[Nuorisotyöt. väh. ja osaamistarp. vast., muu kuin työvoima-koulutus 4]])</f>
        <v>0</v>
      </c>
      <c r="BP41" s="207">
        <f>Opv.kohd.[[#This Row],[Työvoima-koulutus 7e]]-(Opv.kohd.[[#This Row],[Työvoima-koulutus 4]]+Opv.kohd.[[#This Row],[Nuorisotyöt. väh. ja osaamistarp. vast., työvoima-koulutus 4]])</f>
        <v>0</v>
      </c>
      <c r="BQ41" s="207">
        <f>Opv.kohd.[[#This Row],[Yhteensä 7e]]-Opv.kohd.[[#This Row],[Ensikertaisella suoritepäätöksellä jaetut tavoitteelliset opiskelijavuodet yhteensä 4]]</f>
        <v>0</v>
      </c>
      <c r="BR41" s="263">
        <v>136</v>
      </c>
      <c r="BS41" s="263">
        <v>75</v>
      </c>
      <c r="BT41" s="263">
        <v>0</v>
      </c>
      <c r="BU41" s="263">
        <v>0</v>
      </c>
      <c r="BV41" s="263">
        <v>0</v>
      </c>
      <c r="BW41" s="263">
        <v>0</v>
      </c>
      <c r="BX41" s="263">
        <v>75</v>
      </c>
      <c r="BY41" s="263">
        <v>211</v>
      </c>
      <c r="BZ41" s="207">
        <f t="shared" si="2"/>
        <v>136</v>
      </c>
      <c r="CA41" s="207">
        <f t="shared" si="3"/>
        <v>75</v>
      </c>
      <c r="CB41" s="207">
        <f t="shared" si="4"/>
        <v>0</v>
      </c>
      <c r="CC41" s="207">
        <f t="shared" si="5"/>
        <v>0</v>
      </c>
      <c r="CD41" s="207">
        <f t="shared" si="6"/>
        <v>0</v>
      </c>
      <c r="CE41" s="207">
        <f t="shared" si="7"/>
        <v>0</v>
      </c>
      <c r="CF41" s="207">
        <f t="shared" si="8"/>
        <v>75</v>
      </c>
      <c r="CG41" s="207">
        <f t="shared" si="9"/>
        <v>211</v>
      </c>
      <c r="CH41" s="207">
        <f>Opv.kohd.[[#This Row],[Tavoitteelliset opiskelijavuodet yhteensä 9]]-Opv.kohd.[[#This Row],[Työvoima-koulutus 9]]-Opv.kohd.[[#This Row],[Nuorisotyöt. väh. ja osaamistarp. vast., työvoima-koulutus 9]]-Opv.kohd.[[#This Row],[Muu kuin työvoima-koulutus 7e]]</f>
        <v>211</v>
      </c>
      <c r="CI41" s="207">
        <f>(Opv.kohd.[[#This Row],[Työvoima-koulutus 9]]+Opv.kohd.[[#This Row],[Nuorisotyöt. väh. ja osaamistarp. vast., työvoima-koulutus 9]])-Opv.kohd.[[#This Row],[Työvoima-koulutus 7e]]</f>
        <v>0</v>
      </c>
      <c r="CJ41" s="207">
        <f>Opv.kohd.[[#This Row],[Tavoitteelliset opiskelijavuodet yhteensä 9]]-Opv.kohd.[[#This Row],[Yhteensä 7e]]</f>
        <v>211</v>
      </c>
      <c r="CK41" s="207">
        <f>Opv.kohd.[[#This Row],[Järjestämisluvan mukaiset 4]]+Opv.kohd.[[#This Row],[Järjestämisluvan mukaiset 13]]</f>
        <v>0</v>
      </c>
      <c r="CL41" s="207">
        <f>Opv.kohd.[[#This Row],[Kohdentamat-tomat 4]]+Opv.kohd.[[#This Row],[Kohdentamat-tomat 13]]</f>
        <v>0</v>
      </c>
      <c r="CM41" s="207">
        <f>Opv.kohd.[[#This Row],[Työvoima-koulutus 4]]+Opv.kohd.[[#This Row],[Työvoima-koulutus 13]]</f>
        <v>0</v>
      </c>
      <c r="CN41" s="207">
        <f>Opv.kohd.[[#This Row],[Maahan-muuttajien koulutus 4]]+Opv.kohd.[[#This Row],[Maahan-muuttajien koulutus 13]]</f>
        <v>0</v>
      </c>
      <c r="CO41" s="207">
        <f>Opv.kohd.[[#This Row],[Nuorisotyöt. väh. ja osaamistarp. vast., muu kuin työvoima-koulutus 4]]+Opv.kohd.[[#This Row],[Nuorisotyöt. väh. ja osaamistarp. vast., muu kuin työvoima-koulutus 13]]</f>
        <v>0</v>
      </c>
      <c r="CP41" s="207">
        <f>Opv.kohd.[[#This Row],[Nuorisotyöt. väh. ja osaamistarp. vast., työvoima-koulutus 4]]+Opv.kohd.[[#This Row],[Nuorisotyöt. väh. ja osaamistarp. vast., työvoima-koulutus 13]]</f>
        <v>0</v>
      </c>
      <c r="CQ41" s="207">
        <f>Opv.kohd.[[#This Row],[Yhteensä 4]]+Opv.kohd.[[#This Row],[Yhteensä 13]]</f>
        <v>0</v>
      </c>
      <c r="CR41" s="207">
        <f>Opv.kohd.[[#This Row],[Ensikertaisella suoritepäätöksellä jaetut tavoitteelliset opiskelijavuodet yhteensä 4]]+Opv.kohd.[[#This Row],[Tavoitteelliset opiskelijavuodet yhteensä 13]]</f>
        <v>0</v>
      </c>
      <c r="CS41" s="120">
        <v>0</v>
      </c>
      <c r="CT41" s="120">
        <v>0</v>
      </c>
      <c r="CU41" s="120">
        <v>0</v>
      </c>
      <c r="CV41" s="120">
        <v>0</v>
      </c>
      <c r="CW41" s="120">
        <v>0</v>
      </c>
      <c r="CX41" s="120">
        <v>0</v>
      </c>
      <c r="CY41" s="120">
        <v>0</v>
      </c>
      <c r="CZ41" s="120">
        <v>0</v>
      </c>
      <c r="DA41" s="209">
        <f>IFERROR(Opv.kohd.[[#This Row],[Järjestämisluvan mukaiset 13]]/Opv.kohd.[[#This Row],[Järjestämisluvan mukaiset 12]],0)</f>
        <v>0</v>
      </c>
      <c r="DB41" s="209">
        <f>IFERROR(Opv.kohd.[[#This Row],[Kohdentamat-tomat 13]]/Opv.kohd.[[#This Row],[Kohdentamat-tomat 12]],0)</f>
        <v>0</v>
      </c>
      <c r="DC41" s="209">
        <f>IFERROR(Opv.kohd.[[#This Row],[Työvoima-koulutus 13]]/Opv.kohd.[[#This Row],[Työvoima-koulutus 12]],0)</f>
        <v>0</v>
      </c>
      <c r="DD41" s="209">
        <f>IFERROR(Opv.kohd.[[#This Row],[Maahan-muuttajien koulutus 13]]/Opv.kohd.[[#This Row],[Maahan-muuttajien koulutus 12]],0)</f>
        <v>0</v>
      </c>
      <c r="DE41" s="209">
        <f>IFERROR(Opv.kohd.[[#This Row],[Nuorisotyöt. väh. ja osaamistarp. vast., muu kuin työvoima-koulutus 13]]/Opv.kohd.[[#This Row],[Nuorisotyöt. väh. ja osaamistarp. vast., muu kuin työvoima-koulutus 12]],0)</f>
        <v>0</v>
      </c>
      <c r="DF41" s="209">
        <f>IFERROR(Opv.kohd.[[#This Row],[Nuorisotyöt. väh. ja osaamistarp. vast., työvoima-koulutus 13]]/Opv.kohd.[[#This Row],[Nuorisotyöt. väh. ja osaamistarp. vast., työvoima-koulutus 12]],0)</f>
        <v>0</v>
      </c>
      <c r="DG41" s="209">
        <f>IFERROR(Opv.kohd.[[#This Row],[Yhteensä 13]]/Opv.kohd.[[#This Row],[Yhteensä 12]],0)</f>
        <v>0</v>
      </c>
      <c r="DH41" s="209">
        <f>IFERROR(Opv.kohd.[[#This Row],[Tavoitteelliset opiskelijavuodet yhteensä 13]]/Opv.kohd.[[#This Row],[Tavoitteelliset opiskelijavuodet yhteensä 12]],0)</f>
        <v>0</v>
      </c>
      <c r="DI41" s="207">
        <f>Opv.kohd.[[#This Row],[Järjestämisluvan mukaiset 12]]-Opv.kohd.[[#This Row],[Järjestämisluvan mukaiset 9]]</f>
        <v>-136</v>
      </c>
      <c r="DJ41" s="207">
        <f>Opv.kohd.[[#This Row],[Kohdentamat-tomat 12]]-Opv.kohd.[[#This Row],[Kohdentamat-tomat 9]]</f>
        <v>-75</v>
      </c>
      <c r="DK41" s="207">
        <f>Opv.kohd.[[#This Row],[Työvoima-koulutus 12]]-Opv.kohd.[[#This Row],[Työvoima-koulutus 9]]</f>
        <v>0</v>
      </c>
      <c r="DL41" s="207">
        <f>Opv.kohd.[[#This Row],[Maahan-muuttajien koulutus 12]]-Opv.kohd.[[#This Row],[Maahan-muuttajien koulutus 9]]</f>
        <v>0</v>
      </c>
      <c r="DM41" s="207">
        <f>Opv.kohd.[[#This Row],[Nuorisotyöt. väh. ja osaamistarp. vast., muu kuin työvoima-koulutus 12]]-Opv.kohd.[[#This Row],[Nuorisotyöt. väh. ja osaamistarp. vast., muu kuin työvoima-koulutus 9]]</f>
        <v>0</v>
      </c>
      <c r="DN41" s="207">
        <f>Opv.kohd.[[#This Row],[Nuorisotyöt. väh. ja osaamistarp. vast., työvoima-koulutus 12]]-Opv.kohd.[[#This Row],[Nuorisotyöt. väh. ja osaamistarp. vast., työvoima-koulutus 9]]</f>
        <v>0</v>
      </c>
      <c r="DO41" s="207">
        <f>Opv.kohd.[[#This Row],[Yhteensä 12]]-Opv.kohd.[[#This Row],[Yhteensä 9]]</f>
        <v>-75</v>
      </c>
      <c r="DP41" s="207">
        <f>Opv.kohd.[[#This Row],[Tavoitteelliset opiskelijavuodet yhteensä 12]]-Opv.kohd.[[#This Row],[Tavoitteelliset opiskelijavuodet yhteensä 9]]</f>
        <v>-211</v>
      </c>
      <c r="DQ41" s="209">
        <f>IFERROR(Opv.kohd.[[#This Row],[Järjestämisluvan mukaiset 15]]/Opv.kohd.[[#This Row],[Järjestämisluvan mukaiset 9]],0)</f>
        <v>-1</v>
      </c>
      <c r="DR41" s="209">
        <f t="shared" si="10"/>
        <v>0</v>
      </c>
      <c r="DS41" s="209">
        <f t="shared" si="11"/>
        <v>0</v>
      </c>
      <c r="DT41" s="209">
        <f t="shared" si="12"/>
        <v>0</v>
      </c>
      <c r="DU41" s="209">
        <f t="shared" si="13"/>
        <v>0</v>
      </c>
      <c r="DV41" s="209">
        <f t="shared" si="14"/>
        <v>0</v>
      </c>
      <c r="DW41" s="209">
        <f t="shared" si="15"/>
        <v>0</v>
      </c>
      <c r="DX41" s="209">
        <f t="shared" si="16"/>
        <v>0</v>
      </c>
    </row>
    <row r="42" spans="1:128" x14ac:dyDescent="0.25">
      <c r="A42" s="204" t="e">
        <f>IF(INDEX(#REF!,ROW(42:42)-1,1)=0,"",INDEX(#REF!,ROW(42:42)-1,1))</f>
        <v>#REF!</v>
      </c>
      <c r="B42" s="205" t="str">
        <f>IFERROR(VLOOKUP(Opv.kohd.[[#This Row],[Y-tunnus]],'0 Järjestäjätiedot'!$A:$H,2,FALSE),"")</f>
        <v/>
      </c>
      <c r="C42" s="204" t="str">
        <f>IFERROR(VLOOKUP(Opv.kohd.[[#This Row],[Y-tunnus]],'0 Järjestäjätiedot'!$A:$H,COLUMN('0 Järjestäjätiedot'!D:D),FALSE),"")</f>
        <v/>
      </c>
      <c r="D42" s="204" t="str">
        <f>IFERROR(VLOOKUP(Opv.kohd.[[#This Row],[Y-tunnus]],'0 Järjestäjätiedot'!$A:$H,COLUMN('0 Järjestäjätiedot'!H:H),FALSE),"")</f>
        <v/>
      </c>
      <c r="E42" s="204">
        <f>IFERROR(VLOOKUP(Opv.kohd.[[#This Row],[Y-tunnus]],#REF!,COLUMN(#REF!),FALSE),0)</f>
        <v>0</v>
      </c>
      <c r="F42" s="204">
        <f>IFERROR(VLOOKUP(Opv.kohd.[[#This Row],[Y-tunnus]],#REF!,COLUMN(#REF!),FALSE),0)</f>
        <v>0</v>
      </c>
      <c r="G42" s="204">
        <f>IFERROR(VLOOKUP(Opv.kohd.[[#This Row],[Y-tunnus]],#REF!,COLUMN(#REF!),FALSE),0)</f>
        <v>0</v>
      </c>
      <c r="H42" s="204">
        <f>IFERROR(VLOOKUP(Opv.kohd.[[#This Row],[Y-tunnus]],#REF!,COLUMN(#REF!),FALSE),0)</f>
        <v>0</v>
      </c>
      <c r="I42" s="204">
        <f>IFERROR(VLOOKUP(Opv.kohd.[[#This Row],[Y-tunnus]],#REF!,COLUMN(#REF!),FALSE),0)</f>
        <v>0</v>
      </c>
      <c r="J42" s="204">
        <f>IFERROR(VLOOKUP(Opv.kohd.[[#This Row],[Y-tunnus]],#REF!,COLUMN(#REF!),FALSE),0)</f>
        <v>0</v>
      </c>
      <c r="K4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42" s="204">
        <f>Opv.kohd.[[#This Row],[Järjestämisluvan mukaiset 1]]+Opv.kohd.[[#This Row],[Yhteensä  1]]</f>
        <v>0</v>
      </c>
      <c r="M42" s="204">
        <f>IFERROR(VLOOKUP(Opv.kohd.[[#This Row],[Y-tunnus]],#REF!,COLUMN(#REF!),FALSE),0)</f>
        <v>0</v>
      </c>
      <c r="N42" s="204">
        <f>IFERROR(VLOOKUP(Opv.kohd.[[#This Row],[Y-tunnus]],#REF!,COLUMN(#REF!),FALSE),0)</f>
        <v>0</v>
      </c>
      <c r="O42" s="204">
        <f>IFERROR(VLOOKUP(Opv.kohd.[[#This Row],[Y-tunnus]],#REF!,COLUMN(#REF!),FALSE)+VLOOKUP(Opv.kohd.[[#This Row],[Y-tunnus]],#REF!,COLUMN(#REF!),FALSE),0)</f>
        <v>0</v>
      </c>
      <c r="P42" s="204">
        <f>Opv.kohd.[[#This Row],[Talousarvion perusteella kohdentamattomat]]+Opv.kohd.[[#This Row],[Talousarvion perusteella työvoimakoulutus 1]]+Opv.kohd.[[#This Row],[Lisätalousarvioiden perusteella]]</f>
        <v>0</v>
      </c>
      <c r="Q42" s="204">
        <f>IFERROR(VLOOKUP(Opv.kohd.[[#This Row],[Y-tunnus]],#REF!,COLUMN(#REF!),FALSE),0)</f>
        <v>0</v>
      </c>
      <c r="R42" s="210">
        <f>IFERROR(VLOOKUP(Opv.kohd.[[#This Row],[Y-tunnus]],#REF!,COLUMN(#REF!),FALSE)-(Opv.kohd.[[#This Row],[Kohdentamaton työvoima-koulutus 2]]+Opv.kohd.[[#This Row],[Maahan-muuttajien koulutus 2]]+Opv.kohd.[[#This Row],[Lisätalousarvioiden perusteella jaetut 2]]),0)</f>
        <v>0</v>
      </c>
      <c r="S42" s="210">
        <f>IFERROR(VLOOKUP(Opv.kohd.[[#This Row],[Y-tunnus]],#REF!,COLUMN(#REF!),FALSE)+VLOOKUP(Opv.kohd.[[#This Row],[Y-tunnus]],#REF!,COLUMN(#REF!),FALSE),0)</f>
        <v>0</v>
      </c>
      <c r="T42" s="210">
        <f>IFERROR(VLOOKUP(Opv.kohd.[[#This Row],[Y-tunnus]],#REF!,COLUMN(#REF!),FALSE)+VLOOKUP(Opv.kohd.[[#This Row],[Y-tunnus]],#REF!,COLUMN(#REF!),FALSE),0)</f>
        <v>0</v>
      </c>
      <c r="U4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42" s="210">
        <f>Opv.kohd.[[#This Row],[Kohdentamat-tomat 2]]+Opv.kohd.[[#This Row],[Kohdentamaton työvoima-koulutus 2]]+Opv.kohd.[[#This Row],[Maahan-muuttajien koulutus 2]]+Opv.kohd.[[#This Row],[Lisätalousarvioiden perusteella jaetut 2]]</f>
        <v>0</v>
      </c>
      <c r="W42" s="210">
        <f>Opv.kohd.[[#This Row],[Kohdentamat-tomat 2]]-(Opv.kohd.[[#This Row],[Järjestämisluvan mukaiset 1]]+Opv.kohd.[[#This Row],[Kohdentamat-tomat 1]]+Opv.kohd.[[#This Row],[Nuorisotyöt. väh. ja osaamistarp. vast., muu kuin työvoima-koulutus 1]]+Opv.kohd.[[#This Row],[Talousarvion perusteella kohdentamattomat]])</f>
        <v>0</v>
      </c>
      <c r="X42" s="210">
        <f>Opv.kohd.[[#This Row],[Kohdentamaton työvoima-koulutus 2]]-(Opv.kohd.[[#This Row],[Työvoima-koulutus 1]]+Opv.kohd.[[#This Row],[Nuorisotyöt. väh. ja osaamistarp. vast., työvoima-koulutus 1]]+Opv.kohd.[[#This Row],[Talousarvion perusteella työvoimakoulutus 1]])</f>
        <v>0</v>
      </c>
      <c r="Y42" s="210">
        <f>Opv.kohd.[[#This Row],[Maahan-muuttajien koulutus 2]]-Opv.kohd.[[#This Row],[Maahan-muuttajien koulutus 1]]</f>
        <v>0</v>
      </c>
      <c r="Z42" s="210">
        <f>Opv.kohd.[[#This Row],[Lisätalousarvioiden perusteella jaetut 2]]-Opv.kohd.[[#This Row],[Lisätalousarvioiden perusteella]]</f>
        <v>0</v>
      </c>
      <c r="AA42" s="210">
        <f>Opv.kohd.[[#This Row],[Toteutuneet opiskelijavuodet yhteensä 2]]-Opv.kohd.[[#This Row],[Vuoden 2018 tavoitteelliset opiskelijavuodet yhteensä 1]]</f>
        <v>0</v>
      </c>
      <c r="AB42" s="207">
        <f>IFERROR(VLOOKUP(Opv.kohd.[[#This Row],[Y-tunnus]],#REF!,3,FALSE),0)</f>
        <v>0</v>
      </c>
      <c r="AC42" s="207">
        <f>IFERROR(VLOOKUP(Opv.kohd.[[#This Row],[Y-tunnus]],#REF!,4,FALSE),0)</f>
        <v>0</v>
      </c>
      <c r="AD42" s="207">
        <f>IFERROR(VLOOKUP(Opv.kohd.[[#This Row],[Y-tunnus]],#REF!,5,FALSE),0)</f>
        <v>0</v>
      </c>
      <c r="AE42" s="207">
        <f>IFERROR(VLOOKUP(Opv.kohd.[[#This Row],[Y-tunnus]],#REF!,6,FALSE),0)</f>
        <v>0</v>
      </c>
      <c r="AF42" s="207">
        <f>IFERROR(VLOOKUP(Opv.kohd.[[#This Row],[Y-tunnus]],#REF!,7,FALSE),0)</f>
        <v>0</v>
      </c>
      <c r="AG42" s="207">
        <f>IFERROR(VLOOKUP(Opv.kohd.[[#This Row],[Y-tunnus]],#REF!,8,FALSE),0)</f>
        <v>0</v>
      </c>
      <c r="AH42" s="207">
        <f>IFERROR(VLOOKUP(Opv.kohd.[[#This Row],[Y-tunnus]],#REF!,9,FALSE),0)</f>
        <v>0</v>
      </c>
      <c r="AI42" s="207">
        <f>IFERROR(VLOOKUP(Opv.kohd.[[#This Row],[Y-tunnus]],#REF!,10,FALSE),0)</f>
        <v>0</v>
      </c>
      <c r="AJ42" s="204">
        <f>Opv.kohd.[[#This Row],[Järjestämisluvan mukaiset 4]]-Opv.kohd.[[#This Row],[Järjestämisluvan mukaiset 1]]</f>
        <v>0</v>
      </c>
      <c r="AK42" s="204">
        <f>Opv.kohd.[[#This Row],[Kohdentamat-tomat 4]]-Opv.kohd.[[#This Row],[Kohdentamat-tomat 1]]</f>
        <v>0</v>
      </c>
      <c r="AL42" s="204">
        <f>Opv.kohd.[[#This Row],[Työvoima-koulutus 4]]-Opv.kohd.[[#This Row],[Työvoima-koulutus 1]]</f>
        <v>0</v>
      </c>
      <c r="AM42" s="204">
        <f>Opv.kohd.[[#This Row],[Maahan-muuttajien koulutus 4]]-Opv.kohd.[[#This Row],[Maahan-muuttajien koulutus 1]]</f>
        <v>0</v>
      </c>
      <c r="AN42" s="204">
        <f>Opv.kohd.[[#This Row],[Nuorisotyöt. väh. ja osaamistarp. vast., muu kuin työvoima-koulutus 4]]-Opv.kohd.[[#This Row],[Nuorisotyöt. väh. ja osaamistarp. vast., muu kuin työvoima-koulutus 1]]</f>
        <v>0</v>
      </c>
      <c r="AO42" s="204">
        <f>Opv.kohd.[[#This Row],[Nuorisotyöt. väh. ja osaamistarp. vast., työvoima-koulutus 4]]-Opv.kohd.[[#This Row],[Nuorisotyöt. väh. ja osaamistarp. vast., työvoima-koulutus 1]]</f>
        <v>0</v>
      </c>
      <c r="AP42" s="204">
        <f>Opv.kohd.[[#This Row],[Yhteensä 4]]-Opv.kohd.[[#This Row],[Yhteensä  1]]</f>
        <v>0</v>
      </c>
      <c r="AQ42" s="204">
        <f>Opv.kohd.[[#This Row],[Ensikertaisella suoritepäätöksellä jaetut tavoitteelliset opiskelijavuodet yhteensä 4]]-Opv.kohd.[[#This Row],[Ensikertaisella suoritepäätöksellä jaetut tavoitteelliset opiskelijavuodet yhteensä 1]]</f>
        <v>0</v>
      </c>
      <c r="AR42" s="208">
        <f>IFERROR(Opv.kohd.[[#This Row],[Järjestämisluvan mukaiset 5]]/Opv.kohd.[[#This Row],[Järjestämisluvan mukaiset 4]],0)</f>
        <v>0</v>
      </c>
      <c r="AS42" s="208">
        <f>IFERROR(Opv.kohd.[[#This Row],[Kohdentamat-tomat 5]]/Opv.kohd.[[#This Row],[Kohdentamat-tomat 4]],0)</f>
        <v>0</v>
      </c>
      <c r="AT42" s="208">
        <f>IFERROR(Opv.kohd.[[#This Row],[Työvoima-koulutus 5]]/Opv.kohd.[[#This Row],[Työvoima-koulutus 4]],0)</f>
        <v>0</v>
      </c>
      <c r="AU42" s="208">
        <f>IFERROR(Opv.kohd.[[#This Row],[Maahan-muuttajien koulutus 5]]/Opv.kohd.[[#This Row],[Maahan-muuttajien koulutus 4]],0)</f>
        <v>0</v>
      </c>
      <c r="AV42" s="208">
        <f>IFERROR(Opv.kohd.[[#This Row],[Nuorisotyöt. väh. ja osaamistarp. vast., muu kuin työvoima-koulutus 5]]/Opv.kohd.[[#This Row],[Nuorisotyöt. väh. ja osaamistarp. vast., muu kuin työvoima-koulutus 4]],0)</f>
        <v>0</v>
      </c>
      <c r="AW42" s="208">
        <f>IFERROR(Opv.kohd.[[#This Row],[Nuorisotyöt. väh. ja osaamistarp. vast., työvoima-koulutus 5]]/Opv.kohd.[[#This Row],[Nuorisotyöt. väh. ja osaamistarp. vast., työvoima-koulutus 4]],0)</f>
        <v>0</v>
      </c>
      <c r="AX42" s="208">
        <f>IFERROR(Opv.kohd.[[#This Row],[Yhteensä 5]]/Opv.kohd.[[#This Row],[Yhteensä 4]],0)</f>
        <v>0</v>
      </c>
      <c r="AY42" s="208">
        <f>IFERROR(Opv.kohd.[[#This Row],[Ensikertaisella suoritepäätöksellä jaetut tavoitteelliset opiskelijavuodet yhteensä 5]]/Opv.kohd.[[#This Row],[Ensikertaisella suoritepäätöksellä jaetut tavoitteelliset opiskelijavuodet yhteensä 4]],0)</f>
        <v>0</v>
      </c>
      <c r="AZ42" s="207">
        <f>Opv.kohd.[[#This Row],[Yhteensä 7a]]-Opv.kohd.[[#This Row],[Työvoima-koulutus 7a]]</f>
        <v>0</v>
      </c>
      <c r="BA42" s="207">
        <f>IFERROR(VLOOKUP(Opv.kohd.[[#This Row],[Y-tunnus]],#REF!,COLUMN(#REF!),FALSE),0)</f>
        <v>0</v>
      </c>
      <c r="BB42" s="207">
        <f>IFERROR(VLOOKUP(Opv.kohd.[[#This Row],[Y-tunnus]],#REF!,COLUMN(#REF!),FALSE),0)</f>
        <v>0</v>
      </c>
      <c r="BC42" s="207">
        <f>Opv.kohd.[[#This Row],[Muu kuin työvoima-koulutus 7c]]-Opv.kohd.[[#This Row],[Muu kuin työvoima-koulutus 7a]]</f>
        <v>0</v>
      </c>
      <c r="BD42" s="207">
        <f>Opv.kohd.[[#This Row],[Työvoima-koulutus 7c]]-Opv.kohd.[[#This Row],[Työvoima-koulutus 7a]]</f>
        <v>0</v>
      </c>
      <c r="BE42" s="207">
        <f>Opv.kohd.[[#This Row],[Yhteensä 7c]]-Opv.kohd.[[#This Row],[Yhteensä 7a]]</f>
        <v>0</v>
      </c>
      <c r="BF42" s="207">
        <f>Opv.kohd.[[#This Row],[Yhteensä 7c]]-Opv.kohd.[[#This Row],[Työvoima-koulutus 7c]]</f>
        <v>0</v>
      </c>
      <c r="BG42" s="207">
        <f>IFERROR(VLOOKUP(Opv.kohd.[[#This Row],[Y-tunnus]],#REF!,COLUMN(#REF!),FALSE),0)</f>
        <v>0</v>
      </c>
      <c r="BH42" s="207">
        <f>IFERROR(VLOOKUP(Opv.kohd.[[#This Row],[Y-tunnus]],#REF!,COLUMN(#REF!),FALSE),0)</f>
        <v>0</v>
      </c>
      <c r="BI42" s="207">
        <f>IFERROR(VLOOKUP(Opv.kohd.[[#This Row],[Y-tunnus]],#REF!,COLUMN(#REF!),FALSE),0)</f>
        <v>0</v>
      </c>
      <c r="BJ42" s="207">
        <f>IFERROR(VLOOKUP(Opv.kohd.[[#This Row],[Y-tunnus]],#REF!,COLUMN(#REF!),FALSE),0)</f>
        <v>0</v>
      </c>
      <c r="BK42" s="207">
        <f>Opv.kohd.[[#This Row],[Muu kuin työvoima-koulutus 7d]]+Opv.kohd.[[#This Row],[Työvoima-koulutus 7d]]</f>
        <v>0</v>
      </c>
      <c r="BL42" s="207">
        <f>Opv.kohd.[[#This Row],[Muu kuin työvoima-koulutus 7c]]-Opv.kohd.[[#This Row],[Muu kuin työvoima-koulutus 7d]]</f>
        <v>0</v>
      </c>
      <c r="BM42" s="207">
        <f>Opv.kohd.[[#This Row],[Työvoima-koulutus 7c]]-Opv.kohd.[[#This Row],[Työvoima-koulutus 7d]]</f>
        <v>0</v>
      </c>
      <c r="BN42" s="207">
        <f>Opv.kohd.[[#This Row],[Yhteensä 7c]]-Opv.kohd.[[#This Row],[Yhteensä 7d]]</f>
        <v>0</v>
      </c>
      <c r="BO42" s="207">
        <f>Opv.kohd.[[#This Row],[Muu kuin työvoima-koulutus 7e]]-(Opv.kohd.[[#This Row],[Järjestämisluvan mukaiset 4]]+Opv.kohd.[[#This Row],[Kohdentamat-tomat 4]]+Opv.kohd.[[#This Row],[Maahan-muuttajien koulutus 4]]+Opv.kohd.[[#This Row],[Nuorisotyöt. väh. ja osaamistarp. vast., muu kuin työvoima-koulutus 4]])</f>
        <v>0</v>
      </c>
      <c r="BP42" s="207">
        <f>Opv.kohd.[[#This Row],[Työvoima-koulutus 7e]]-(Opv.kohd.[[#This Row],[Työvoima-koulutus 4]]+Opv.kohd.[[#This Row],[Nuorisotyöt. väh. ja osaamistarp. vast., työvoima-koulutus 4]])</f>
        <v>0</v>
      </c>
      <c r="BQ42" s="207">
        <f>Opv.kohd.[[#This Row],[Yhteensä 7e]]-Opv.kohd.[[#This Row],[Ensikertaisella suoritepäätöksellä jaetut tavoitteelliset opiskelijavuodet yhteensä 4]]</f>
        <v>0</v>
      </c>
      <c r="BR42" s="263">
        <v>6525</v>
      </c>
      <c r="BS42" s="263">
        <v>277</v>
      </c>
      <c r="BT42" s="263">
        <v>424</v>
      </c>
      <c r="BU42" s="263">
        <v>30</v>
      </c>
      <c r="BV42" s="263">
        <v>29</v>
      </c>
      <c r="BW42" s="263">
        <v>20</v>
      </c>
      <c r="BX42" s="263">
        <v>780</v>
      </c>
      <c r="BY42" s="263">
        <v>7305</v>
      </c>
      <c r="BZ42" s="207">
        <f t="shared" si="2"/>
        <v>6525</v>
      </c>
      <c r="CA42" s="207">
        <f t="shared" si="3"/>
        <v>277</v>
      </c>
      <c r="CB42" s="207">
        <f t="shared" si="4"/>
        <v>424</v>
      </c>
      <c r="CC42" s="207">
        <f t="shared" si="5"/>
        <v>30</v>
      </c>
      <c r="CD42" s="207">
        <f t="shared" si="6"/>
        <v>29</v>
      </c>
      <c r="CE42" s="207">
        <f t="shared" si="7"/>
        <v>20</v>
      </c>
      <c r="CF42" s="207">
        <f t="shared" si="8"/>
        <v>780</v>
      </c>
      <c r="CG42" s="207">
        <f t="shared" si="9"/>
        <v>7305</v>
      </c>
      <c r="CH42" s="207">
        <f>Opv.kohd.[[#This Row],[Tavoitteelliset opiskelijavuodet yhteensä 9]]-Opv.kohd.[[#This Row],[Työvoima-koulutus 9]]-Opv.kohd.[[#This Row],[Nuorisotyöt. väh. ja osaamistarp. vast., työvoima-koulutus 9]]-Opv.kohd.[[#This Row],[Muu kuin työvoima-koulutus 7e]]</f>
        <v>6861</v>
      </c>
      <c r="CI42" s="207">
        <f>(Opv.kohd.[[#This Row],[Työvoima-koulutus 9]]+Opv.kohd.[[#This Row],[Nuorisotyöt. väh. ja osaamistarp. vast., työvoima-koulutus 9]])-Opv.kohd.[[#This Row],[Työvoima-koulutus 7e]]</f>
        <v>444</v>
      </c>
      <c r="CJ42" s="207">
        <f>Opv.kohd.[[#This Row],[Tavoitteelliset opiskelijavuodet yhteensä 9]]-Opv.kohd.[[#This Row],[Yhteensä 7e]]</f>
        <v>7305</v>
      </c>
      <c r="CK42" s="207">
        <f>Opv.kohd.[[#This Row],[Järjestämisluvan mukaiset 4]]+Opv.kohd.[[#This Row],[Järjestämisluvan mukaiset 13]]</f>
        <v>0</v>
      </c>
      <c r="CL42" s="207">
        <f>Opv.kohd.[[#This Row],[Kohdentamat-tomat 4]]+Opv.kohd.[[#This Row],[Kohdentamat-tomat 13]]</f>
        <v>0</v>
      </c>
      <c r="CM42" s="207">
        <f>Opv.kohd.[[#This Row],[Työvoima-koulutus 4]]+Opv.kohd.[[#This Row],[Työvoima-koulutus 13]]</f>
        <v>0</v>
      </c>
      <c r="CN42" s="207">
        <f>Opv.kohd.[[#This Row],[Maahan-muuttajien koulutus 4]]+Opv.kohd.[[#This Row],[Maahan-muuttajien koulutus 13]]</f>
        <v>0</v>
      </c>
      <c r="CO42" s="207">
        <f>Opv.kohd.[[#This Row],[Nuorisotyöt. väh. ja osaamistarp. vast., muu kuin työvoima-koulutus 4]]+Opv.kohd.[[#This Row],[Nuorisotyöt. väh. ja osaamistarp. vast., muu kuin työvoima-koulutus 13]]</f>
        <v>0</v>
      </c>
      <c r="CP42" s="207">
        <f>Opv.kohd.[[#This Row],[Nuorisotyöt. väh. ja osaamistarp. vast., työvoima-koulutus 4]]+Opv.kohd.[[#This Row],[Nuorisotyöt. väh. ja osaamistarp. vast., työvoima-koulutus 13]]</f>
        <v>0</v>
      </c>
      <c r="CQ42" s="207">
        <f>Opv.kohd.[[#This Row],[Yhteensä 4]]+Opv.kohd.[[#This Row],[Yhteensä 13]]</f>
        <v>0</v>
      </c>
      <c r="CR42" s="207">
        <f>Opv.kohd.[[#This Row],[Ensikertaisella suoritepäätöksellä jaetut tavoitteelliset opiskelijavuodet yhteensä 4]]+Opv.kohd.[[#This Row],[Tavoitteelliset opiskelijavuodet yhteensä 13]]</f>
        <v>0</v>
      </c>
      <c r="CS42" s="120">
        <v>0</v>
      </c>
      <c r="CT42" s="120">
        <v>0</v>
      </c>
      <c r="CU42" s="120">
        <v>0</v>
      </c>
      <c r="CV42" s="120">
        <v>0</v>
      </c>
      <c r="CW42" s="120">
        <v>0</v>
      </c>
      <c r="CX42" s="120">
        <v>0</v>
      </c>
      <c r="CY42" s="120">
        <v>0</v>
      </c>
      <c r="CZ42" s="120">
        <v>0</v>
      </c>
      <c r="DA42" s="209">
        <f>IFERROR(Opv.kohd.[[#This Row],[Järjestämisluvan mukaiset 13]]/Opv.kohd.[[#This Row],[Järjestämisluvan mukaiset 12]],0)</f>
        <v>0</v>
      </c>
      <c r="DB42" s="209">
        <f>IFERROR(Opv.kohd.[[#This Row],[Kohdentamat-tomat 13]]/Opv.kohd.[[#This Row],[Kohdentamat-tomat 12]],0)</f>
        <v>0</v>
      </c>
      <c r="DC42" s="209">
        <f>IFERROR(Opv.kohd.[[#This Row],[Työvoima-koulutus 13]]/Opv.kohd.[[#This Row],[Työvoima-koulutus 12]],0)</f>
        <v>0</v>
      </c>
      <c r="DD42" s="209">
        <f>IFERROR(Opv.kohd.[[#This Row],[Maahan-muuttajien koulutus 13]]/Opv.kohd.[[#This Row],[Maahan-muuttajien koulutus 12]],0)</f>
        <v>0</v>
      </c>
      <c r="DE42" s="209">
        <f>IFERROR(Opv.kohd.[[#This Row],[Nuorisotyöt. väh. ja osaamistarp. vast., muu kuin työvoima-koulutus 13]]/Opv.kohd.[[#This Row],[Nuorisotyöt. väh. ja osaamistarp. vast., muu kuin työvoima-koulutus 12]],0)</f>
        <v>0</v>
      </c>
      <c r="DF42" s="209">
        <f>IFERROR(Opv.kohd.[[#This Row],[Nuorisotyöt. väh. ja osaamistarp. vast., työvoima-koulutus 13]]/Opv.kohd.[[#This Row],[Nuorisotyöt. väh. ja osaamistarp. vast., työvoima-koulutus 12]],0)</f>
        <v>0</v>
      </c>
      <c r="DG42" s="209">
        <f>IFERROR(Opv.kohd.[[#This Row],[Yhteensä 13]]/Opv.kohd.[[#This Row],[Yhteensä 12]],0)</f>
        <v>0</v>
      </c>
      <c r="DH42" s="209">
        <f>IFERROR(Opv.kohd.[[#This Row],[Tavoitteelliset opiskelijavuodet yhteensä 13]]/Opv.kohd.[[#This Row],[Tavoitteelliset opiskelijavuodet yhteensä 12]],0)</f>
        <v>0</v>
      </c>
      <c r="DI42" s="207">
        <f>Opv.kohd.[[#This Row],[Järjestämisluvan mukaiset 12]]-Opv.kohd.[[#This Row],[Järjestämisluvan mukaiset 9]]</f>
        <v>-6525</v>
      </c>
      <c r="DJ42" s="207">
        <f>Opv.kohd.[[#This Row],[Kohdentamat-tomat 12]]-Opv.kohd.[[#This Row],[Kohdentamat-tomat 9]]</f>
        <v>-277</v>
      </c>
      <c r="DK42" s="207">
        <f>Opv.kohd.[[#This Row],[Työvoima-koulutus 12]]-Opv.kohd.[[#This Row],[Työvoima-koulutus 9]]</f>
        <v>-424</v>
      </c>
      <c r="DL42" s="207">
        <f>Opv.kohd.[[#This Row],[Maahan-muuttajien koulutus 12]]-Opv.kohd.[[#This Row],[Maahan-muuttajien koulutus 9]]</f>
        <v>-30</v>
      </c>
      <c r="DM42" s="207">
        <f>Opv.kohd.[[#This Row],[Nuorisotyöt. väh. ja osaamistarp. vast., muu kuin työvoima-koulutus 12]]-Opv.kohd.[[#This Row],[Nuorisotyöt. väh. ja osaamistarp. vast., muu kuin työvoima-koulutus 9]]</f>
        <v>-29</v>
      </c>
      <c r="DN42" s="207">
        <f>Opv.kohd.[[#This Row],[Nuorisotyöt. väh. ja osaamistarp. vast., työvoima-koulutus 12]]-Opv.kohd.[[#This Row],[Nuorisotyöt. väh. ja osaamistarp. vast., työvoima-koulutus 9]]</f>
        <v>-20</v>
      </c>
      <c r="DO42" s="207">
        <f>Opv.kohd.[[#This Row],[Yhteensä 12]]-Opv.kohd.[[#This Row],[Yhteensä 9]]</f>
        <v>-780</v>
      </c>
      <c r="DP42" s="207">
        <f>Opv.kohd.[[#This Row],[Tavoitteelliset opiskelijavuodet yhteensä 12]]-Opv.kohd.[[#This Row],[Tavoitteelliset opiskelijavuodet yhteensä 9]]</f>
        <v>-7305</v>
      </c>
      <c r="DQ42" s="209">
        <f>IFERROR(Opv.kohd.[[#This Row],[Järjestämisluvan mukaiset 15]]/Opv.kohd.[[#This Row],[Järjestämisluvan mukaiset 9]],0)</f>
        <v>-1</v>
      </c>
      <c r="DR42" s="209">
        <f t="shared" si="10"/>
        <v>0</v>
      </c>
      <c r="DS42" s="209">
        <f t="shared" si="11"/>
        <v>0</v>
      </c>
      <c r="DT42" s="209">
        <f t="shared" si="12"/>
        <v>0</v>
      </c>
      <c r="DU42" s="209">
        <f t="shared" si="13"/>
        <v>0</v>
      </c>
      <c r="DV42" s="209">
        <f t="shared" si="14"/>
        <v>0</v>
      </c>
      <c r="DW42" s="209">
        <f t="shared" si="15"/>
        <v>0</v>
      </c>
      <c r="DX42" s="209">
        <f t="shared" si="16"/>
        <v>0</v>
      </c>
    </row>
    <row r="43" spans="1:128" x14ac:dyDescent="0.25">
      <c r="A43" s="204" t="e">
        <f>IF(INDEX(#REF!,ROW(43:43)-1,1)=0,"",INDEX(#REF!,ROW(43:43)-1,1))</f>
        <v>#REF!</v>
      </c>
      <c r="B43" s="205" t="str">
        <f>IFERROR(VLOOKUP(Opv.kohd.[[#This Row],[Y-tunnus]],'0 Järjestäjätiedot'!$A:$H,2,FALSE),"")</f>
        <v/>
      </c>
      <c r="C43" s="204" t="str">
        <f>IFERROR(VLOOKUP(Opv.kohd.[[#This Row],[Y-tunnus]],'0 Järjestäjätiedot'!$A:$H,COLUMN('0 Järjestäjätiedot'!D:D),FALSE),"")</f>
        <v/>
      </c>
      <c r="D43" s="204" t="str">
        <f>IFERROR(VLOOKUP(Opv.kohd.[[#This Row],[Y-tunnus]],'0 Järjestäjätiedot'!$A:$H,COLUMN('0 Järjestäjätiedot'!H:H),FALSE),"")</f>
        <v/>
      </c>
      <c r="E43" s="204">
        <f>IFERROR(VLOOKUP(Opv.kohd.[[#This Row],[Y-tunnus]],#REF!,COLUMN(#REF!),FALSE),0)</f>
        <v>0</v>
      </c>
      <c r="F43" s="204">
        <f>IFERROR(VLOOKUP(Opv.kohd.[[#This Row],[Y-tunnus]],#REF!,COLUMN(#REF!),FALSE),0)</f>
        <v>0</v>
      </c>
      <c r="G43" s="204">
        <f>IFERROR(VLOOKUP(Opv.kohd.[[#This Row],[Y-tunnus]],#REF!,COLUMN(#REF!),FALSE),0)</f>
        <v>0</v>
      </c>
      <c r="H43" s="204">
        <f>IFERROR(VLOOKUP(Opv.kohd.[[#This Row],[Y-tunnus]],#REF!,COLUMN(#REF!),FALSE),0)</f>
        <v>0</v>
      </c>
      <c r="I43" s="204">
        <f>IFERROR(VLOOKUP(Opv.kohd.[[#This Row],[Y-tunnus]],#REF!,COLUMN(#REF!),FALSE),0)</f>
        <v>0</v>
      </c>
      <c r="J43" s="204">
        <f>IFERROR(VLOOKUP(Opv.kohd.[[#This Row],[Y-tunnus]],#REF!,COLUMN(#REF!),FALSE),0)</f>
        <v>0</v>
      </c>
      <c r="K4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43" s="204">
        <f>Opv.kohd.[[#This Row],[Järjestämisluvan mukaiset 1]]+Opv.kohd.[[#This Row],[Yhteensä  1]]</f>
        <v>0</v>
      </c>
      <c r="M43" s="204">
        <f>IFERROR(VLOOKUP(Opv.kohd.[[#This Row],[Y-tunnus]],#REF!,COLUMN(#REF!),FALSE),0)</f>
        <v>0</v>
      </c>
      <c r="N43" s="204">
        <f>IFERROR(VLOOKUP(Opv.kohd.[[#This Row],[Y-tunnus]],#REF!,COLUMN(#REF!),FALSE),0)</f>
        <v>0</v>
      </c>
      <c r="O43" s="204">
        <f>IFERROR(VLOOKUP(Opv.kohd.[[#This Row],[Y-tunnus]],#REF!,COLUMN(#REF!),FALSE)+VLOOKUP(Opv.kohd.[[#This Row],[Y-tunnus]],#REF!,COLUMN(#REF!),FALSE),0)</f>
        <v>0</v>
      </c>
      <c r="P43" s="204">
        <f>Opv.kohd.[[#This Row],[Talousarvion perusteella kohdentamattomat]]+Opv.kohd.[[#This Row],[Talousarvion perusteella työvoimakoulutus 1]]+Opv.kohd.[[#This Row],[Lisätalousarvioiden perusteella]]</f>
        <v>0</v>
      </c>
      <c r="Q43" s="204">
        <f>IFERROR(VLOOKUP(Opv.kohd.[[#This Row],[Y-tunnus]],#REF!,COLUMN(#REF!),FALSE),0)</f>
        <v>0</v>
      </c>
      <c r="R43" s="210">
        <f>IFERROR(VLOOKUP(Opv.kohd.[[#This Row],[Y-tunnus]],#REF!,COLUMN(#REF!),FALSE)-(Opv.kohd.[[#This Row],[Kohdentamaton työvoima-koulutus 2]]+Opv.kohd.[[#This Row],[Maahan-muuttajien koulutus 2]]+Opv.kohd.[[#This Row],[Lisätalousarvioiden perusteella jaetut 2]]),0)</f>
        <v>0</v>
      </c>
      <c r="S43" s="210">
        <f>IFERROR(VLOOKUP(Opv.kohd.[[#This Row],[Y-tunnus]],#REF!,COLUMN(#REF!),FALSE)+VLOOKUP(Opv.kohd.[[#This Row],[Y-tunnus]],#REF!,COLUMN(#REF!),FALSE),0)</f>
        <v>0</v>
      </c>
      <c r="T43" s="210">
        <f>IFERROR(VLOOKUP(Opv.kohd.[[#This Row],[Y-tunnus]],#REF!,COLUMN(#REF!),FALSE)+VLOOKUP(Opv.kohd.[[#This Row],[Y-tunnus]],#REF!,COLUMN(#REF!),FALSE),0)</f>
        <v>0</v>
      </c>
      <c r="U4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43" s="210">
        <f>Opv.kohd.[[#This Row],[Kohdentamat-tomat 2]]+Opv.kohd.[[#This Row],[Kohdentamaton työvoima-koulutus 2]]+Opv.kohd.[[#This Row],[Maahan-muuttajien koulutus 2]]+Opv.kohd.[[#This Row],[Lisätalousarvioiden perusteella jaetut 2]]</f>
        <v>0</v>
      </c>
      <c r="W43" s="210">
        <f>Opv.kohd.[[#This Row],[Kohdentamat-tomat 2]]-(Opv.kohd.[[#This Row],[Järjestämisluvan mukaiset 1]]+Opv.kohd.[[#This Row],[Kohdentamat-tomat 1]]+Opv.kohd.[[#This Row],[Nuorisotyöt. väh. ja osaamistarp. vast., muu kuin työvoima-koulutus 1]]+Opv.kohd.[[#This Row],[Talousarvion perusteella kohdentamattomat]])</f>
        <v>0</v>
      </c>
      <c r="X43" s="210">
        <f>Opv.kohd.[[#This Row],[Kohdentamaton työvoima-koulutus 2]]-(Opv.kohd.[[#This Row],[Työvoima-koulutus 1]]+Opv.kohd.[[#This Row],[Nuorisotyöt. väh. ja osaamistarp. vast., työvoima-koulutus 1]]+Opv.kohd.[[#This Row],[Talousarvion perusteella työvoimakoulutus 1]])</f>
        <v>0</v>
      </c>
      <c r="Y43" s="210">
        <f>Opv.kohd.[[#This Row],[Maahan-muuttajien koulutus 2]]-Opv.kohd.[[#This Row],[Maahan-muuttajien koulutus 1]]</f>
        <v>0</v>
      </c>
      <c r="Z43" s="210">
        <f>Opv.kohd.[[#This Row],[Lisätalousarvioiden perusteella jaetut 2]]-Opv.kohd.[[#This Row],[Lisätalousarvioiden perusteella]]</f>
        <v>0</v>
      </c>
      <c r="AA43" s="210">
        <f>Opv.kohd.[[#This Row],[Toteutuneet opiskelijavuodet yhteensä 2]]-Opv.kohd.[[#This Row],[Vuoden 2018 tavoitteelliset opiskelijavuodet yhteensä 1]]</f>
        <v>0</v>
      </c>
      <c r="AB43" s="207">
        <f>IFERROR(VLOOKUP(Opv.kohd.[[#This Row],[Y-tunnus]],#REF!,3,FALSE),0)</f>
        <v>0</v>
      </c>
      <c r="AC43" s="207">
        <f>IFERROR(VLOOKUP(Opv.kohd.[[#This Row],[Y-tunnus]],#REF!,4,FALSE),0)</f>
        <v>0</v>
      </c>
      <c r="AD43" s="207">
        <f>IFERROR(VLOOKUP(Opv.kohd.[[#This Row],[Y-tunnus]],#REF!,5,FALSE),0)</f>
        <v>0</v>
      </c>
      <c r="AE43" s="207">
        <f>IFERROR(VLOOKUP(Opv.kohd.[[#This Row],[Y-tunnus]],#REF!,6,FALSE),0)</f>
        <v>0</v>
      </c>
      <c r="AF43" s="207">
        <f>IFERROR(VLOOKUP(Opv.kohd.[[#This Row],[Y-tunnus]],#REF!,7,FALSE),0)</f>
        <v>0</v>
      </c>
      <c r="AG43" s="207">
        <f>IFERROR(VLOOKUP(Opv.kohd.[[#This Row],[Y-tunnus]],#REF!,8,FALSE),0)</f>
        <v>0</v>
      </c>
      <c r="AH43" s="207">
        <f>IFERROR(VLOOKUP(Opv.kohd.[[#This Row],[Y-tunnus]],#REF!,9,FALSE),0)</f>
        <v>0</v>
      </c>
      <c r="AI43" s="207">
        <f>IFERROR(VLOOKUP(Opv.kohd.[[#This Row],[Y-tunnus]],#REF!,10,FALSE),0)</f>
        <v>0</v>
      </c>
      <c r="AJ43" s="204">
        <f>Opv.kohd.[[#This Row],[Järjestämisluvan mukaiset 4]]-Opv.kohd.[[#This Row],[Järjestämisluvan mukaiset 1]]</f>
        <v>0</v>
      </c>
      <c r="AK43" s="204">
        <f>Opv.kohd.[[#This Row],[Kohdentamat-tomat 4]]-Opv.kohd.[[#This Row],[Kohdentamat-tomat 1]]</f>
        <v>0</v>
      </c>
      <c r="AL43" s="204">
        <f>Opv.kohd.[[#This Row],[Työvoima-koulutus 4]]-Opv.kohd.[[#This Row],[Työvoima-koulutus 1]]</f>
        <v>0</v>
      </c>
      <c r="AM43" s="204">
        <f>Opv.kohd.[[#This Row],[Maahan-muuttajien koulutus 4]]-Opv.kohd.[[#This Row],[Maahan-muuttajien koulutus 1]]</f>
        <v>0</v>
      </c>
      <c r="AN43" s="204">
        <f>Opv.kohd.[[#This Row],[Nuorisotyöt. väh. ja osaamistarp. vast., muu kuin työvoima-koulutus 4]]-Opv.kohd.[[#This Row],[Nuorisotyöt. väh. ja osaamistarp. vast., muu kuin työvoima-koulutus 1]]</f>
        <v>0</v>
      </c>
      <c r="AO43" s="204">
        <f>Opv.kohd.[[#This Row],[Nuorisotyöt. väh. ja osaamistarp. vast., työvoima-koulutus 4]]-Opv.kohd.[[#This Row],[Nuorisotyöt. väh. ja osaamistarp. vast., työvoima-koulutus 1]]</f>
        <v>0</v>
      </c>
      <c r="AP43" s="204">
        <f>Opv.kohd.[[#This Row],[Yhteensä 4]]-Opv.kohd.[[#This Row],[Yhteensä  1]]</f>
        <v>0</v>
      </c>
      <c r="AQ43" s="204">
        <f>Opv.kohd.[[#This Row],[Ensikertaisella suoritepäätöksellä jaetut tavoitteelliset opiskelijavuodet yhteensä 4]]-Opv.kohd.[[#This Row],[Ensikertaisella suoritepäätöksellä jaetut tavoitteelliset opiskelijavuodet yhteensä 1]]</f>
        <v>0</v>
      </c>
      <c r="AR43" s="208">
        <f>IFERROR(Opv.kohd.[[#This Row],[Järjestämisluvan mukaiset 5]]/Opv.kohd.[[#This Row],[Järjestämisluvan mukaiset 4]],0)</f>
        <v>0</v>
      </c>
      <c r="AS43" s="208">
        <f>IFERROR(Opv.kohd.[[#This Row],[Kohdentamat-tomat 5]]/Opv.kohd.[[#This Row],[Kohdentamat-tomat 4]],0)</f>
        <v>0</v>
      </c>
      <c r="AT43" s="208">
        <f>IFERROR(Opv.kohd.[[#This Row],[Työvoima-koulutus 5]]/Opv.kohd.[[#This Row],[Työvoima-koulutus 4]],0)</f>
        <v>0</v>
      </c>
      <c r="AU43" s="208">
        <f>IFERROR(Opv.kohd.[[#This Row],[Maahan-muuttajien koulutus 5]]/Opv.kohd.[[#This Row],[Maahan-muuttajien koulutus 4]],0)</f>
        <v>0</v>
      </c>
      <c r="AV43" s="208">
        <f>IFERROR(Opv.kohd.[[#This Row],[Nuorisotyöt. väh. ja osaamistarp. vast., muu kuin työvoima-koulutus 5]]/Opv.kohd.[[#This Row],[Nuorisotyöt. väh. ja osaamistarp. vast., muu kuin työvoima-koulutus 4]],0)</f>
        <v>0</v>
      </c>
      <c r="AW43" s="208">
        <f>IFERROR(Opv.kohd.[[#This Row],[Nuorisotyöt. väh. ja osaamistarp. vast., työvoima-koulutus 5]]/Opv.kohd.[[#This Row],[Nuorisotyöt. väh. ja osaamistarp. vast., työvoima-koulutus 4]],0)</f>
        <v>0</v>
      </c>
      <c r="AX43" s="208">
        <f>IFERROR(Opv.kohd.[[#This Row],[Yhteensä 5]]/Opv.kohd.[[#This Row],[Yhteensä 4]],0)</f>
        <v>0</v>
      </c>
      <c r="AY43" s="208">
        <f>IFERROR(Opv.kohd.[[#This Row],[Ensikertaisella suoritepäätöksellä jaetut tavoitteelliset opiskelijavuodet yhteensä 5]]/Opv.kohd.[[#This Row],[Ensikertaisella suoritepäätöksellä jaetut tavoitteelliset opiskelijavuodet yhteensä 4]],0)</f>
        <v>0</v>
      </c>
      <c r="AZ43" s="207">
        <f>Opv.kohd.[[#This Row],[Yhteensä 7a]]-Opv.kohd.[[#This Row],[Työvoima-koulutus 7a]]</f>
        <v>0</v>
      </c>
      <c r="BA43" s="207">
        <f>IFERROR(VLOOKUP(Opv.kohd.[[#This Row],[Y-tunnus]],#REF!,COLUMN(#REF!),FALSE),0)</f>
        <v>0</v>
      </c>
      <c r="BB43" s="207">
        <f>IFERROR(VLOOKUP(Opv.kohd.[[#This Row],[Y-tunnus]],#REF!,COLUMN(#REF!),FALSE),0)</f>
        <v>0</v>
      </c>
      <c r="BC43" s="207">
        <f>Opv.kohd.[[#This Row],[Muu kuin työvoima-koulutus 7c]]-Opv.kohd.[[#This Row],[Muu kuin työvoima-koulutus 7a]]</f>
        <v>0</v>
      </c>
      <c r="BD43" s="207">
        <f>Opv.kohd.[[#This Row],[Työvoima-koulutus 7c]]-Opv.kohd.[[#This Row],[Työvoima-koulutus 7a]]</f>
        <v>0</v>
      </c>
      <c r="BE43" s="207">
        <f>Opv.kohd.[[#This Row],[Yhteensä 7c]]-Opv.kohd.[[#This Row],[Yhteensä 7a]]</f>
        <v>0</v>
      </c>
      <c r="BF43" s="207">
        <f>Opv.kohd.[[#This Row],[Yhteensä 7c]]-Opv.kohd.[[#This Row],[Työvoima-koulutus 7c]]</f>
        <v>0</v>
      </c>
      <c r="BG43" s="207">
        <f>IFERROR(VLOOKUP(Opv.kohd.[[#This Row],[Y-tunnus]],#REF!,COLUMN(#REF!),FALSE),0)</f>
        <v>0</v>
      </c>
      <c r="BH43" s="207">
        <f>IFERROR(VLOOKUP(Opv.kohd.[[#This Row],[Y-tunnus]],#REF!,COLUMN(#REF!),FALSE),0)</f>
        <v>0</v>
      </c>
      <c r="BI43" s="207">
        <f>IFERROR(VLOOKUP(Opv.kohd.[[#This Row],[Y-tunnus]],#REF!,COLUMN(#REF!),FALSE),0)</f>
        <v>0</v>
      </c>
      <c r="BJ43" s="207">
        <f>IFERROR(VLOOKUP(Opv.kohd.[[#This Row],[Y-tunnus]],#REF!,COLUMN(#REF!),FALSE),0)</f>
        <v>0</v>
      </c>
      <c r="BK43" s="207">
        <f>Opv.kohd.[[#This Row],[Muu kuin työvoima-koulutus 7d]]+Opv.kohd.[[#This Row],[Työvoima-koulutus 7d]]</f>
        <v>0</v>
      </c>
      <c r="BL43" s="207">
        <f>Opv.kohd.[[#This Row],[Muu kuin työvoima-koulutus 7c]]-Opv.kohd.[[#This Row],[Muu kuin työvoima-koulutus 7d]]</f>
        <v>0</v>
      </c>
      <c r="BM43" s="207">
        <f>Opv.kohd.[[#This Row],[Työvoima-koulutus 7c]]-Opv.kohd.[[#This Row],[Työvoima-koulutus 7d]]</f>
        <v>0</v>
      </c>
      <c r="BN43" s="207">
        <f>Opv.kohd.[[#This Row],[Yhteensä 7c]]-Opv.kohd.[[#This Row],[Yhteensä 7d]]</f>
        <v>0</v>
      </c>
      <c r="BO43" s="207">
        <f>Opv.kohd.[[#This Row],[Muu kuin työvoima-koulutus 7e]]-(Opv.kohd.[[#This Row],[Järjestämisluvan mukaiset 4]]+Opv.kohd.[[#This Row],[Kohdentamat-tomat 4]]+Opv.kohd.[[#This Row],[Maahan-muuttajien koulutus 4]]+Opv.kohd.[[#This Row],[Nuorisotyöt. väh. ja osaamistarp. vast., muu kuin työvoima-koulutus 4]])</f>
        <v>0</v>
      </c>
      <c r="BP43" s="207">
        <f>Opv.kohd.[[#This Row],[Työvoima-koulutus 7e]]-(Opv.kohd.[[#This Row],[Työvoima-koulutus 4]]+Opv.kohd.[[#This Row],[Nuorisotyöt. väh. ja osaamistarp. vast., työvoima-koulutus 4]])</f>
        <v>0</v>
      </c>
      <c r="BQ43" s="207">
        <f>Opv.kohd.[[#This Row],[Yhteensä 7e]]-Opv.kohd.[[#This Row],[Ensikertaisella suoritepäätöksellä jaetut tavoitteelliset opiskelijavuodet yhteensä 4]]</f>
        <v>0</v>
      </c>
      <c r="BR43" s="263">
        <v>166</v>
      </c>
      <c r="BS43" s="263">
        <v>20</v>
      </c>
      <c r="BT43" s="263">
        <v>0</v>
      </c>
      <c r="BU43" s="263">
        <v>5</v>
      </c>
      <c r="BV43" s="263">
        <v>9</v>
      </c>
      <c r="BW43" s="263">
        <v>0</v>
      </c>
      <c r="BX43" s="263">
        <v>34</v>
      </c>
      <c r="BY43" s="263">
        <v>200</v>
      </c>
      <c r="BZ43" s="207">
        <f t="shared" si="2"/>
        <v>166</v>
      </c>
      <c r="CA43" s="207">
        <f t="shared" si="3"/>
        <v>20</v>
      </c>
      <c r="CB43" s="207">
        <f t="shared" si="4"/>
        <v>0</v>
      </c>
      <c r="CC43" s="207">
        <f t="shared" si="5"/>
        <v>5</v>
      </c>
      <c r="CD43" s="207">
        <f t="shared" si="6"/>
        <v>9</v>
      </c>
      <c r="CE43" s="207">
        <f t="shared" si="7"/>
        <v>0</v>
      </c>
      <c r="CF43" s="207">
        <f t="shared" si="8"/>
        <v>34</v>
      </c>
      <c r="CG43" s="207">
        <f t="shared" si="9"/>
        <v>200</v>
      </c>
      <c r="CH43" s="207">
        <f>Opv.kohd.[[#This Row],[Tavoitteelliset opiskelijavuodet yhteensä 9]]-Opv.kohd.[[#This Row],[Työvoima-koulutus 9]]-Opv.kohd.[[#This Row],[Nuorisotyöt. väh. ja osaamistarp. vast., työvoima-koulutus 9]]-Opv.kohd.[[#This Row],[Muu kuin työvoima-koulutus 7e]]</f>
        <v>200</v>
      </c>
      <c r="CI43" s="207">
        <f>(Opv.kohd.[[#This Row],[Työvoima-koulutus 9]]+Opv.kohd.[[#This Row],[Nuorisotyöt. väh. ja osaamistarp. vast., työvoima-koulutus 9]])-Opv.kohd.[[#This Row],[Työvoima-koulutus 7e]]</f>
        <v>0</v>
      </c>
      <c r="CJ43" s="207">
        <f>Opv.kohd.[[#This Row],[Tavoitteelliset opiskelijavuodet yhteensä 9]]-Opv.kohd.[[#This Row],[Yhteensä 7e]]</f>
        <v>200</v>
      </c>
      <c r="CK43" s="207">
        <f>Opv.kohd.[[#This Row],[Järjestämisluvan mukaiset 4]]+Opv.kohd.[[#This Row],[Järjestämisluvan mukaiset 13]]</f>
        <v>0</v>
      </c>
      <c r="CL43" s="207">
        <f>Opv.kohd.[[#This Row],[Kohdentamat-tomat 4]]+Opv.kohd.[[#This Row],[Kohdentamat-tomat 13]]</f>
        <v>0</v>
      </c>
      <c r="CM43" s="207">
        <f>Opv.kohd.[[#This Row],[Työvoima-koulutus 4]]+Opv.kohd.[[#This Row],[Työvoima-koulutus 13]]</f>
        <v>0</v>
      </c>
      <c r="CN43" s="207">
        <f>Opv.kohd.[[#This Row],[Maahan-muuttajien koulutus 4]]+Opv.kohd.[[#This Row],[Maahan-muuttajien koulutus 13]]</f>
        <v>0</v>
      </c>
      <c r="CO43" s="207">
        <f>Opv.kohd.[[#This Row],[Nuorisotyöt. väh. ja osaamistarp. vast., muu kuin työvoima-koulutus 4]]+Opv.kohd.[[#This Row],[Nuorisotyöt. väh. ja osaamistarp. vast., muu kuin työvoima-koulutus 13]]</f>
        <v>0</v>
      </c>
      <c r="CP43" s="207">
        <f>Opv.kohd.[[#This Row],[Nuorisotyöt. väh. ja osaamistarp. vast., työvoima-koulutus 4]]+Opv.kohd.[[#This Row],[Nuorisotyöt. väh. ja osaamistarp. vast., työvoima-koulutus 13]]</f>
        <v>0</v>
      </c>
      <c r="CQ43" s="207">
        <f>Opv.kohd.[[#This Row],[Yhteensä 4]]+Opv.kohd.[[#This Row],[Yhteensä 13]]</f>
        <v>0</v>
      </c>
      <c r="CR43" s="207">
        <f>Opv.kohd.[[#This Row],[Ensikertaisella suoritepäätöksellä jaetut tavoitteelliset opiskelijavuodet yhteensä 4]]+Opv.kohd.[[#This Row],[Tavoitteelliset opiskelijavuodet yhteensä 13]]</f>
        <v>0</v>
      </c>
      <c r="CS43" s="120">
        <v>0</v>
      </c>
      <c r="CT43" s="120">
        <v>0</v>
      </c>
      <c r="CU43" s="120">
        <v>0</v>
      </c>
      <c r="CV43" s="120">
        <v>0</v>
      </c>
      <c r="CW43" s="120">
        <v>0</v>
      </c>
      <c r="CX43" s="120">
        <v>0</v>
      </c>
      <c r="CY43" s="120">
        <v>0</v>
      </c>
      <c r="CZ43" s="120">
        <v>0</v>
      </c>
      <c r="DA43" s="209">
        <f>IFERROR(Opv.kohd.[[#This Row],[Järjestämisluvan mukaiset 13]]/Opv.kohd.[[#This Row],[Järjestämisluvan mukaiset 12]],0)</f>
        <v>0</v>
      </c>
      <c r="DB43" s="209">
        <f>IFERROR(Opv.kohd.[[#This Row],[Kohdentamat-tomat 13]]/Opv.kohd.[[#This Row],[Kohdentamat-tomat 12]],0)</f>
        <v>0</v>
      </c>
      <c r="DC43" s="209">
        <f>IFERROR(Opv.kohd.[[#This Row],[Työvoima-koulutus 13]]/Opv.kohd.[[#This Row],[Työvoima-koulutus 12]],0)</f>
        <v>0</v>
      </c>
      <c r="DD43" s="209">
        <f>IFERROR(Opv.kohd.[[#This Row],[Maahan-muuttajien koulutus 13]]/Opv.kohd.[[#This Row],[Maahan-muuttajien koulutus 12]],0)</f>
        <v>0</v>
      </c>
      <c r="DE43" s="209">
        <f>IFERROR(Opv.kohd.[[#This Row],[Nuorisotyöt. väh. ja osaamistarp. vast., muu kuin työvoima-koulutus 13]]/Opv.kohd.[[#This Row],[Nuorisotyöt. väh. ja osaamistarp. vast., muu kuin työvoima-koulutus 12]],0)</f>
        <v>0</v>
      </c>
      <c r="DF43" s="209">
        <f>IFERROR(Opv.kohd.[[#This Row],[Nuorisotyöt. väh. ja osaamistarp. vast., työvoima-koulutus 13]]/Opv.kohd.[[#This Row],[Nuorisotyöt. väh. ja osaamistarp. vast., työvoima-koulutus 12]],0)</f>
        <v>0</v>
      </c>
      <c r="DG43" s="209">
        <f>IFERROR(Opv.kohd.[[#This Row],[Yhteensä 13]]/Opv.kohd.[[#This Row],[Yhteensä 12]],0)</f>
        <v>0</v>
      </c>
      <c r="DH43" s="209">
        <f>IFERROR(Opv.kohd.[[#This Row],[Tavoitteelliset opiskelijavuodet yhteensä 13]]/Opv.kohd.[[#This Row],[Tavoitteelliset opiskelijavuodet yhteensä 12]],0)</f>
        <v>0</v>
      </c>
      <c r="DI43" s="207">
        <f>Opv.kohd.[[#This Row],[Järjestämisluvan mukaiset 12]]-Opv.kohd.[[#This Row],[Järjestämisluvan mukaiset 9]]</f>
        <v>-166</v>
      </c>
      <c r="DJ43" s="207">
        <f>Opv.kohd.[[#This Row],[Kohdentamat-tomat 12]]-Opv.kohd.[[#This Row],[Kohdentamat-tomat 9]]</f>
        <v>-20</v>
      </c>
      <c r="DK43" s="207">
        <f>Opv.kohd.[[#This Row],[Työvoima-koulutus 12]]-Opv.kohd.[[#This Row],[Työvoima-koulutus 9]]</f>
        <v>0</v>
      </c>
      <c r="DL43" s="207">
        <f>Opv.kohd.[[#This Row],[Maahan-muuttajien koulutus 12]]-Opv.kohd.[[#This Row],[Maahan-muuttajien koulutus 9]]</f>
        <v>-5</v>
      </c>
      <c r="DM43" s="207">
        <f>Opv.kohd.[[#This Row],[Nuorisotyöt. väh. ja osaamistarp. vast., muu kuin työvoima-koulutus 12]]-Opv.kohd.[[#This Row],[Nuorisotyöt. väh. ja osaamistarp. vast., muu kuin työvoima-koulutus 9]]</f>
        <v>-9</v>
      </c>
      <c r="DN43" s="207">
        <f>Opv.kohd.[[#This Row],[Nuorisotyöt. väh. ja osaamistarp. vast., työvoima-koulutus 12]]-Opv.kohd.[[#This Row],[Nuorisotyöt. väh. ja osaamistarp. vast., työvoima-koulutus 9]]</f>
        <v>0</v>
      </c>
      <c r="DO43" s="207">
        <f>Opv.kohd.[[#This Row],[Yhteensä 12]]-Opv.kohd.[[#This Row],[Yhteensä 9]]</f>
        <v>-34</v>
      </c>
      <c r="DP43" s="207">
        <f>Opv.kohd.[[#This Row],[Tavoitteelliset opiskelijavuodet yhteensä 12]]-Opv.kohd.[[#This Row],[Tavoitteelliset opiskelijavuodet yhteensä 9]]</f>
        <v>-200</v>
      </c>
      <c r="DQ43" s="209">
        <f>IFERROR(Opv.kohd.[[#This Row],[Järjestämisluvan mukaiset 15]]/Opv.kohd.[[#This Row],[Järjestämisluvan mukaiset 9]],0)</f>
        <v>-1</v>
      </c>
      <c r="DR43" s="209">
        <f t="shared" si="10"/>
        <v>0</v>
      </c>
      <c r="DS43" s="209">
        <f t="shared" si="11"/>
        <v>0</v>
      </c>
      <c r="DT43" s="209">
        <f t="shared" si="12"/>
        <v>0</v>
      </c>
      <c r="DU43" s="209">
        <f t="shared" si="13"/>
        <v>0</v>
      </c>
      <c r="DV43" s="209">
        <f t="shared" si="14"/>
        <v>0</v>
      </c>
      <c r="DW43" s="209">
        <f t="shared" si="15"/>
        <v>0</v>
      </c>
      <c r="DX43" s="209">
        <f t="shared" si="16"/>
        <v>0</v>
      </c>
    </row>
    <row r="44" spans="1:128" x14ac:dyDescent="0.25">
      <c r="A44" s="204" t="e">
        <f>IF(INDEX(#REF!,ROW(44:44)-1,1)=0,"",INDEX(#REF!,ROW(44:44)-1,1))</f>
        <v>#REF!</v>
      </c>
      <c r="B44" s="205" t="str">
        <f>IFERROR(VLOOKUP(Opv.kohd.[[#This Row],[Y-tunnus]],'0 Järjestäjätiedot'!$A:$H,2,FALSE),"")</f>
        <v/>
      </c>
      <c r="C44" s="204" t="str">
        <f>IFERROR(VLOOKUP(Opv.kohd.[[#This Row],[Y-tunnus]],'0 Järjestäjätiedot'!$A:$H,COLUMN('0 Järjestäjätiedot'!D:D),FALSE),"")</f>
        <v/>
      </c>
      <c r="D44" s="204" t="str">
        <f>IFERROR(VLOOKUP(Opv.kohd.[[#This Row],[Y-tunnus]],'0 Järjestäjätiedot'!$A:$H,COLUMN('0 Järjestäjätiedot'!H:H),FALSE),"")</f>
        <v/>
      </c>
      <c r="E44" s="204">
        <f>IFERROR(VLOOKUP(Opv.kohd.[[#This Row],[Y-tunnus]],#REF!,COLUMN(#REF!),FALSE),0)</f>
        <v>0</v>
      </c>
      <c r="F44" s="204">
        <f>IFERROR(VLOOKUP(Opv.kohd.[[#This Row],[Y-tunnus]],#REF!,COLUMN(#REF!),FALSE),0)</f>
        <v>0</v>
      </c>
      <c r="G44" s="204">
        <f>IFERROR(VLOOKUP(Opv.kohd.[[#This Row],[Y-tunnus]],#REF!,COLUMN(#REF!),FALSE),0)</f>
        <v>0</v>
      </c>
      <c r="H44" s="204">
        <f>IFERROR(VLOOKUP(Opv.kohd.[[#This Row],[Y-tunnus]],#REF!,COLUMN(#REF!),FALSE),0)</f>
        <v>0</v>
      </c>
      <c r="I44" s="204">
        <f>IFERROR(VLOOKUP(Opv.kohd.[[#This Row],[Y-tunnus]],#REF!,COLUMN(#REF!),FALSE),0)</f>
        <v>0</v>
      </c>
      <c r="J44" s="204">
        <f>IFERROR(VLOOKUP(Opv.kohd.[[#This Row],[Y-tunnus]],#REF!,COLUMN(#REF!),FALSE),0)</f>
        <v>0</v>
      </c>
      <c r="K4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44" s="204">
        <f>Opv.kohd.[[#This Row],[Järjestämisluvan mukaiset 1]]+Opv.kohd.[[#This Row],[Yhteensä  1]]</f>
        <v>0</v>
      </c>
      <c r="M44" s="204">
        <f>IFERROR(VLOOKUP(Opv.kohd.[[#This Row],[Y-tunnus]],#REF!,COLUMN(#REF!),FALSE),0)</f>
        <v>0</v>
      </c>
      <c r="N44" s="204">
        <f>IFERROR(VLOOKUP(Opv.kohd.[[#This Row],[Y-tunnus]],#REF!,COLUMN(#REF!),FALSE),0)</f>
        <v>0</v>
      </c>
      <c r="O44" s="204">
        <f>IFERROR(VLOOKUP(Opv.kohd.[[#This Row],[Y-tunnus]],#REF!,COLUMN(#REF!),FALSE)+VLOOKUP(Opv.kohd.[[#This Row],[Y-tunnus]],#REF!,COLUMN(#REF!),FALSE),0)</f>
        <v>0</v>
      </c>
      <c r="P44" s="204">
        <f>Opv.kohd.[[#This Row],[Talousarvion perusteella kohdentamattomat]]+Opv.kohd.[[#This Row],[Talousarvion perusteella työvoimakoulutus 1]]+Opv.kohd.[[#This Row],[Lisätalousarvioiden perusteella]]</f>
        <v>0</v>
      </c>
      <c r="Q44" s="204">
        <f>IFERROR(VLOOKUP(Opv.kohd.[[#This Row],[Y-tunnus]],#REF!,COLUMN(#REF!),FALSE),0)</f>
        <v>0</v>
      </c>
      <c r="R44" s="210">
        <f>IFERROR(VLOOKUP(Opv.kohd.[[#This Row],[Y-tunnus]],#REF!,COLUMN(#REF!),FALSE)-(Opv.kohd.[[#This Row],[Kohdentamaton työvoima-koulutus 2]]+Opv.kohd.[[#This Row],[Maahan-muuttajien koulutus 2]]+Opv.kohd.[[#This Row],[Lisätalousarvioiden perusteella jaetut 2]]),0)</f>
        <v>0</v>
      </c>
      <c r="S44" s="210">
        <f>IFERROR(VLOOKUP(Opv.kohd.[[#This Row],[Y-tunnus]],#REF!,COLUMN(#REF!),FALSE)+VLOOKUP(Opv.kohd.[[#This Row],[Y-tunnus]],#REF!,COLUMN(#REF!),FALSE),0)</f>
        <v>0</v>
      </c>
      <c r="T44" s="210">
        <f>IFERROR(VLOOKUP(Opv.kohd.[[#This Row],[Y-tunnus]],#REF!,COLUMN(#REF!),FALSE)+VLOOKUP(Opv.kohd.[[#This Row],[Y-tunnus]],#REF!,COLUMN(#REF!),FALSE),0)</f>
        <v>0</v>
      </c>
      <c r="U4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44" s="210">
        <f>Opv.kohd.[[#This Row],[Kohdentamat-tomat 2]]+Opv.kohd.[[#This Row],[Kohdentamaton työvoima-koulutus 2]]+Opv.kohd.[[#This Row],[Maahan-muuttajien koulutus 2]]+Opv.kohd.[[#This Row],[Lisätalousarvioiden perusteella jaetut 2]]</f>
        <v>0</v>
      </c>
      <c r="W44" s="210">
        <f>Opv.kohd.[[#This Row],[Kohdentamat-tomat 2]]-(Opv.kohd.[[#This Row],[Järjestämisluvan mukaiset 1]]+Opv.kohd.[[#This Row],[Kohdentamat-tomat 1]]+Opv.kohd.[[#This Row],[Nuorisotyöt. väh. ja osaamistarp. vast., muu kuin työvoima-koulutus 1]]+Opv.kohd.[[#This Row],[Talousarvion perusteella kohdentamattomat]])</f>
        <v>0</v>
      </c>
      <c r="X44" s="210">
        <f>Opv.kohd.[[#This Row],[Kohdentamaton työvoima-koulutus 2]]-(Opv.kohd.[[#This Row],[Työvoima-koulutus 1]]+Opv.kohd.[[#This Row],[Nuorisotyöt. väh. ja osaamistarp. vast., työvoima-koulutus 1]]+Opv.kohd.[[#This Row],[Talousarvion perusteella työvoimakoulutus 1]])</f>
        <v>0</v>
      </c>
      <c r="Y44" s="210">
        <f>Opv.kohd.[[#This Row],[Maahan-muuttajien koulutus 2]]-Opv.kohd.[[#This Row],[Maahan-muuttajien koulutus 1]]</f>
        <v>0</v>
      </c>
      <c r="Z44" s="210">
        <f>Opv.kohd.[[#This Row],[Lisätalousarvioiden perusteella jaetut 2]]-Opv.kohd.[[#This Row],[Lisätalousarvioiden perusteella]]</f>
        <v>0</v>
      </c>
      <c r="AA44" s="210">
        <f>Opv.kohd.[[#This Row],[Toteutuneet opiskelijavuodet yhteensä 2]]-Opv.kohd.[[#This Row],[Vuoden 2018 tavoitteelliset opiskelijavuodet yhteensä 1]]</f>
        <v>0</v>
      </c>
      <c r="AB44" s="207">
        <f>IFERROR(VLOOKUP(Opv.kohd.[[#This Row],[Y-tunnus]],#REF!,3,FALSE),0)</f>
        <v>0</v>
      </c>
      <c r="AC44" s="207">
        <f>IFERROR(VLOOKUP(Opv.kohd.[[#This Row],[Y-tunnus]],#REF!,4,FALSE),0)</f>
        <v>0</v>
      </c>
      <c r="AD44" s="207">
        <f>IFERROR(VLOOKUP(Opv.kohd.[[#This Row],[Y-tunnus]],#REF!,5,FALSE),0)</f>
        <v>0</v>
      </c>
      <c r="AE44" s="207">
        <f>IFERROR(VLOOKUP(Opv.kohd.[[#This Row],[Y-tunnus]],#REF!,6,FALSE),0)</f>
        <v>0</v>
      </c>
      <c r="AF44" s="207">
        <f>IFERROR(VLOOKUP(Opv.kohd.[[#This Row],[Y-tunnus]],#REF!,7,FALSE),0)</f>
        <v>0</v>
      </c>
      <c r="AG44" s="207">
        <f>IFERROR(VLOOKUP(Opv.kohd.[[#This Row],[Y-tunnus]],#REF!,8,FALSE),0)</f>
        <v>0</v>
      </c>
      <c r="AH44" s="207">
        <f>IFERROR(VLOOKUP(Opv.kohd.[[#This Row],[Y-tunnus]],#REF!,9,FALSE),0)</f>
        <v>0</v>
      </c>
      <c r="AI44" s="207">
        <f>IFERROR(VLOOKUP(Opv.kohd.[[#This Row],[Y-tunnus]],#REF!,10,FALSE),0)</f>
        <v>0</v>
      </c>
      <c r="AJ44" s="204">
        <f>Opv.kohd.[[#This Row],[Järjestämisluvan mukaiset 4]]-Opv.kohd.[[#This Row],[Järjestämisluvan mukaiset 1]]</f>
        <v>0</v>
      </c>
      <c r="AK44" s="204">
        <f>Opv.kohd.[[#This Row],[Kohdentamat-tomat 4]]-Opv.kohd.[[#This Row],[Kohdentamat-tomat 1]]</f>
        <v>0</v>
      </c>
      <c r="AL44" s="204">
        <f>Opv.kohd.[[#This Row],[Työvoima-koulutus 4]]-Opv.kohd.[[#This Row],[Työvoima-koulutus 1]]</f>
        <v>0</v>
      </c>
      <c r="AM44" s="204">
        <f>Opv.kohd.[[#This Row],[Maahan-muuttajien koulutus 4]]-Opv.kohd.[[#This Row],[Maahan-muuttajien koulutus 1]]</f>
        <v>0</v>
      </c>
      <c r="AN44" s="204">
        <f>Opv.kohd.[[#This Row],[Nuorisotyöt. väh. ja osaamistarp. vast., muu kuin työvoima-koulutus 4]]-Opv.kohd.[[#This Row],[Nuorisotyöt. väh. ja osaamistarp. vast., muu kuin työvoima-koulutus 1]]</f>
        <v>0</v>
      </c>
      <c r="AO44" s="204">
        <f>Opv.kohd.[[#This Row],[Nuorisotyöt. väh. ja osaamistarp. vast., työvoima-koulutus 4]]-Opv.kohd.[[#This Row],[Nuorisotyöt. väh. ja osaamistarp. vast., työvoima-koulutus 1]]</f>
        <v>0</v>
      </c>
      <c r="AP44" s="204">
        <f>Opv.kohd.[[#This Row],[Yhteensä 4]]-Opv.kohd.[[#This Row],[Yhteensä  1]]</f>
        <v>0</v>
      </c>
      <c r="AQ44" s="204">
        <f>Opv.kohd.[[#This Row],[Ensikertaisella suoritepäätöksellä jaetut tavoitteelliset opiskelijavuodet yhteensä 4]]-Opv.kohd.[[#This Row],[Ensikertaisella suoritepäätöksellä jaetut tavoitteelliset opiskelijavuodet yhteensä 1]]</f>
        <v>0</v>
      </c>
      <c r="AR44" s="208">
        <f>IFERROR(Opv.kohd.[[#This Row],[Järjestämisluvan mukaiset 5]]/Opv.kohd.[[#This Row],[Järjestämisluvan mukaiset 4]],0)</f>
        <v>0</v>
      </c>
      <c r="AS44" s="208">
        <f>IFERROR(Opv.kohd.[[#This Row],[Kohdentamat-tomat 5]]/Opv.kohd.[[#This Row],[Kohdentamat-tomat 4]],0)</f>
        <v>0</v>
      </c>
      <c r="AT44" s="208">
        <f>IFERROR(Opv.kohd.[[#This Row],[Työvoima-koulutus 5]]/Opv.kohd.[[#This Row],[Työvoima-koulutus 4]],0)</f>
        <v>0</v>
      </c>
      <c r="AU44" s="208">
        <f>IFERROR(Opv.kohd.[[#This Row],[Maahan-muuttajien koulutus 5]]/Opv.kohd.[[#This Row],[Maahan-muuttajien koulutus 4]],0)</f>
        <v>0</v>
      </c>
      <c r="AV44" s="208">
        <f>IFERROR(Opv.kohd.[[#This Row],[Nuorisotyöt. väh. ja osaamistarp. vast., muu kuin työvoima-koulutus 5]]/Opv.kohd.[[#This Row],[Nuorisotyöt. väh. ja osaamistarp. vast., muu kuin työvoima-koulutus 4]],0)</f>
        <v>0</v>
      </c>
      <c r="AW44" s="208">
        <f>IFERROR(Opv.kohd.[[#This Row],[Nuorisotyöt. väh. ja osaamistarp. vast., työvoima-koulutus 5]]/Opv.kohd.[[#This Row],[Nuorisotyöt. väh. ja osaamistarp. vast., työvoima-koulutus 4]],0)</f>
        <v>0</v>
      </c>
      <c r="AX44" s="208">
        <f>IFERROR(Opv.kohd.[[#This Row],[Yhteensä 5]]/Opv.kohd.[[#This Row],[Yhteensä 4]],0)</f>
        <v>0</v>
      </c>
      <c r="AY44" s="208">
        <f>IFERROR(Opv.kohd.[[#This Row],[Ensikertaisella suoritepäätöksellä jaetut tavoitteelliset opiskelijavuodet yhteensä 5]]/Opv.kohd.[[#This Row],[Ensikertaisella suoritepäätöksellä jaetut tavoitteelliset opiskelijavuodet yhteensä 4]],0)</f>
        <v>0</v>
      </c>
      <c r="AZ44" s="207">
        <f>Opv.kohd.[[#This Row],[Yhteensä 7a]]-Opv.kohd.[[#This Row],[Työvoima-koulutus 7a]]</f>
        <v>0</v>
      </c>
      <c r="BA44" s="207">
        <f>IFERROR(VLOOKUP(Opv.kohd.[[#This Row],[Y-tunnus]],#REF!,COLUMN(#REF!),FALSE),0)</f>
        <v>0</v>
      </c>
      <c r="BB44" s="207">
        <f>IFERROR(VLOOKUP(Opv.kohd.[[#This Row],[Y-tunnus]],#REF!,COLUMN(#REF!),FALSE),0)</f>
        <v>0</v>
      </c>
      <c r="BC44" s="207">
        <f>Opv.kohd.[[#This Row],[Muu kuin työvoima-koulutus 7c]]-Opv.kohd.[[#This Row],[Muu kuin työvoima-koulutus 7a]]</f>
        <v>0</v>
      </c>
      <c r="BD44" s="207">
        <f>Opv.kohd.[[#This Row],[Työvoima-koulutus 7c]]-Opv.kohd.[[#This Row],[Työvoima-koulutus 7a]]</f>
        <v>0</v>
      </c>
      <c r="BE44" s="207">
        <f>Opv.kohd.[[#This Row],[Yhteensä 7c]]-Opv.kohd.[[#This Row],[Yhteensä 7a]]</f>
        <v>0</v>
      </c>
      <c r="BF44" s="207">
        <f>Opv.kohd.[[#This Row],[Yhteensä 7c]]-Opv.kohd.[[#This Row],[Työvoima-koulutus 7c]]</f>
        <v>0</v>
      </c>
      <c r="BG44" s="207">
        <f>IFERROR(VLOOKUP(Opv.kohd.[[#This Row],[Y-tunnus]],#REF!,COLUMN(#REF!),FALSE),0)</f>
        <v>0</v>
      </c>
      <c r="BH44" s="207">
        <f>IFERROR(VLOOKUP(Opv.kohd.[[#This Row],[Y-tunnus]],#REF!,COLUMN(#REF!),FALSE),0)</f>
        <v>0</v>
      </c>
      <c r="BI44" s="207">
        <f>IFERROR(VLOOKUP(Opv.kohd.[[#This Row],[Y-tunnus]],#REF!,COLUMN(#REF!),FALSE),0)</f>
        <v>0</v>
      </c>
      <c r="BJ44" s="207">
        <f>IFERROR(VLOOKUP(Opv.kohd.[[#This Row],[Y-tunnus]],#REF!,COLUMN(#REF!),FALSE),0)</f>
        <v>0</v>
      </c>
      <c r="BK44" s="207">
        <f>Opv.kohd.[[#This Row],[Muu kuin työvoima-koulutus 7d]]+Opv.kohd.[[#This Row],[Työvoima-koulutus 7d]]</f>
        <v>0</v>
      </c>
      <c r="BL44" s="207">
        <f>Opv.kohd.[[#This Row],[Muu kuin työvoima-koulutus 7c]]-Opv.kohd.[[#This Row],[Muu kuin työvoima-koulutus 7d]]</f>
        <v>0</v>
      </c>
      <c r="BM44" s="207">
        <f>Opv.kohd.[[#This Row],[Työvoima-koulutus 7c]]-Opv.kohd.[[#This Row],[Työvoima-koulutus 7d]]</f>
        <v>0</v>
      </c>
      <c r="BN44" s="207">
        <f>Opv.kohd.[[#This Row],[Yhteensä 7c]]-Opv.kohd.[[#This Row],[Yhteensä 7d]]</f>
        <v>0</v>
      </c>
      <c r="BO44" s="207">
        <f>Opv.kohd.[[#This Row],[Muu kuin työvoima-koulutus 7e]]-(Opv.kohd.[[#This Row],[Järjestämisluvan mukaiset 4]]+Opv.kohd.[[#This Row],[Kohdentamat-tomat 4]]+Opv.kohd.[[#This Row],[Maahan-muuttajien koulutus 4]]+Opv.kohd.[[#This Row],[Nuorisotyöt. väh. ja osaamistarp. vast., muu kuin työvoima-koulutus 4]])</f>
        <v>0</v>
      </c>
      <c r="BP44" s="207">
        <f>Opv.kohd.[[#This Row],[Työvoima-koulutus 7e]]-(Opv.kohd.[[#This Row],[Työvoima-koulutus 4]]+Opv.kohd.[[#This Row],[Nuorisotyöt. väh. ja osaamistarp. vast., työvoima-koulutus 4]])</f>
        <v>0</v>
      </c>
      <c r="BQ44" s="207">
        <f>Opv.kohd.[[#This Row],[Yhteensä 7e]]-Opv.kohd.[[#This Row],[Ensikertaisella suoritepäätöksellä jaetut tavoitteelliset opiskelijavuodet yhteensä 4]]</f>
        <v>0</v>
      </c>
      <c r="BR44" s="263">
        <v>118</v>
      </c>
      <c r="BS44" s="263">
        <v>5</v>
      </c>
      <c r="BT44" s="263">
        <v>0</v>
      </c>
      <c r="BU44" s="263">
        <v>0</v>
      </c>
      <c r="BV44" s="263">
        <v>0</v>
      </c>
      <c r="BW44" s="263">
        <v>0</v>
      </c>
      <c r="BX44" s="263">
        <v>5</v>
      </c>
      <c r="BY44" s="263">
        <v>123</v>
      </c>
      <c r="BZ44" s="207">
        <f t="shared" si="2"/>
        <v>118</v>
      </c>
      <c r="CA44" s="207">
        <f t="shared" si="3"/>
        <v>5</v>
      </c>
      <c r="CB44" s="207">
        <f t="shared" si="4"/>
        <v>0</v>
      </c>
      <c r="CC44" s="207">
        <f t="shared" si="5"/>
        <v>0</v>
      </c>
      <c r="CD44" s="207">
        <f t="shared" si="6"/>
        <v>0</v>
      </c>
      <c r="CE44" s="207">
        <f t="shared" si="7"/>
        <v>0</v>
      </c>
      <c r="CF44" s="207">
        <f t="shared" si="8"/>
        <v>5</v>
      </c>
      <c r="CG44" s="207">
        <f t="shared" si="9"/>
        <v>123</v>
      </c>
      <c r="CH44" s="207">
        <f>Opv.kohd.[[#This Row],[Tavoitteelliset opiskelijavuodet yhteensä 9]]-Opv.kohd.[[#This Row],[Työvoima-koulutus 9]]-Opv.kohd.[[#This Row],[Nuorisotyöt. väh. ja osaamistarp. vast., työvoima-koulutus 9]]-Opv.kohd.[[#This Row],[Muu kuin työvoima-koulutus 7e]]</f>
        <v>123</v>
      </c>
      <c r="CI44" s="207">
        <f>(Opv.kohd.[[#This Row],[Työvoima-koulutus 9]]+Opv.kohd.[[#This Row],[Nuorisotyöt. väh. ja osaamistarp. vast., työvoima-koulutus 9]])-Opv.kohd.[[#This Row],[Työvoima-koulutus 7e]]</f>
        <v>0</v>
      </c>
      <c r="CJ44" s="207">
        <f>Opv.kohd.[[#This Row],[Tavoitteelliset opiskelijavuodet yhteensä 9]]-Opv.kohd.[[#This Row],[Yhteensä 7e]]</f>
        <v>123</v>
      </c>
      <c r="CK44" s="207">
        <f>Opv.kohd.[[#This Row],[Järjestämisluvan mukaiset 4]]+Opv.kohd.[[#This Row],[Järjestämisluvan mukaiset 13]]</f>
        <v>0</v>
      </c>
      <c r="CL44" s="207">
        <f>Opv.kohd.[[#This Row],[Kohdentamat-tomat 4]]+Opv.kohd.[[#This Row],[Kohdentamat-tomat 13]]</f>
        <v>0</v>
      </c>
      <c r="CM44" s="207">
        <f>Opv.kohd.[[#This Row],[Työvoima-koulutus 4]]+Opv.kohd.[[#This Row],[Työvoima-koulutus 13]]</f>
        <v>0</v>
      </c>
      <c r="CN44" s="207">
        <f>Opv.kohd.[[#This Row],[Maahan-muuttajien koulutus 4]]+Opv.kohd.[[#This Row],[Maahan-muuttajien koulutus 13]]</f>
        <v>0</v>
      </c>
      <c r="CO44" s="207">
        <f>Opv.kohd.[[#This Row],[Nuorisotyöt. väh. ja osaamistarp. vast., muu kuin työvoima-koulutus 4]]+Opv.kohd.[[#This Row],[Nuorisotyöt. väh. ja osaamistarp. vast., muu kuin työvoima-koulutus 13]]</f>
        <v>0</v>
      </c>
      <c r="CP44" s="207">
        <f>Opv.kohd.[[#This Row],[Nuorisotyöt. väh. ja osaamistarp. vast., työvoima-koulutus 4]]+Opv.kohd.[[#This Row],[Nuorisotyöt. väh. ja osaamistarp. vast., työvoima-koulutus 13]]</f>
        <v>0</v>
      </c>
      <c r="CQ44" s="207">
        <f>Opv.kohd.[[#This Row],[Yhteensä 4]]+Opv.kohd.[[#This Row],[Yhteensä 13]]</f>
        <v>0</v>
      </c>
      <c r="CR44" s="207">
        <f>Opv.kohd.[[#This Row],[Ensikertaisella suoritepäätöksellä jaetut tavoitteelliset opiskelijavuodet yhteensä 4]]+Opv.kohd.[[#This Row],[Tavoitteelliset opiskelijavuodet yhteensä 13]]</f>
        <v>0</v>
      </c>
      <c r="CS44" s="120">
        <v>0</v>
      </c>
      <c r="CT44" s="120">
        <v>0</v>
      </c>
      <c r="CU44" s="120">
        <v>0</v>
      </c>
      <c r="CV44" s="120">
        <v>0</v>
      </c>
      <c r="CW44" s="120">
        <v>0</v>
      </c>
      <c r="CX44" s="120">
        <v>0</v>
      </c>
      <c r="CY44" s="120">
        <v>0</v>
      </c>
      <c r="CZ44" s="120">
        <v>0</v>
      </c>
      <c r="DA44" s="209">
        <f>IFERROR(Opv.kohd.[[#This Row],[Järjestämisluvan mukaiset 13]]/Opv.kohd.[[#This Row],[Järjestämisluvan mukaiset 12]],0)</f>
        <v>0</v>
      </c>
      <c r="DB44" s="209">
        <f>IFERROR(Opv.kohd.[[#This Row],[Kohdentamat-tomat 13]]/Opv.kohd.[[#This Row],[Kohdentamat-tomat 12]],0)</f>
        <v>0</v>
      </c>
      <c r="DC44" s="209">
        <f>IFERROR(Opv.kohd.[[#This Row],[Työvoima-koulutus 13]]/Opv.kohd.[[#This Row],[Työvoima-koulutus 12]],0)</f>
        <v>0</v>
      </c>
      <c r="DD44" s="209">
        <f>IFERROR(Opv.kohd.[[#This Row],[Maahan-muuttajien koulutus 13]]/Opv.kohd.[[#This Row],[Maahan-muuttajien koulutus 12]],0)</f>
        <v>0</v>
      </c>
      <c r="DE44" s="209">
        <f>IFERROR(Opv.kohd.[[#This Row],[Nuorisotyöt. väh. ja osaamistarp. vast., muu kuin työvoima-koulutus 13]]/Opv.kohd.[[#This Row],[Nuorisotyöt. väh. ja osaamistarp. vast., muu kuin työvoima-koulutus 12]],0)</f>
        <v>0</v>
      </c>
      <c r="DF44" s="209">
        <f>IFERROR(Opv.kohd.[[#This Row],[Nuorisotyöt. väh. ja osaamistarp. vast., työvoima-koulutus 13]]/Opv.kohd.[[#This Row],[Nuorisotyöt. väh. ja osaamistarp. vast., työvoima-koulutus 12]],0)</f>
        <v>0</v>
      </c>
      <c r="DG44" s="209">
        <f>IFERROR(Opv.kohd.[[#This Row],[Yhteensä 13]]/Opv.kohd.[[#This Row],[Yhteensä 12]],0)</f>
        <v>0</v>
      </c>
      <c r="DH44" s="209">
        <f>IFERROR(Opv.kohd.[[#This Row],[Tavoitteelliset opiskelijavuodet yhteensä 13]]/Opv.kohd.[[#This Row],[Tavoitteelliset opiskelijavuodet yhteensä 12]],0)</f>
        <v>0</v>
      </c>
      <c r="DI44" s="207">
        <f>Opv.kohd.[[#This Row],[Järjestämisluvan mukaiset 12]]-Opv.kohd.[[#This Row],[Järjestämisluvan mukaiset 9]]</f>
        <v>-118</v>
      </c>
      <c r="DJ44" s="207">
        <f>Opv.kohd.[[#This Row],[Kohdentamat-tomat 12]]-Opv.kohd.[[#This Row],[Kohdentamat-tomat 9]]</f>
        <v>-5</v>
      </c>
      <c r="DK44" s="207">
        <f>Opv.kohd.[[#This Row],[Työvoima-koulutus 12]]-Opv.kohd.[[#This Row],[Työvoima-koulutus 9]]</f>
        <v>0</v>
      </c>
      <c r="DL44" s="207">
        <f>Opv.kohd.[[#This Row],[Maahan-muuttajien koulutus 12]]-Opv.kohd.[[#This Row],[Maahan-muuttajien koulutus 9]]</f>
        <v>0</v>
      </c>
      <c r="DM44" s="207">
        <f>Opv.kohd.[[#This Row],[Nuorisotyöt. väh. ja osaamistarp. vast., muu kuin työvoima-koulutus 12]]-Opv.kohd.[[#This Row],[Nuorisotyöt. väh. ja osaamistarp. vast., muu kuin työvoima-koulutus 9]]</f>
        <v>0</v>
      </c>
      <c r="DN44" s="207">
        <f>Opv.kohd.[[#This Row],[Nuorisotyöt. väh. ja osaamistarp. vast., työvoima-koulutus 12]]-Opv.kohd.[[#This Row],[Nuorisotyöt. väh. ja osaamistarp. vast., työvoima-koulutus 9]]</f>
        <v>0</v>
      </c>
      <c r="DO44" s="207">
        <f>Opv.kohd.[[#This Row],[Yhteensä 12]]-Opv.kohd.[[#This Row],[Yhteensä 9]]</f>
        <v>-5</v>
      </c>
      <c r="DP44" s="207">
        <f>Opv.kohd.[[#This Row],[Tavoitteelliset opiskelijavuodet yhteensä 12]]-Opv.kohd.[[#This Row],[Tavoitteelliset opiskelijavuodet yhteensä 9]]</f>
        <v>-123</v>
      </c>
      <c r="DQ44" s="209">
        <f>IFERROR(Opv.kohd.[[#This Row],[Järjestämisluvan mukaiset 15]]/Opv.kohd.[[#This Row],[Järjestämisluvan mukaiset 9]],0)</f>
        <v>-1</v>
      </c>
      <c r="DR44" s="209">
        <f t="shared" si="10"/>
        <v>0</v>
      </c>
      <c r="DS44" s="209">
        <f t="shared" si="11"/>
        <v>0</v>
      </c>
      <c r="DT44" s="209">
        <f t="shared" si="12"/>
        <v>0</v>
      </c>
      <c r="DU44" s="209">
        <f t="shared" si="13"/>
        <v>0</v>
      </c>
      <c r="DV44" s="209">
        <f t="shared" si="14"/>
        <v>0</v>
      </c>
      <c r="DW44" s="209">
        <f t="shared" si="15"/>
        <v>0</v>
      </c>
      <c r="DX44" s="209">
        <f t="shared" si="16"/>
        <v>0</v>
      </c>
    </row>
    <row r="45" spans="1:128" x14ac:dyDescent="0.25">
      <c r="A45" s="204" t="e">
        <f>IF(INDEX(#REF!,ROW(45:45)-1,1)=0,"",INDEX(#REF!,ROW(45:45)-1,1))</f>
        <v>#REF!</v>
      </c>
      <c r="B45" s="205" t="str">
        <f>IFERROR(VLOOKUP(Opv.kohd.[[#This Row],[Y-tunnus]],'0 Järjestäjätiedot'!$A:$H,2,FALSE),"")</f>
        <v/>
      </c>
      <c r="C45" s="204" t="str">
        <f>IFERROR(VLOOKUP(Opv.kohd.[[#This Row],[Y-tunnus]],'0 Järjestäjätiedot'!$A:$H,COLUMN('0 Järjestäjätiedot'!D:D),FALSE),"")</f>
        <v/>
      </c>
      <c r="D45" s="204" t="str">
        <f>IFERROR(VLOOKUP(Opv.kohd.[[#This Row],[Y-tunnus]],'0 Järjestäjätiedot'!$A:$H,COLUMN('0 Järjestäjätiedot'!H:H),FALSE),"")</f>
        <v/>
      </c>
      <c r="E45" s="204">
        <f>IFERROR(VLOOKUP(Opv.kohd.[[#This Row],[Y-tunnus]],#REF!,COLUMN(#REF!),FALSE),0)</f>
        <v>0</v>
      </c>
      <c r="F45" s="204">
        <f>IFERROR(VLOOKUP(Opv.kohd.[[#This Row],[Y-tunnus]],#REF!,COLUMN(#REF!),FALSE),0)</f>
        <v>0</v>
      </c>
      <c r="G45" s="204">
        <f>IFERROR(VLOOKUP(Opv.kohd.[[#This Row],[Y-tunnus]],#REF!,COLUMN(#REF!),FALSE),0)</f>
        <v>0</v>
      </c>
      <c r="H45" s="204">
        <f>IFERROR(VLOOKUP(Opv.kohd.[[#This Row],[Y-tunnus]],#REF!,COLUMN(#REF!),FALSE),0)</f>
        <v>0</v>
      </c>
      <c r="I45" s="204">
        <f>IFERROR(VLOOKUP(Opv.kohd.[[#This Row],[Y-tunnus]],#REF!,COLUMN(#REF!),FALSE),0)</f>
        <v>0</v>
      </c>
      <c r="J45" s="204">
        <f>IFERROR(VLOOKUP(Opv.kohd.[[#This Row],[Y-tunnus]],#REF!,COLUMN(#REF!),FALSE),0)</f>
        <v>0</v>
      </c>
      <c r="K4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45" s="204">
        <f>Opv.kohd.[[#This Row],[Järjestämisluvan mukaiset 1]]+Opv.kohd.[[#This Row],[Yhteensä  1]]</f>
        <v>0</v>
      </c>
      <c r="M45" s="204">
        <f>IFERROR(VLOOKUP(Opv.kohd.[[#This Row],[Y-tunnus]],#REF!,COLUMN(#REF!),FALSE),0)</f>
        <v>0</v>
      </c>
      <c r="N45" s="204">
        <f>IFERROR(VLOOKUP(Opv.kohd.[[#This Row],[Y-tunnus]],#REF!,COLUMN(#REF!),FALSE),0)</f>
        <v>0</v>
      </c>
      <c r="O45" s="204">
        <f>IFERROR(VLOOKUP(Opv.kohd.[[#This Row],[Y-tunnus]],#REF!,COLUMN(#REF!),FALSE)+VLOOKUP(Opv.kohd.[[#This Row],[Y-tunnus]],#REF!,COLUMN(#REF!),FALSE),0)</f>
        <v>0</v>
      </c>
      <c r="P45" s="204">
        <f>Opv.kohd.[[#This Row],[Talousarvion perusteella kohdentamattomat]]+Opv.kohd.[[#This Row],[Talousarvion perusteella työvoimakoulutus 1]]+Opv.kohd.[[#This Row],[Lisätalousarvioiden perusteella]]</f>
        <v>0</v>
      </c>
      <c r="Q45" s="204">
        <f>IFERROR(VLOOKUP(Opv.kohd.[[#This Row],[Y-tunnus]],#REF!,COLUMN(#REF!),FALSE),0)</f>
        <v>0</v>
      </c>
      <c r="R45" s="210">
        <f>IFERROR(VLOOKUP(Opv.kohd.[[#This Row],[Y-tunnus]],#REF!,COLUMN(#REF!),FALSE)-(Opv.kohd.[[#This Row],[Kohdentamaton työvoima-koulutus 2]]+Opv.kohd.[[#This Row],[Maahan-muuttajien koulutus 2]]+Opv.kohd.[[#This Row],[Lisätalousarvioiden perusteella jaetut 2]]),0)</f>
        <v>0</v>
      </c>
      <c r="S45" s="210">
        <f>IFERROR(VLOOKUP(Opv.kohd.[[#This Row],[Y-tunnus]],#REF!,COLUMN(#REF!),FALSE)+VLOOKUP(Opv.kohd.[[#This Row],[Y-tunnus]],#REF!,COLUMN(#REF!),FALSE),0)</f>
        <v>0</v>
      </c>
      <c r="T45" s="210">
        <f>IFERROR(VLOOKUP(Opv.kohd.[[#This Row],[Y-tunnus]],#REF!,COLUMN(#REF!),FALSE)+VLOOKUP(Opv.kohd.[[#This Row],[Y-tunnus]],#REF!,COLUMN(#REF!),FALSE),0)</f>
        <v>0</v>
      </c>
      <c r="U4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45" s="210">
        <f>Opv.kohd.[[#This Row],[Kohdentamat-tomat 2]]+Opv.kohd.[[#This Row],[Kohdentamaton työvoima-koulutus 2]]+Opv.kohd.[[#This Row],[Maahan-muuttajien koulutus 2]]+Opv.kohd.[[#This Row],[Lisätalousarvioiden perusteella jaetut 2]]</f>
        <v>0</v>
      </c>
      <c r="W45" s="210">
        <f>Opv.kohd.[[#This Row],[Kohdentamat-tomat 2]]-(Opv.kohd.[[#This Row],[Järjestämisluvan mukaiset 1]]+Opv.kohd.[[#This Row],[Kohdentamat-tomat 1]]+Opv.kohd.[[#This Row],[Nuorisotyöt. väh. ja osaamistarp. vast., muu kuin työvoima-koulutus 1]]+Opv.kohd.[[#This Row],[Talousarvion perusteella kohdentamattomat]])</f>
        <v>0</v>
      </c>
      <c r="X45" s="210">
        <f>Opv.kohd.[[#This Row],[Kohdentamaton työvoima-koulutus 2]]-(Opv.kohd.[[#This Row],[Työvoima-koulutus 1]]+Opv.kohd.[[#This Row],[Nuorisotyöt. väh. ja osaamistarp. vast., työvoima-koulutus 1]]+Opv.kohd.[[#This Row],[Talousarvion perusteella työvoimakoulutus 1]])</f>
        <v>0</v>
      </c>
      <c r="Y45" s="210">
        <f>Opv.kohd.[[#This Row],[Maahan-muuttajien koulutus 2]]-Opv.kohd.[[#This Row],[Maahan-muuttajien koulutus 1]]</f>
        <v>0</v>
      </c>
      <c r="Z45" s="210">
        <f>Opv.kohd.[[#This Row],[Lisätalousarvioiden perusteella jaetut 2]]-Opv.kohd.[[#This Row],[Lisätalousarvioiden perusteella]]</f>
        <v>0</v>
      </c>
      <c r="AA45" s="210">
        <f>Opv.kohd.[[#This Row],[Toteutuneet opiskelijavuodet yhteensä 2]]-Opv.kohd.[[#This Row],[Vuoden 2018 tavoitteelliset opiskelijavuodet yhteensä 1]]</f>
        <v>0</v>
      </c>
      <c r="AB45" s="207">
        <f>IFERROR(VLOOKUP(Opv.kohd.[[#This Row],[Y-tunnus]],#REF!,3,FALSE),0)</f>
        <v>0</v>
      </c>
      <c r="AC45" s="207">
        <f>IFERROR(VLOOKUP(Opv.kohd.[[#This Row],[Y-tunnus]],#REF!,4,FALSE),0)</f>
        <v>0</v>
      </c>
      <c r="AD45" s="207">
        <f>IFERROR(VLOOKUP(Opv.kohd.[[#This Row],[Y-tunnus]],#REF!,5,FALSE),0)</f>
        <v>0</v>
      </c>
      <c r="AE45" s="207">
        <f>IFERROR(VLOOKUP(Opv.kohd.[[#This Row],[Y-tunnus]],#REF!,6,FALSE),0)</f>
        <v>0</v>
      </c>
      <c r="AF45" s="207">
        <f>IFERROR(VLOOKUP(Opv.kohd.[[#This Row],[Y-tunnus]],#REF!,7,FALSE),0)</f>
        <v>0</v>
      </c>
      <c r="AG45" s="207">
        <f>IFERROR(VLOOKUP(Opv.kohd.[[#This Row],[Y-tunnus]],#REF!,8,FALSE),0)</f>
        <v>0</v>
      </c>
      <c r="AH45" s="207">
        <f>IFERROR(VLOOKUP(Opv.kohd.[[#This Row],[Y-tunnus]],#REF!,9,FALSE),0)</f>
        <v>0</v>
      </c>
      <c r="AI45" s="207">
        <f>IFERROR(VLOOKUP(Opv.kohd.[[#This Row],[Y-tunnus]],#REF!,10,FALSE),0)</f>
        <v>0</v>
      </c>
      <c r="AJ45" s="204">
        <f>Opv.kohd.[[#This Row],[Järjestämisluvan mukaiset 4]]-Opv.kohd.[[#This Row],[Järjestämisluvan mukaiset 1]]</f>
        <v>0</v>
      </c>
      <c r="AK45" s="204">
        <f>Opv.kohd.[[#This Row],[Kohdentamat-tomat 4]]-Opv.kohd.[[#This Row],[Kohdentamat-tomat 1]]</f>
        <v>0</v>
      </c>
      <c r="AL45" s="204">
        <f>Opv.kohd.[[#This Row],[Työvoima-koulutus 4]]-Opv.kohd.[[#This Row],[Työvoima-koulutus 1]]</f>
        <v>0</v>
      </c>
      <c r="AM45" s="204">
        <f>Opv.kohd.[[#This Row],[Maahan-muuttajien koulutus 4]]-Opv.kohd.[[#This Row],[Maahan-muuttajien koulutus 1]]</f>
        <v>0</v>
      </c>
      <c r="AN45" s="204">
        <f>Opv.kohd.[[#This Row],[Nuorisotyöt. väh. ja osaamistarp. vast., muu kuin työvoima-koulutus 4]]-Opv.kohd.[[#This Row],[Nuorisotyöt. väh. ja osaamistarp. vast., muu kuin työvoima-koulutus 1]]</f>
        <v>0</v>
      </c>
      <c r="AO45" s="204">
        <f>Opv.kohd.[[#This Row],[Nuorisotyöt. väh. ja osaamistarp. vast., työvoima-koulutus 4]]-Opv.kohd.[[#This Row],[Nuorisotyöt. väh. ja osaamistarp. vast., työvoima-koulutus 1]]</f>
        <v>0</v>
      </c>
      <c r="AP45" s="204">
        <f>Opv.kohd.[[#This Row],[Yhteensä 4]]-Opv.kohd.[[#This Row],[Yhteensä  1]]</f>
        <v>0</v>
      </c>
      <c r="AQ45" s="204">
        <f>Opv.kohd.[[#This Row],[Ensikertaisella suoritepäätöksellä jaetut tavoitteelliset opiskelijavuodet yhteensä 4]]-Opv.kohd.[[#This Row],[Ensikertaisella suoritepäätöksellä jaetut tavoitteelliset opiskelijavuodet yhteensä 1]]</f>
        <v>0</v>
      </c>
      <c r="AR45" s="208">
        <f>IFERROR(Opv.kohd.[[#This Row],[Järjestämisluvan mukaiset 5]]/Opv.kohd.[[#This Row],[Järjestämisluvan mukaiset 4]],0)</f>
        <v>0</v>
      </c>
      <c r="AS45" s="208">
        <f>IFERROR(Opv.kohd.[[#This Row],[Kohdentamat-tomat 5]]/Opv.kohd.[[#This Row],[Kohdentamat-tomat 4]],0)</f>
        <v>0</v>
      </c>
      <c r="AT45" s="208">
        <f>IFERROR(Opv.kohd.[[#This Row],[Työvoima-koulutus 5]]/Opv.kohd.[[#This Row],[Työvoima-koulutus 4]],0)</f>
        <v>0</v>
      </c>
      <c r="AU45" s="208">
        <f>IFERROR(Opv.kohd.[[#This Row],[Maahan-muuttajien koulutus 5]]/Opv.kohd.[[#This Row],[Maahan-muuttajien koulutus 4]],0)</f>
        <v>0</v>
      </c>
      <c r="AV45" s="208">
        <f>IFERROR(Opv.kohd.[[#This Row],[Nuorisotyöt. väh. ja osaamistarp. vast., muu kuin työvoima-koulutus 5]]/Opv.kohd.[[#This Row],[Nuorisotyöt. väh. ja osaamistarp. vast., muu kuin työvoima-koulutus 4]],0)</f>
        <v>0</v>
      </c>
      <c r="AW45" s="208">
        <f>IFERROR(Opv.kohd.[[#This Row],[Nuorisotyöt. väh. ja osaamistarp. vast., työvoima-koulutus 5]]/Opv.kohd.[[#This Row],[Nuorisotyöt. väh. ja osaamistarp. vast., työvoima-koulutus 4]],0)</f>
        <v>0</v>
      </c>
      <c r="AX45" s="208">
        <f>IFERROR(Opv.kohd.[[#This Row],[Yhteensä 5]]/Opv.kohd.[[#This Row],[Yhteensä 4]],0)</f>
        <v>0</v>
      </c>
      <c r="AY45" s="208">
        <f>IFERROR(Opv.kohd.[[#This Row],[Ensikertaisella suoritepäätöksellä jaetut tavoitteelliset opiskelijavuodet yhteensä 5]]/Opv.kohd.[[#This Row],[Ensikertaisella suoritepäätöksellä jaetut tavoitteelliset opiskelijavuodet yhteensä 4]],0)</f>
        <v>0</v>
      </c>
      <c r="AZ45" s="207">
        <f>Opv.kohd.[[#This Row],[Yhteensä 7a]]-Opv.kohd.[[#This Row],[Työvoima-koulutus 7a]]</f>
        <v>0</v>
      </c>
      <c r="BA45" s="207">
        <f>IFERROR(VLOOKUP(Opv.kohd.[[#This Row],[Y-tunnus]],#REF!,COLUMN(#REF!),FALSE),0)</f>
        <v>0</v>
      </c>
      <c r="BB45" s="207">
        <f>IFERROR(VLOOKUP(Opv.kohd.[[#This Row],[Y-tunnus]],#REF!,COLUMN(#REF!),FALSE),0)</f>
        <v>0</v>
      </c>
      <c r="BC45" s="207">
        <f>Opv.kohd.[[#This Row],[Muu kuin työvoima-koulutus 7c]]-Opv.kohd.[[#This Row],[Muu kuin työvoima-koulutus 7a]]</f>
        <v>0</v>
      </c>
      <c r="BD45" s="207">
        <f>Opv.kohd.[[#This Row],[Työvoima-koulutus 7c]]-Opv.kohd.[[#This Row],[Työvoima-koulutus 7a]]</f>
        <v>0</v>
      </c>
      <c r="BE45" s="207">
        <f>Opv.kohd.[[#This Row],[Yhteensä 7c]]-Opv.kohd.[[#This Row],[Yhteensä 7a]]</f>
        <v>0</v>
      </c>
      <c r="BF45" s="207">
        <f>Opv.kohd.[[#This Row],[Yhteensä 7c]]-Opv.kohd.[[#This Row],[Työvoima-koulutus 7c]]</f>
        <v>0</v>
      </c>
      <c r="BG45" s="207">
        <f>IFERROR(VLOOKUP(Opv.kohd.[[#This Row],[Y-tunnus]],#REF!,COLUMN(#REF!),FALSE),0)</f>
        <v>0</v>
      </c>
      <c r="BH45" s="207">
        <f>IFERROR(VLOOKUP(Opv.kohd.[[#This Row],[Y-tunnus]],#REF!,COLUMN(#REF!),FALSE),0)</f>
        <v>0</v>
      </c>
      <c r="BI45" s="207">
        <f>IFERROR(VLOOKUP(Opv.kohd.[[#This Row],[Y-tunnus]],#REF!,COLUMN(#REF!),FALSE),0)</f>
        <v>0</v>
      </c>
      <c r="BJ45" s="207">
        <f>IFERROR(VLOOKUP(Opv.kohd.[[#This Row],[Y-tunnus]],#REF!,COLUMN(#REF!),FALSE),0)</f>
        <v>0</v>
      </c>
      <c r="BK45" s="207">
        <f>Opv.kohd.[[#This Row],[Muu kuin työvoima-koulutus 7d]]+Opv.kohd.[[#This Row],[Työvoima-koulutus 7d]]</f>
        <v>0</v>
      </c>
      <c r="BL45" s="207">
        <f>Opv.kohd.[[#This Row],[Muu kuin työvoima-koulutus 7c]]-Opv.kohd.[[#This Row],[Muu kuin työvoima-koulutus 7d]]</f>
        <v>0</v>
      </c>
      <c r="BM45" s="207">
        <f>Opv.kohd.[[#This Row],[Työvoima-koulutus 7c]]-Opv.kohd.[[#This Row],[Työvoima-koulutus 7d]]</f>
        <v>0</v>
      </c>
      <c r="BN45" s="207">
        <f>Opv.kohd.[[#This Row],[Yhteensä 7c]]-Opv.kohd.[[#This Row],[Yhteensä 7d]]</f>
        <v>0</v>
      </c>
      <c r="BO45" s="207">
        <f>Opv.kohd.[[#This Row],[Muu kuin työvoima-koulutus 7e]]-(Opv.kohd.[[#This Row],[Järjestämisluvan mukaiset 4]]+Opv.kohd.[[#This Row],[Kohdentamat-tomat 4]]+Opv.kohd.[[#This Row],[Maahan-muuttajien koulutus 4]]+Opv.kohd.[[#This Row],[Nuorisotyöt. väh. ja osaamistarp. vast., muu kuin työvoima-koulutus 4]])</f>
        <v>0</v>
      </c>
      <c r="BP45" s="207">
        <f>Opv.kohd.[[#This Row],[Työvoima-koulutus 7e]]-(Opv.kohd.[[#This Row],[Työvoima-koulutus 4]]+Opv.kohd.[[#This Row],[Nuorisotyöt. väh. ja osaamistarp. vast., työvoima-koulutus 4]])</f>
        <v>0</v>
      </c>
      <c r="BQ45" s="207">
        <f>Opv.kohd.[[#This Row],[Yhteensä 7e]]-Opv.kohd.[[#This Row],[Ensikertaisella suoritepäätöksellä jaetut tavoitteelliset opiskelijavuodet yhteensä 4]]</f>
        <v>0</v>
      </c>
      <c r="BR45" s="263">
        <v>555</v>
      </c>
      <c r="BS45" s="263">
        <v>5</v>
      </c>
      <c r="BT45" s="263">
        <v>10</v>
      </c>
      <c r="BU45" s="263">
        <v>0</v>
      </c>
      <c r="BV45" s="263">
        <v>0</v>
      </c>
      <c r="BW45" s="263">
        <v>0</v>
      </c>
      <c r="BX45" s="263">
        <v>15</v>
      </c>
      <c r="BY45" s="263">
        <v>570</v>
      </c>
      <c r="BZ45" s="207">
        <f t="shared" si="2"/>
        <v>555</v>
      </c>
      <c r="CA45" s="207">
        <f t="shared" si="3"/>
        <v>5</v>
      </c>
      <c r="CB45" s="207">
        <f t="shared" si="4"/>
        <v>10</v>
      </c>
      <c r="CC45" s="207">
        <f t="shared" si="5"/>
        <v>0</v>
      </c>
      <c r="CD45" s="207">
        <f t="shared" si="6"/>
        <v>0</v>
      </c>
      <c r="CE45" s="207">
        <f t="shared" si="7"/>
        <v>0</v>
      </c>
      <c r="CF45" s="207">
        <f t="shared" si="8"/>
        <v>15</v>
      </c>
      <c r="CG45" s="207">
        <f t="shared" si="9"/>
        <v>570</v>
      </c>
      <c r="CH45" s="207">
        <f>Opv.kohd.[[#This Row],[Tavoitteelliset opiskelijavuodet yhteensä 9]]-Opv.kohd.[[#This Row],[Työvoima-koulutus 9]]-Opv.kohd.[[#This Row],[Nuorisotyöt. väh. ja osaamistarp. vast., työvoima-koulutus 9]]-Opv.kohd.[[#This Row],[Muu kuin työvoima-koulutus 7e]]</f>
        <v>560</v>
      </c>
      <c r="CI45" s="207">
        <f>(Opv.kohd.[[#This Row],[Työvoima-koulutus 9]]+Opv.kohd.[[#This Row],[Nuorisotyöt. väh. ja osaamistarp. vast., työvoima-koulutus 9]])-Opv.kohd.[[#This Row],[Työvoima-koulutus 7e]]</f>
        <v>10</v>
      </c>
      <c r="CJ45" s="207">
        <f>Opv.kohd.[[#This Row],[Tavoitteelliset opiskelijavuodet yhteensä 9]]-Opv.kohd.[[#This Row],[Yhteensä 7e]]</f>
        <v>570</v>
      </c>
      <c r="CK45" s="207">
        <f>Opv.kohd.[[#This Row],[Järjestämisluvan mukaiset 4]]+Opv.kohd.[[#This Row],[Järjestämisluvan mukaiset 13]]</f>
        <v>0</v>
      </c>
      <c r="CL45" s="207">
        <f>Opv.kohd.[[#This Row],[Kohdentamat-tomat 4]]+Opv.kohd.[[#This Row],[Kohdentamat-tomat 13]]</f>
        <v>0</v>
      </c>
      <c r="CM45" s="207">
        <f>Opv.kohd.[[#This Row],[Työvoima-koulutus 4]]+Opv.kohd.[[#This Row],[Työvoima-koulutus 13]]</f>
        <v>0</v>
      </c>
      <c r="CN45" s="207">
        <f>Opv.kohd.[[#This Row],[Maahan-muuttajien koulutus 4]]+Opv.kohd.[[#This Row],[Maahan-muuttajien koulutus 13]]</f>
        <v>0</v>
      </c>
      <c r="CO45" s="207">
        <f>Opv.kohd.[[#This Row],[Nuorisotyöt. väh. ja osaamistarp. vast., muu kuin työvoima-koulutus 4]]+Opv.kohd.[[#This Row],[Nuorisotyöt. väh. ja osaamistarp. vast., muu kuin työvoima-koulutus 13]]</f>
        <v>0</v>
      </c>
      <c r="CP45" s="207">
        <f>Opv.kohd.[[#This Row],[Nuorisotyöt. väh. ja osaamistarp. vast., työvoima-koulutus 4]]+Opv.kohd.[[#This Row],[Nuorisotyöt. väh. ja osaamistarp. vast., työvoima-koulutus 13]]</f>
        <v>0</v>
      </c>
      <c r="CQ45" s="207">
        <f>Opv.kohd.[[#This Row],[Yhteensä 4]]+Opv.kohd.[[#This Row],[Yhteensä 13]]</f>
        <v>0</v>
      </c>
      <c r="CR45" s="207">
        <f>Opv.kohd.[[#This Row],[Ensikertaisella suoritepäätöksellä jaetut tavoitteelliset opiskelijavuodet yhteensä 4]]+Opv.kohd.[[#This Row],[Tavoitteelliset opiskelijavuodet yhteensä 13]]</f>
        <v>0</v>
      </c>
      <c r="CS45" s="120">
        <v>0</v>
      </c>
      <c r="CT45" s="120">
        <v>0</v>
      </c>
      <c r="CU45" s="120">
        <v>0</v>
      </c>
      <c r="CV45" s="120">
        <v>0</v>
      </c>
      <c r="CW45" s="120">
        <v>0</v>
      </c>
      <c r="CX45" s="120">
        <v>0</v>
      </c>
      <c r="CY45" s="120">
        <v>0</v>
      </c>
      <c r="CZ45" s="120">
        <v>0</v>
      </c>
      <c r="DA45" s="209">
        <f>IFERROR(Opv.kohd.[[#This Row],[Järjestämisluvan mukaiset 13]]/Opv.kohd.[[#This Row],[Järjestämisluvan mukaiset 12]],0)</f>
        <v>0</v>
      </c>
      <c r="DB45" s="209">
        <f>IFERROR(Opv.kohd.[[#This Row],[Kohdentamat-tomat 13]]/Opv.kohd.[[#This Row],[Kohdentamat-tomat 12]],0)</f>
        <v>0</v>
      </c>
      <c r="DC45" s="209">
        <f>IFERROR(Opv.kohd.[[#This Row],[Työvoima-koulutus 13]]/Opv.kohd.[[#This Row],[Työvoima-koulutus 12]],0)</f>
        <v>0</v>
      </c>
      <c r="DD45" s="209">
        <f>IFERROR(Opv.kohd.[[#This Row],[Maahan-muuttajien koulutus 13]]/Opv.kohd.[[#This Row],[Maahan-muuttajien koulutus 12]],0)</f>
        <v>0</v>
      </c>
      <c r="DE45" s="209">
        <f>IFERROR(Opv.kohd.[[#This Row],[Nuorisotyöt. väh. ja osaamistarp. vast., muu kuin työvoima-koulutus 13]]/Opv.kohd.[[#This Row],[Nuorisotyöt. väh. ja osaamistarp. vast., muu kuin työvoima-koulutus 12]],0)</f>
        <v>0</v>
      </c>
      <c r="DF45" s="209">
        <f>IFERROR(Opv.kohd.[[#This Row],[Nuorisotyöt. väh. ja osaamistarp. vast., työvoima-koulutus 13]]/Opv.kohd.[[#This Row],[Nuorisotyöt. väh. ja osaamistarp. vast., työvoima-koulutus 12]],0)</f>
        <v>0</v>
      </c>
      <c r="DG45" s="209">
        <f>IFERROR(Opv.kohd.[[#This Row],[Yhteensä 13]]/Opv.kohd.[[#This Row],[Yhteensä 12]],0)</f>
        <v>0</v>
      </c>
      <c r="DH45" s="209">
        <f>IFERROR(Opv.kohd.[[#This Row],[Tavoitteelliset opiskelijavuodet yhteensä 13]]/Opv.kohd.[[#This Row],[Tavoitteelliset opiskelijavuodet yhteensä 12]],0)</f>
        <v>0</v>
      </c>
      <c r="DI45" s="207">
        <f>Opv.kohd.[[#This Row],[Järjestämisluvan mukaiset 12]]-Opv.kohd.[[#This Row],[Järjestämisluvan mukaiset 9]]</f>
        <v>-555</v>
      </c>
      <c r="DJ45" s="207">
        <f>Opv.kohd.[[#This Row],[Kohdentamat-tomat 12]]-Opv.kohd.[[#This Row],[Kohdentamat-tomat 9]]</f>
        <v>-5</v>
      </c>
      <c r="DK45" s="207">
        <f>Opv.kohd.[[#This Row],[Työvoima-koulutus 12]]-Opv.kohd.[[#This Row],[Työvoima-koulutus 9]]</f>
        <v>-10</v>
      </c>
      <c r="DL45" s="207">
        <f>Opv.kohd.[[#This Row],[Maahan-muuttajien koulutus 12]]-Opv.kohd.[[#This Row],[Maahan-muuttajien koulutus 9]]</f>
        <v>0</v>
      </c>
      <c r="DM45" s="207">
        <f>Opv.kohd.[[#This Row],[Nuorisotyöt. väh. ja osaamistarp. vast., muu kuin työvoima-koulutus 12]]-Opv.kohd.[[#This Row],[Nuorisotyöt. väh. ja osaamistarp. vast., muu kuin työvoima-koulutus 9]]</f>
        <v>0</v>
      </c>
      <c r="DN45" s="207">
        <f>Opv.kohd.[[#This Row],[Nuorisotyöt. väh. ja osaamistarp. vast., työvoima-koulutus 12]]-Opv.kohd.[[#This Row],[Nuorisotyöt. väh. ja osaamistarp. vast., työvoima-koulutus 9]]</f>
        <v>0</v>
      </c>
      <c r="DO45" s="207">
        <f>Opv.kohd.[[#This Row],[Yhteensä 12]]-Opv.kohd.[[#This Row],[Yhteensä 9]]</f>
        <v>-15</v>
      </c>
      <c r="DP45" s="207">
        <f>Opv.kohd.[[#This Row],[Tavoitteelliset opiskelijavuodet yhteensä 12]]-Opv.kohd.[[#This Row],[Tavoitteelliset opiskelijavuodet yhteensä 9]]</f>
        <v>-570</v>
      </c>
      <c r="DQ45" s="209">
        <f>IFERROR(Opv.kohd.[[#This Row],[Järjestämisluvan mukaiset 15]]/Opv.kohd.[[#This Row],[Järjestämisluvan mukaiset 9]],0)</f>
        <v>-1</v>
      </c>
      <c r="DR45" s="209">
        <f t="shared" si="10"/>
        <v>0</v>
      </c>
      <c r="DS45" s="209">
        <f t="shared" si="11"/>
        <v>0</v>
      </c>
      <c r="DT45" s="209">
        <f t="shared" si="12"/>
        <v>0</v>
      </c>
      <c r="DU45" s="209">
        <f t="shared" si="13"/>
        <v>0</v>
      </c>
      <c r="DV45" s="209">
        <f t="shared" si="14"/>
        <v>0</v>
      </c>
      <c r="DW45" s="209">
        <f t="shared" si="15"/>
        <v>0</v>
      </c>
      <c r="DX45" s="209">
        <f t="shared" si="16"/>
        <v>0</v>
      </c>
    </row>
    <row r="46" spans="1:128" x14ac:dyDescent="0.25">
      <c r="A46" s="204" t="e">
        <f>IF(INDEX(#REF!,ROW(46:46)-1,1)=0,"",INDEX(#REF!,ROW(46:46)-1,1))</f>
        <v>#REF!</v>
      </c>
      <c r="B46" s="205" t="str">
        <f>IFERROR(VLOOKUP(Opv.kohd.[[#This Row],[Y-tunnus]],'0 Järjestäjätiedot'!$A:$H,2,FALSE),"")</f>
        <v/>
      </c>
      <c r="C46" s="204" t="str">
        <f>IFERROR(VLOOKUP(Opv.kohd.[[#This Row],[Y-tunnus]],'0 Järjestäjätiedot'!$A:$H,COLUMN('0 Järjestäjätiedot'!D:D),FALSE),"")</f>
        <v/>
      </c>
      <c r="D46" s="204" t="str">
        <f>IFERROR(VLOOKUP(Opv.kohd.[[#This Row],[Y-tunnus]],'0 Järjestäjätiedot'!$A:$H,COLUMN('0 Järjestäjätiedot'!H:H),FALSE),"")</f>
        <v/>
      </c>
      <c r="E46" s="204">
        <f>IFERROR(VLOOKUP(Opv.kohd.[[#This Row],[Y-tunnus]],#REF!,COLUMN(#REF!),FALSE),0)</f>
        <v>0</v>
      </c>
      <c r="F46" s="204">
        <f>IFERROR(VLOOKUP(Opv.kohd.[[#This Row],[Y-tunnus]],#REF!,COLUMN(#REF!),FALSE),0)</f>
        <v>0</v>
      </c>
      <c r="G46" s="204">
        <f>IFERROR(VLOOKUP(Opv.kohd.[[#This Row],[Y-tunnus]],#REF!,COLUMN(#REF!),FALSE),0)</f>
        <v>0</v>
      </c>
      <c r="H46" s="204">
        <f>IFERROR(VLOOKUP(Opv.kohd.[[#This Row],[Y-tunnus]],#REF!,COLUMN(#REF!),FALSE),0)</f>
        <v>0</v>
      </c>
      <c r="I46" s="204">
        <f>IFERROR(VLOOKUP(Opv.kohd.[[#This Row],[Y-tunnus]],#REF!,COLUMN(#REF!),FALSE),0)</f>
        <v>0</v>
      </c>
      <c r="J46" s="204">
        <f>IFERROR(VLOOKUP(Opv.kohd.[[#This Row],[Y-tunnus]],#REF!,COLUMN(#REF!),FALSE),0)</f>
        <v>0</v>
      </c>
      <c r="K4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46" s="204">
        <f>Opv.kohd.[[#This Row],[Järjestämisluvan mukaiset 1]]+Opv.kohd.[[#This Row],[Yhteensä  1]]</f>
        <v>0</v>
      </c>
      <c r="M46" s="204">
        <f>IFERROR(VLOOKUP(Opv.kohd.[[#This Row],[Y-tunnus]],#REF!,COLUMN(#REF!),FALSE),0)</f>
        <v>0</v>
      </c>
      <c r="N46" s="204">
        <f>IFERROR(VLOOKUP(Opv.kohd.[[#This Row],[Y-tunnus]],#REF!,COLUMN(#REF!),FALSE),0)</f>
        <v>0</v>
      </c>
      <c r="O46" s="204">
        <f>IFERROR(VLOOKUP(Opv.kohd.[[#This Row],[Y-tunnus]],#REF!,COLUMN(#REF!),FALSE)+VLOOKUP(Opv.kohd.[[#This Row],[Y-tunnus]],#REF!,COLUMN(#REF!),FALSE),0)</f>
        <v>0</v>
      </c>
      <c r="P46" s="204">
        <f>Opv.kohd.[[#This Row],[Talousarvion perusteella kohdentamattomat]]+Opv.kohd.[[#This Row],[Talousarvion perusteella työvoimakoulutus 1]]+Opv.kohd.[[#This Row],[Lisätalousarvioiden perusteella]]</f>
        <v>0</v>
      </c>
      <c r="Q46" s="204">
        <f>IFERROR(VLOOKUP(Opv.kohd.[[#This Row],[Y-tunnus]],#REF!,COLUMN(#REF!),FALSE),0)</f>
        <v>0</v>
      </c>
      <c r="R46" s="210">
        <f>IFERROR(VLOOKUP(Opv.kohd.[[#This Row],[Y-tunnus]],#REF!,COLUMN(#REF!),FALSE)-(Opv.kohd.[[#This Row],[Kohdentamaton työvoima-koulutus 2]]+Opv.kohd.[[#This Row],[Maahan-muuttajien koulutus 2]]+Opv.kohd.[[#This Row],[Lisätalousarvioiden perusteella jaetut 2]]),0)</f>
        <v>0</v>
      </c>
      <c r="S46" s="210">
        <f>IFERROR(VLOOKUP(Opv.kohd.[[#This Row],[Y-tunnus]],#REF!,COLUMN(#REF!),FALSE)+VLOOKUP(Opv.kohd.[[#This Row],[Y-tunnus]],#REF!,COLUMN(#REF!),FALSE),0)</f>
        <v>0</v>
      </c>
      <c r="T46" s="210">
        <f>IFERROR(VLOOKUP(Opv.kohd.[[#This Row],[Y-tunnus]],#REF!,COLUMN(#REF!),FALSE)+VLOOKUP(Opv.kohd.[[#This Row],[Y-tunnus]],#REF!,COLUMN(#REF!),FALSE),0)</f>
        <v>0</v>
      </c>
      <c r="U4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46" s="210">
        <f>Opv.kohd.[[#This Row],[Kohdentamat-tomat 2]]+Opv.kohd.[[#This Row],[Kohdentamaton työvoima-koulutus 2]]+Opv.kohd.[[#This Row],[Maahan-muuttajien koulutus 2]]+Opv.kohd.[[#This Row],[Lisätalousarvioiden perusteella jaetut 2]]</f>
        <v>0</v>
      </c>
      <c r="W46" s="210">
        <f>Opv.kohd.[[#This Row],[Kohdentamat-tomat 2]]-(Opv.kohd.[[#This Row],[Järjestämisluvan mukaiset 1]]+Opv.kohd.[[#This Row],[Kohdentamat-tomat 1]]+Opv.kohd.[[#This Row],[Nuorisotyöt. väh. ja osaamistarp. vast., muu kuin työvoima-koulutus 1]]+Opv.kohd.[[#This Row],[Talousarvion perusteella kohdentamattomat]])</f>
        <v>0</v>
      </c>
      <c r="X46" s="210">
        <f>Opv.kohd.[[#This Row],[Kohdentamaton työvoima-koulutus 2]]-(Opv.kohd.[[#This Row],[Työvoima-koulutus 1]]+Opv.kohd.[[#This Row],[Nuorisotyöt. väh. ja osaamistarp. vast., työvoima-koulutus 1]]+Opv.kohd.[[#This Row],[Talousarvion perusteella työvoimakoulutus 1]])</f>
        <v>0</v>
      </c>
      <c r="Y46" s="210">
        <f>Opv.kohd.[[#This Row],[Maahan-muuttajien koulutus 2]]-Opv.kohd.[[#This Row],[Maahan-muuttajien koulutus 1]]</f>
        <v>0</v>
      </c>
      <c r="Z46" s="210">
        <f>Opv.kohd.[[#This Row],[Lisätalousarvioiden perusteella jaetut 2]]-Opv.kohd.[[#This Row],[Lisätalousarvioiden perusteella]]</f>
        <v>0</v>
      </c>
      <c r="AA46" s="210">
        <f>Opv.kohd.[[#This Row],[Toteutuneet opiskelijavuodet yhteensä 2]]-Opv.kohd.[[#This Row],[Vuoden 2018 tavoitteelliset opiskelijavuodet yhteensä 1]]</f>
        <v>0</v>
      </c>
      <c r="AB46" s="207">
        <f>IFERROR(VLOOKUP(Opv.kohd.[[#This Row],[Y-tunnus]],#REF!,3,FALSE),0)</f>
        <v>0</v>
      </c>
      <c r="AC46" s="207">
        <f>IFERROR(VLOOKUP(Opv.kohd.[[#This Row],[Y-tunnus]],#REF!,4,FALSE),0)</f>
        <v>0</v>
      </c>
      <c r="AD46" s="207">
        <f>IFERROR(VLOOKUP(Opv.kohd.[[#This Row],[Y-tunnus]],#REF!,5,FALSE),0)</f>
        <v>0</v>
      </c>
      <c r="AE46" s="207">
        <f>IFERROR(VLOOKUP(Opv.kohd.[[#This Row],[Y-tunnus]],#REF!,6,FALSE),0)</f>
        <v>0</v>
      </c>
      <c r="AF46" s="207">
        <f>IFERROR(VLOOKUP(Opv.kohd.[[#This Row],[Y-tunnus]],#REF!,7,FALSE),0)</f>
        <v>0</v>
      </c>
      <c r="AG46" s="207">
        <f>IFERROR(VLOOKUP(Opv.kohd.[[#This Row],[Y-tunnus]],#REF!,8,FALSE),0)</f>
        <v>0</v>
      </c>
      <c r="AH46" s="207">
        <f>IFERROR(VLOOKUP(Opv.kohd.[[#This Row],[Y-tunnus]],#REF!,9,FALSE),0)</f>
        <v>0</v>
      </c>
      <c r="AI46" s="207">
        <f>IFERROR(VLOOKUP(Opv.kohd.[[#This Row],[Y-tunnus]],#REF!,10,FALSE),0)</f>
        <v>0</v>
      </c>
      <c r="AJ46" s="204">
        <f>Opv.kohd.[[#This Row],[Järjestämisluvan mukaiset 4]]-Opv.kohd.[[#This Row],[Järjestämisluvan mukaiset 1]]</f>
        <v>0</v>
      </c>
      <c r="AK46" s="204">
        <f>Opv.kohd.[[#This Row],[Kohdentamat-tomat 4]]-Opv.kohd.[[#This Row],[Kohdentamat-tomat 1]]</f>
        <v>0</v>
      </c>
      <c r="AL46" s="204">
        <f>Opv.kohd.[[#This Row],[Työvoima-koulutus 4]]-Opv.kohd.[[#This Row],[Työvoima-koulutus 1]]</f>
        <v>0</v>
      </c>
      <c r="AM46" s="204">
        <f>Opv.kohd.[[#This Row],[Maahan-muuttajien koulutus 4]]-Opv.kohd.[[#This Row],[Maahan-muuttajien koulutus 1]]</f>
        <v>0</v>
      </c>
      <c r="AN46" s="204">
        <f>Opv.kohd.[[#This Row],[Nuorisotyöt. väh. ja osaamistarp. vast., muu kuin työvoima-koulutus 4]]-Opv.kohd.[[#This Row],[Nuorisotyöt. väh. ja osaamistarp. vast., muu kuin työvoima-koulutus 1]]</f>
        <v>0</v>
      </c>
      <c r="AO46" s="204">
        <f>Opv.kohd.[[#This Row],[Nuorisotyöt. väh. ja osaamistarp. vast., työvoima-koulutus 4]]-Opv.kohd.[[#This Row],[Nuorisotyöt. väh. ja osaamistarp. vast., työvoima-koulutus 1]]</f>
        <v>0</v>
      </c>
      <c r="AP46" s="204">
        <f>Opv.kohd.[[#This Row],[Yhteensä 4]]-Opv.kohd.[[#This Row],[Yhteensä  1]]</f>
        <v>0</v>
      </c>
      <c r="AQ46" s="204">
        <f>Opv.kohd.[[#This Row],[Ensikertaisella suoritepäätöksellä jaetut tavoitteelliset opiskelijavuodet yhteensä 4]]-Opv.kohd.[[#This Row],[Ensikertaisella suoritepäätöksellä jaetut tavoitteelliset opiskelijavuodet yhteensä 1]]</f>
        <v>0</v>
      </c>
      <c r="AR46" s="208">
        <f>IFERROR(Opv.kohd.[[#This Row],[Järjestämisluvan mukaiset 5]]/Opv.kohd.[[#This Row],[Järjestämisluvan mukaiset 4]],0)</f>
        <v>0</v>
      </c>
      <c r="AS46" s="208">
        <f>IFERROR(Opv.kohd.[[#This Row],[Kohdentamat-tomat 5]]/Opv.kohd.[[#This Row],[Kohdentamat-tomat 4]],0)</f>
        <v>0</v>
      </c>
      <c r="AT46" s="208">
        <f>IFERROR(Opv.kohd.[[#This Row],[Työvoima-koulutus 5]]/Opv.kohd.[[#This Row],[Työvoima-koulutus 4]],0)</f>
        <v>0</v>
      </c>
      <c r="AU46" s="208">
        <f>IFERROR(Opv.kohd.[[#This Row],[Maahan-muuttajien koulutus 5]]/Opv.kohd.[[#This Row],[Maahan-muuttajien koulutus 4]],0)</f>
        <v>0</v>
      </c>
      <c r="AV46" s="208">
        <f>IFERROR(Opv.kohd.[[#This Row],[Nuorisotyöt. väh. ja osaamistarp. vast., muu kuin työvoima-koulutus 5]]/Opv.kohd.[[#This Row],[Nuorisotyöt. väh. ja osaamistarp. vast., muu kuin työvoima-koulutus 4]],0)</f>
        <v>0</v>
      </c>
      <c r="AW46" s="208">
        <f>IFERROR(Opv.kohd.[[#This Row],[Nuorisotyöt. väh. ja osaamistarp. vast., työvoima-koulutus 5]]/Opv.kohd.[[#This Row],[Nuorisotyöt. väh. ja osaamistarp. vast., työvoima-koulutus 4]],0)</f>
        <v>0</v>
      </c>
      <c r="AX46" s="208">
        <f>IFERROR(Opv.kohd.[[#This Row],[Yhteensä 5]]/Opv.kohd.[[#This Row],[Yhteensä 4]],0)</f>
        <v>0</v>
      </c>
      <c r="AY46" s="208">
        <f>IFERROR(Opv.kohd.[[#This Row],[Ensikertaisella suoritepäätöksellä jaetut tavoitteelliset opiskelijavuodet yhteensä 5]]/Opv.kohd.[[#This Row],[Ensikertaisella suoritepäätöksellä jaetut tavoitteelliset opiskelijavuodet yhteensä 4]],0)</f>
        <v>0</v>
      </c>
      <c r="AZ46" s="207">
        <f>Opv.kohd.[[#This Row],[Yhteensä 7a]]-Opv.kohd.[[#This Row],[Työvoima-koulutus 7a]]</f>
        <v>0</v>
      </c>
      <c r="BA46" s="207">
        <f>IFERROR(VLOOKUP(Opv.kohd.[[#This Row],[Y-tunnus]],#REF!,COLUMN(#REF!),FALSE),0)</f>
        <v>0</v>
      </c>
      <c r="BB46" s="207">
        <f>IFERROR(VLOOKUP(Opv.kohd.[[#This Row],[Y-tunnus]],#REF!,COLUMN(#REF!),FALSE),0)</f>
        <v>0</v>
      </c>
      <c r="BC46" s="207">
        <f>Opv.kohd.[[#This Row],[Muu kuin työvoima-koulutus 7c]]-Opv.kohd.[[#This Row],[Muu kuin työvoima-koulutus 7a]]</f>
        <v>0</v>
      </c>
      <c r="BD46" s="207">
        <f>Opv.kohd.[[#This Row],[Työvoima-koulutus 7c]]-Opv.kohd.[[#This Row],[Työvoima-koulutus 7a]]</f>
        <v>0</v>
      </c>
      <c r="BE46" s="207">
        <f>Opv.kohd.[[#This Row],[Yhteensä 7c]]-Opv.kohd.[[#This Row],[Yhteensä 7a]]</f>
        <v>0</v>
      </c>
      <c r="BF46" s="207">
        <f>Opv.kohd.[[#This Row],[Yhteensä 7c]]-Opv.kohd.[[#This Row],[Työvoima-koulutus 7c]]</f>
        <v>0</v>
      </c>
      <c r="BG46" s="207">
        <f>IFERROR(VLOOKUP(Opv.kohd.[[#This Row],[Y-tunnus]],#REF!,COLUMN(#REF!),FALSE),0)</f>
        <v>0</v>
      </c>
      <c r="BH46" s="207">
        <f>IFERROR(VLOOKUP(Opv.kohd.[[#This Row],[Y-tunnus]],#REF!,COLUMN(#REF!),FALSE),0)</f>
        <v>0</v>
      </c>
      <c r="BI46" s="207">
        <f>IFERROR(VLOOKUP(Opv.kohd.[[#This Row],[Y-tunnus]],#REF!,COLUMN(#REF!),FALSE),0)</f>
        <v>0</v>
      </c>
      <c r="BJ46" s="207">
        <f>IFERROR(VLOOKUP(Opv.kohd.[[#This Row],[Y-tunnus]],#REF!,COLUMN(#REF!),FALSE),0)</f>
        <v>0</v>
      </c>
      <c r="BK46" s="207">
        <f>Opv.kohd.[[#This Row],[Muu kuin työvoima-koulutus 7d]]+Opv.kohd.[[#This Row],[Työvoima-koulutus 7d]]</f>
        <v>0</v>
      </c>
      <c r="BL46" s="207">
        <f>Opv.kohd.[[#This Row],[Muu kuin työvoima-koulutus 7c]]-Opv.kohd.[[#This Row],[Muu kuin työvoima-koulutus 7d]]</f>
        <v>0</v>
      </c>
      <c r="BM46" s="207">
        <f>Opv.kohd.[[#This Row],[Työvoima-koulutus 7c]]-Opv.kohd.[[#This Row],[Työvoima-koulutus 7d]]</f>
        <v>0</v>
      </c>
      <c r="BN46" s="207">
        <f>Opv.kohd.[[#This Row],[Yhteensä 7c]]-Opv.kohd.[[#This Row],[Yhteensä 7d]]</f>
        <v>0</v>
      </c>
      <c r="BO46" s="207">
        <f>Opv.kohd.[[#This Row],[Muu kuin työvoima-koulutus 7e]]-(Opv.kohd.[[#This Row],[Järjestämisluvan mukaiset 4]]+Opv.kohd.[[#This Row],[Kohdentamat-tomat 4]]+Opv.kohd.[[#This Row],[Maahan-muuttajien koulutus 4]]+Opv.kohd.[[#This Row],[Nuorisotyöt. väh. ja osaamistarp. vast., muu kuin työvoima-koulutus 4]])</f>
        <v>0</v>
      </c>
      <c r="BP46" s="207">
        <f>Opv.kohd.[[#This Row],[Työvoima-koulutus 7e]]-(Opv.kohd.[[#This Row],[Työvoima-koulutus 4]]+Opv.kohd.[[#This Row],[Nuorisotyöt. väh. ja osaamistarp. vast., työvoima-koulutus 4]])</f>
        <v>0</v>
      </c>
      <c r="BQ46" s="207">
        <f>Opv.kohd.[[#This Row],[Yhteensä 7e]]-Opv.kohd.[[#This Row],[Ensikertaisella suoritepäätöksellä jaetut tavoitteelliset opiskelijavuodet yhteensä 4]]</f>
        <v>0</v>
      </c>
      <c r="BR46" s="263">
        <v>0</v>
      </c>
      <c r="BS46" s="263">
        <v>0</v>
      </c>
      <c r="BT46" s="263">
        <v>0</v>
      </c>
      <c r="BU46" s="263">
        <v>0</v>
      </c>
      <c r="BV46" s="263">
        <v>0</v>
      </c>
      <c r="BW46" s="263">
        <v>0</v>
      </c>
      <c r="BX46" s="263">
        <v>0</v>
      </c>
      <c r="BY46" s="263">
        <v>0</v>
      </c>
      <c r="BZ46" s="207">
        <f t="shared" si="2"/>
        <v>0</v>
      </c>
      <c r="CA46" s="207">
        <f t="shared" si="3"/>
        <v>0</v>
      </c>
      <c r="CB46" s="207">
        <f t="shared" si="4"/>
        <v>0</v>
      </c>
      <c r="CC46" s="207">
        <f t="shared" si="5"/>
        <v>0</v>
      </c>
      <c r="CD46" s="207">
        <f t="shared" si="6"/>
        <v>0</v>
      </c>
      <c r="CE46" s="207">
        <f t="shared" si="7"/>
        <v>0</v>
      </c>
      <c r="CF46" s="207">
        <f t="shared" si="8"/>
        <v>0</v>
      </c>
      <c r="CG46" s="207">
        <f t="shared" si="9"/>
        <v>0</v>
      </c>
      <c r="CH46" s="207">
        <f>Opv.kohd.[[#This Row],[Tavoitteelliset opiskelijavuodet yhteensä 9]]-Opv.kohd.[[#This Row],[Työvoima-koulutus 9]]-Opv.kohd.[[#This Row],[Nuorisotyöt. väh. ja osaamistarp. vast., työvoima-koulutus 9]]-Opv.kohd.[[#This Row],[Muu kuin työvoima-koulutus 7e]]</f>
        <v>0</v>
      </c>
      <c r="CI46" s="207">
        <f>(Opv.kohd.[[#This Row],[Työvoima-koulutus 9]]+Opv.kohd.[[#This Row],[Nuorisotyöt. väh. ja osaamistarp. vast., työvoima-koulutus 9]])-Opv.kohd.[[#This Row],[Työvoima-koulutus 7e]]</f>
        <v>0</v>
      </c>
      <c r="CJ46" s="207">
        <f>Opv.kohd.[[#This Row],[Tavoitteelliset opiskelijavuodet yhteensä 9]]-Opv.kohd.[[#This Row],[Yhteensä 7e]]</f>
        <v>0</v>
      </c>
      <c r="CK46" s="207">
        <f>Opv.kohd.[[#This Row],[Järjestämisluvan mukaiset 4]]+Opv.kohd.[[#This Row],[Järjestämisluvan mukaiset 13]]</f>
        <v>0</v>
      </c>
      <c r="CL46" s="207">
        <f>Opv.kohd.[[#This Row],[Kohdentamat-tomat 4]]+Opv.kohd.[[#This Row],[Kohdentamat-tomat 13]]</f>
        <v>0</v>
      </c>
      <c r="CM46" s="207">
        <f>Opv.kohd.[[#This Row],[Työvoima-koulutus 4]]+Opv.kohd.[[#This Row],[Työvoima-koulutus 13]]</f>
        <v>0</v>
      </c>
      <c r="CN46" s="207">
        <f>Opv.kohd.[[#This Row],[Maahan-muuttajien koulutus 4]]+Opv.kohd.[[#This Row],[Maahan-muuttajien koulutus 13]]</f>
        <v>0</v>
      </c>
      <c r="CO46" s="207">
        <f>Opv.kohd.[[#This Row],[Nuorisotyöt. väh. ja osaamistarp. vast., muu kuin työvoima-koulutus 4]]+Opv.kohd.[[#This Row],[Nuorisotyöt. väh. ja osaamistarp. vast., muu kuin työvoima-koulutus 13]]</f>
        <v>0</v>
      </c>
      <c r="CP46" s="207">
        <f>Opv.kohd.[[#This Row],[Nuorisotyöt. väh. ja osaamistarp. vast., työvoima-koulutus 4]]+Opv.kohd.[[#This Row],[Nuorisotyöt. väh. ja osaamistarp. vast., työvoima-koulutus 13]]</f>
        <v>0</v>
      </c>
      <c r="CQ46" s="207">
        <f>Opv.kohd.[[#This Row],[Yhteensä 4]]+Opv.kohd.[[#This Row],[Yhteensä 13]]</f>
        <v>0</v>
      </c>
      <c r="CR46" s="207">
        <f>Opv.kohd.[[#This Row],[Ensikertaisella suoritepäätöksellä jaetut tavoitteelliset opiskelijavuodet yhteensä 4]]+Opv.kohd.[[#This Row],[Tavoitteelliset opiskelijavuodet yhteensä 13]]</f>
        <v>0</v>
      </c>
      <c r="CS46" s="120">
        <v>0</v>
      </c>
      <c r="CT46" s="120">
        <v>0</v>
      </c>
      <c r="CU46" s="120">
        <v>0</v>
      </c>
      <c r="CV46" s="120">
        <v>0</v>
      </c>
      <c r="CW46" s="120">
        <v>0</v>
      </c>
      <c r="CX46" s="120">
        <v>0</v>
      </c>
      <c r="CY46" s="120">
        <v>0</v>
      </c>
      <c r="CZ46" s="120">
        <v>0</v>
      </c>
      <c r="DA46" s="209">
        <f>IFERROR(Opv.kohd.[[#This Row],[Järjestämisluvan mukaiset 13]]/Opv.kohd.[[#This Row],[Järjestämisluvan mukaiset 12]],0)</f>
        <v>0</v>
      </c>
      <c r="DB46" s="209">
        <f>IFERROR(Opv.kohd.[[#This Row],[Kohdentamat-tomat 13]]/Opv.kohd.[[#This Row],[Kohdentamat-tomat 12]],0)</f>
        <v>0</v>
      </c>
      <c r="DC46" s="209">
        <f>IFERROR(Opv.kohd.[[#This Row],[Työvoima-koulutus 13]]/Opv.kohd.[[#This Row],[Työvoima-koulutus 12]],0)</f>
        <v>0</v>
      </c>
      <c r="DD46" s="209">
        <f>IFERROR(Opv.kohd.[[#This Row],[Maahan-muuttajien koulutus 13]]/Opv.kohd.[[#This Row],[Maahan-muuttajien koulutus 12]],0)</f>
        <v>0</v>
      </c>
      <c r="DE46" s="209">
        <f>IFERROR(Opv.kohd.[[#This Row],[Nuorisotyöt. väh. ja osaamistarp. vast., muu kuin työvoima-koulutus 13]]/Opv.kohd.[[#This Row],[Nuorisotyöt. väh. ja osaamistarp. vast., muu kuin työvoima-koulutus 12]],0)</f>
        <v>0</v>
      </c>
      <c r="DF46" s="209">
        <f>IFERROR(Opv.kohd.[[#This Row],[Nuorisotyöt. väh. ja osaamistarp. vast., työvoima-koulutus 13]]/Opv.kohd.[[#This Row],[Nuorisotyöt. väh. ja osaamistarp. vast., työvoima-koulutus 12]],0)</f>
        <v>0</v>
      </c>
      <c r="DG46" s="209">
        <f>IFERROR(Opv.kohd.[[#This Row],[Yhteensä 13]]/Opv.kohd.[[#This Row],[Yhteensä 12]],0)</f>
        <v>0</v>
      </c>
      <c r="DH46" s="209">
        <f>IFERROR(Opv.kohd.[[#This Row],[Tavoitteelliset opiskelijavuodet yhteensä 13]]/Opv.kohd.[[#This Row],[Tavoitteelliset opiskelijavuodet yhteensä 12]],0)</f>
        <v>0</v>
      </c>
      <c r="DI46" s="207">
        <f>Opv.kohd.[[#This Row],[Järjestämisluvan mukaiset 12]]-Opv.kohd.[[#This Row],[Järjestämisluvan mukaiset 9]]</f>
        <v>0</v>
      </c>
      <c r="DJ46" s="207">
        <f>Opv.kohd.[[#This Row],[Kohdentamat-tomat 12]]-Opv.kohd.[[#This Row],[Kohdentamat-tomat 9]]</f>
        <v>0</v>
      </c>
      <c r="DK46" s="207">
        <f>Opv.kohd.[[#This Row],[Työvoima-koulutus 12]]-Opv.kohd.[[#This Row],[Työvoima-koulutus 9]]</f>
        <v>0</v>
      </c>
      <c r="DL46" s="207">
        <f>Opv.kohd.[[#This Row],[Maahan-muuttajien koulutus 12]]-Opv.kohd.[[#This Row],[Maahan-muuttajien koulutus 9]]</f>
        <v>0</v>
      </c>
      <c r="DM46" s="207">
        <f>Opv.kohd.[[#This Row],[Nuorisotyöt. väh. ja osaamistarp. vast., muu kuin työvoima-koulutus 12]]-Opv.kohd.[[#This Row],[Nuorisotyöt. väh. ja osaamistarp. vast., muu kuin työvoima-koulutus 9]]</f>
        <v>0</v>
      </c>
      <c r="DN46" s="207">
        <f>Opv.kohd.[[#This Row],[Nuorisotyöt. väh. ja osaamistarp. vast., työvoima-koulutus 12]]-Opv.kohd.[[#This Row],[Nuorisotyöt. väh. ja osaamistarp. vast., työvoima-koulutus 9]]</f>
        <v>0</v>
      </c>
      <c r="DO46" s="207">
        <f>Opv.kohd.[[#This Row],[Yhteensä 12]]-Opv.kohd.[[#This Row],[Yhteensä 9]]</f>
        <v>0</v>
      </c>
      <c r="DP46" s="207">
        <f>Opv.kohd.[[#This Row],[Tavoitteelliset opiskelijavuodet yhteensä 12]]-Opv.kohd.[[#This Row],[Tavoitteelliset opiskelijavuodet yhteensä 9]]</f>
        <v>0</v>
      </c>
      <c r="DQ46" s="209">
        <f>IFERROR(Opv.kohd.[[#This Row],[Järjestämisluvan mukaiset 15]]/Opv.kohd.[[#This Row],[Järjestämisluvan mukaiset 9]],0)</f>
        <v>0</v>
      </c>
      <c r="DR46" s="209">
        <f t="shared" si="10"/>
        <v>0</v>
      </c>
      <c r="DS46" s="209">
        <f t="shared" si="11"/>
        <v>0</v>
      </c>
      <c r="DT46" s="209">
        <f t="shared" si="12"/>
        <v>0</v>
      </c>
      <c r="DU46" s="209">
        <f t="shared" si="13"/>
        <v>0</v>
      </c>
      <c r="DV46" s="209">
        <f t="shared" si="14"/>
        <v>0</v>
      </c>
      <c r="DW46" s="209">
        <f t="shared" si="15"/>
        <v>0</v>
      </c>
      <c r="DX46" s="209">
        <f t="shared" si="16"/>
        <v>0</v>
      </c>
    </row>
    <row r="47" spans="1:128" x14ac:dyDescent="0.25">
      <c r="A47" s="204" t="e">
        <f>IF(INDEX(#REF!,ROW(47:47)-1,1)=0,"",INDEX(#REF!,ROW(47:47)-1,1))</f>
        <v>#REF!</v>
      </c>
      <c r="B47" s="205" t="str">
        <f>IFERROR(VLOOKUP(Opv.kohd.[[#This Row],[Y-tunnus]],'0 Järjestäjätiedot'!$A:$H,2,FALSE),"")</f>
        <v/>
      </c>
      <c r="C47" s="204" t="str">
        <f>IFERROR(VLOOKUP(Opv.kohd.[[#This Row],[Y-tunnus]],'0 Järjestäjätiedot'!$A:$H,COLUMN('0 Järjestäjätiedot'!D:D),FALSE),"")</f>
        <v/>
      </c>
      <c r="D47" s="204" t="str">
        <f>IFERROR(VLOOKUP(Opv.kohd.[[#This Row],[Y-tunnus]],'0 Järjestäjätiedot'!$A:$H,COLUMN('0 Järjestäjätiedot'!H:H),FALSE),"")</f>
        <v/>
      </c>
      <c r="E47" s="204">
        <f>IFERROR(VLOOKUP(Opv.kohd.[[#This Row],[Y-tunnus]],#REF!,COLUMN(#REF!),FALSE),0)</f>
        <v>0</v>
      </c>
      <c r="F47" s="204">
        <f>IFERROR(VLOOKUP(Opv.kohd.[[#This Row],[Y-tunnus]],#REF!,COLUMN(#REF!),FALSE),0)</f>
        <v>0</v>
      </c>
      <c r="G47" s="204">
        <f>IFERROR(VLOOKUP(Opv.kohd.[[#This Row],[Y-tunnus]],#REF!,COLUMN(#REF!),FALSE),0)</f>
        <v>0</v>
      </c>
      <c r="H47" s="204">
        <f>IFERROR(VLOOKUP(Opv.kohd.[[#This Row],[Y-tunnus]],#REF!,COLUMN(#REF!),FALSE),0)</f>
        <v>0</v>
      </c>
      <c r="I47" s="204">
        <f>IFERROR(VLOOKUP(Opv.kohd.[[#This Row],[Y-tunnus]],#REF!,COLUMN(#REF!),FALSE),0)</f>
        <v>0</v>
      </c>
      <c r="J47" s="204">
        <f>IFERROR(VLOOKUP(Opv.kohd.[[#This Row],[Y-tunnus]],#REF!,COLUMN(#REF!),FALSE),0)</f>
        <v>0</v>
      </c>
      <c r="K4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47" s="204">
        <f>Opv.kohd.[[#This Row],[Järjestämisluvan mukaiset 1]]+Opv.kohd.[[#This Row],[Yhteensä  1]]</f>
        <v>0</v>
      </c>
      <c r="M47" s="204">
        <f>IFERROR(VLOOKUP(Opv.kohd.[[#This Row],[Y-tunnus]],#REF!,COLUMN(#REF!),FALSE),0)</f>
        <v>0</v>
      </c>
      <c r="N47" s="204">
        <f>IFERROR(VLOOKUP(Opv.kohd.[[#This Row],[Y-tunnus]],#REF!,COLUMN(#REF!),FALSE),0)</f>
        <v>0</v>
      </c>
      <c r="O47" s="204">
        <f>IFERROR(VLOOKUP(Opv.kohd.[[#This Row],[Y-tunnus]],#REF!,COLUMN(#REF!),FALSE)+VLOOKUP(Opv.kohd.[[#This Row],[Y-tunnus]],#REF!,COLUMN(#REF!),FALSE),0)</f>
        <v>0</v>
      </c>
      <c r="P47" s="204">
        <f>Opv.kohd.[[#This Row],[Talousarvion perusteella kohdentamattomat]]+Opv.kohd.[[#This Row],[Talousarvion perusteella työvoimakoulutus 1]]+Opv.kohd.[[#This Row],[Lisätalousarvioiden perusteella]]</f>
        <v>0</v>
      </c>
      <c r="Q47" s="204">
        <f>IFERROR(VLOOKUP(Opv.kohd.[[#This Row],[Y-tunnus]],#REF!,COLUMN(#REF!),FALSE),0)</f>
        <v>0</v>
      </c>
      <c r="R47" s="210">
        <f>IFERROR(VLOOKUP(Opv.kohd.[[#This Row],[Y-tunnus]],#REF!,COLUMN(#REF!),FALSE)-(Opv.kohd.[[#This Row],[Kohdentamaton työvoima-koulutus 2]]+Opv.kohd.[[#This Row],[Maahan-muuttajien koulutus 2]]+Opv.kohd.[[#This Row],[Lisätalousarvioiden perusteella jaetut 2]]),0)</f>
        <v>0</v>
      </c>
      <c r="S47" s="210">
        <f>IFERROR(VLOOKUP(Opv.kohd.[[#This Row],[Y-tunnus]],#REF!,COLUMN(#REF!),FALSE)+VLOOKUP(Opv.kohd.[[#This Row],[Y-tunnus]],#REF!,COLUMN(#REF!),FALSE),0)</f>
        <v>0</v>
      </c>
      <c r="T47" s="210">
        <f>IFERROR(VLOOKUP(Opv.kohd.[[#This Row],[Y-tunnus]],#REF!,COLUMN(#REF!),FALSE)+VLOOKUP(Opv.kohd.[[#This Row],[Y-tunnus]],#REF!,COLUMN(#REF!),FALSE),0)</f>
        <v>0</v>
      </c>
      <c r="U4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47" s="210">
        <f>Opv.kohd.[[#This Row],[Kohdentamat-tomat 2]]+Opv.kohd.[[#This Row],[Kohdentamaton työvoima-koulutus 2]]+Opv.kohd.[[#This Row],[Maahan-muuttajien koulutus 2]]+Opv.kohd.[[#This Row],[Lisätalousarvioiden perusteella jaetut 2]]</f>
        <v>0</v>
      </c>
      <c r="W47" s="210">
        <f>Opv.kohd.[[#This Row],[Kohdentamat-tomat 2]]-(Opv.kohd.[[#This Row],[Järjestämisluvan mukaiset 1]]+Opv.kohd.[[#This Row],[Kohdentamat-tomat 1]]+Opv.kohd.[[#This Row],[Nuorisotyöt. väh. ja osaamistarp. vast., muu kuin työvoima-koulutus 1]]+Opv.kohd.[[#This Row],[Talousarvion perusteella kohdentamattomat]])</f>
        <v>0</v>
      </c>
      <c r="X47" s="210">
        <f>Opv.kohd.[[#This Row],[Kohdentamaton työvoima-koulutus 2]]-(Opv.kohd.[[#This Row],[Työvoima-koulutus 1]]+Opv.kohd.[[#This Row],[Nuorisotyöt. väh. ja osaamistarp. vast., työvoima-koulutus 1]]+Opv.kohd.[[#This Row],[Talousarvion perusteella työvoimakoulutus 1]])</f>
        <v>0</v>
      </c>
      <c r="Y47" s="210">
        <f>Opv.kohd.[[#This Row],[Maahan-muuttajien koulutus 2]]-Opv.kohd.[[#This Row],[Maahan-muuttajien koulutus 1]]</f>
        <v>0</v>
      </c>
      <c r="Z47" s="210">
        <f>Opv.kohd.[[#This Row],[Lisätalousarvioiden perusteella jaetut 2]]-Opv.kohd.[[#This Row],[Lisätalousarvioiden perusteella]]</f>
        <v>0</v>
      </c>
      <c r="AA47" s="210">
        <f>Opv.kohd.[[#This Row],[Toteutuneet opiskelijavuodet yhteensä 2]]-Opv.kohd.[[#This Row],[Vuoden 2018 tavoitteelliset opiskelijavuodet yhteensä 1]]</f>
        <v>0</v>
      </c>
      <c r="AB47" s="207">
        <f>IFERROR(VLOOKUP(Opv.kohd.[[#This Row],[Y-tunnus]],#REF!,3,FALSE),0)</f>
        <v>0</v>
      </c>
      <c r="AC47" s="207">
        <f>IFERROR(VLOOKUP(Opv.kohd.[[#This Row],[Y-tunnus]],#REF!,4,FALSE),0)</f>
        <v>0</v>
      </c>
      <c r="AD47" s="207">
        <f>IFERROR(VLOOKUP(Opv.kohd.[[#This Row],[Y-tunnus]],#REF!,5,FALSE),0)</f>
        <v>0</v>
      </c>
      <c r="AE47" s="207">
        <f>IFERROR(VLOOKUP(Opv.kohd.[[#This Row],[Y-tunnus]],#REF!,6,FALSE),0)</f>
        <v>0</v>
      </c>
      <c r="AF47" s="207">
        <f>IFERROR(VLOOKUP(Opv.kohd.[[#This Row],[Y-tunnus]],#REF!,7,FALSE),0)</f>
        <v>0</v>
      </c>
      <c r="AG47" s="207">
        <f>IFERROR(VLOOKUP(Opv.kohd.[[#This Row],[Y-tunnus]],#REF!,8,FALSE),0)</f>
        <v>0</v>
      </c>
      <c r="AH47" s="207">
        <f>IFERROR(VLOOKUP(Opv.kohd.[[#This Row],[Y-tunnus]],#REF!,9,FALSE),0)</f>
        <v>0</v>
      </c>
      <c r="AI47" s="207">
        <f>IFERROR(VLOOKUP(Opv.kohd.[[#This Row],[Y-tunnus]],#REF!,10,FALSE),0)</f>
        <v>0</v>
      </c>
      <c r="AJ47" s="204">
        <f>Opv.kohd.[[#This Row],[Järjestämisluvan mukaiset 4]]-Opv.kohd.[[#This Row],[Järjestämisluvan mukaiset 1]]</f>
        <v>0</v>
      </c>
      <c r="AK47" s="204">
        <f>Opv.kohd.[[#This Row],[Kohdentamat-tomat 4]]-Opv.kohd.[[#This Row],[Kohdentamat-tomat 1]]</f>
        <v>0</v>
      </c>
      <c r="AL47" s="204">
        <f>Opv.kohd.[[#This Row],[Työvoima-koulutus 4]]-Opv.kohd.[[#This Row],[Työvoima-koulutus 1]]</f>
        <v>0</v>
      </c>
      <c r="AM47" s="204">
        <f>Opv.kohd.[[#This Row],[Maahan-muuttajien koulutus 4]]-Opv.kohd.[[#This Row],[Maahan-muuttajien koulutus 1]]</f>
        <v>0</v>
      </c>
      <c r="AN47" s="204">
        <f>Opv.kohd.[[#This Row],[Nuorisotyöt. väh. ja osaamistarp. vast., muu kuin työvoima-koulutus 4]]-Opv.kohd.[[#This Row],[Nuorisotyöt. väh. ja osaamistarp. vast., muu kuin työvoima-koulutus 1]]</f>
        <v>0</v>
      </c>
      <c r="AO47" s="204">
        <f>Opv.kohd.[[#This Row],[Nuorisotyöt. väh. ja osaamistarp. vast., työvoima-koulutus 4]]-Opv.kohd.[[#This Row],[Nuorisotyöt. väh. ja osaamistarp. vast., työvoima-koulutus 1]]</f>
        <v>0</v>
      </c>
      <c r="AP47" s="204">
        <f>Opv.kohd.[[#This Row],[Yhteensä 4]]-Opv.kohd.[[#This Row],[Yhteensä  1]]</f>
        <v>0</v>
      </c>
      <c r="AQ47" s="204">
        <f>Opv.kohd.[[#This Row],[Ensikertaisella suoritepäätöksellä jaetut tavoitteelliset opiskelijavuodet yhteensä 4]]-Opv.kohd.[[#This Row],[Ensikertaisella suoritepäätöksellä jaetut tavoitteelliset opiskelijavuodet yhteensä 1]]</f>
        <v>0</v>
      </c>
      <c r="AR47" s="208">
        <f>IFERROR(Opv.kohd.[[#This Row],[Järjestämisluvan mukaiset 5]]/Opv.kohd.[[#This Row],[Järjestämisluvan mukaiset 4]],0)</f>
        <v>0</v>
      </c>
      <c r="AS47" s="208">
        <f>IFERROR(Opv.kohd.[[#This Row],[Kohdentamat-tomat 5]]/Opv.kohd.[[#This Row],[Kohdentamat-tomat 4]],0)</f>
        <v>0</v>
      </c>
      <c r="AT47" s="208">
        <f>IFERROR(Opv.kohd.[[#This Row],[Työvoima-koulutus 5]]/Opv.kohd.[[#This Row],[Työvoima-koulutus 4]],0)</f>
        <v>0</v>
      </c>
      <c r="AU47" s="208">
        <f>IFERROR(Opv.kohd.[[#This Row],[Maahan-muuttajien koulutus 5]]/Opv.kohd.[[#This Row],[Maahan-muuttajien koulutus 4]],0)</f>
        <v>0</v>
      </c>
      <c r="AV47" s="208">
        <f>IFERROR(Opv.kohd.[[#This Row],[Nuorisotyöt. väh. ja osaamistarp. vast., muu kuin työvoima-koulutus 5]]/Opv.kohd.[[#This Row],[Nuorisotyöt. väh. ja osaamistarp. vast., muu kuin työvoima-koulutus 4]],0)</f>
        <v>0</v>
      </c>
      <c r="AW47" s="208">
        <f>IFERROR(Opv.kohd.[[#This Row],[Nuorisotyöt. väh. ja osaamistarp. vast., työvoima-koulutus 5]]/Opv.kohd.[[#This Row],[Nuorisotyöt. väh. ja osaamistarp. vast., työvoima-koulutus 4]],0)</f>
        <v>0</v>
      </c>
      <c r="AX47" s="208">
        <f>IFERROR(Opv.kohd.[[#This Row],[Yhteensä 5]]/Opv.kohd.[[#This Row],[Yhteensä 4]],0)</f>
        <v>0</v>
      </c>
      <c r="AY47" s="208">
        <f>IFERROR(Opv.kohd.[[#This Row],[Ensikertaisella suoritepäätöksellä jaetut tavoitteelliset opiskelijavuodet yhteensä 5]]/Opv.kohd.[[#This Row],[Ensikertaisella suoritepäätöksellä jaetut tavoitteelliset opiskelijavuodet yhteensä 4]],0)</f>
        <v>0</v>
      </c>
      <c r="AZ47" s="207">
        <f>Opv.kohd.[[#This Row],[Yhteensä 7a]]-Opv.kohd.[[#This Row],[Työvoima-koulutus 7a]]</f>
        <v>0</v>
      </c>
      <c r="BA47" s="207">
        <f>IFERROR(VLOOKUP(Opv.kohd.[[#This Row],[Y-tunnus]],#REF!,COLUMN(#REF!),FALSE),0)</f>
        <v>0</v>
      </c>
      <c r="BB47" s="207">
        <f>IFERROR(VLOOKUP(Opv.kohd.[[#This Row],[Y-tunnus]],#REF!,COLUMN(#REF!),FALSE),0)</f>
        <v>0</v>
      </c>
      <c r="BC47" s="207">
        <f>Opv.kohd.[[#This Row],[Muu kuin työvoima-koulutus 7c]]-Opv.kohd.[[#This Row],[Muu kuin työvoima-koulutus 7a]]</f>
        <v>0</v>
      </c>
      <c r="BD47" s="207">
        <f>Opv.kohd.[[#This Row],[Työvoima-koulutus 7c]]-Opv.kohd.[[#This Row],[Työvoima-koulutus 7a]]</f>
        <v>0</v>
      </c>
      <c r="BE47" s="207">
        <f>Opv.kohd.[[#This Row],[Yhteensä 7c]]-Opv.kohd.[[#This Row],[Yhteensä 7a]]</f>
        <v>0</v>
      </c>
      <c r="BF47" s="207">
        <f>Opv.kohd.[[#This Row],[Yhteensä 7c]]-Opv.kohd.[[#This Row],[Työvoima-koulutus 7c]]</f>
        <v>0</v>
      </c>
      <c r="BG47" s="207">
        <f>IFERROR(VLOOKUP(Opv.kohd.[[#This Row],[Y-tunnus]],#REF!,COLUMN(#REF!),FALSE),0)</f>
        <v>0</v>
      </c>
      <c r="BH47" s="207">
        <f>IFERROR(VLOOKUP(Opv.kohd.[[#This Row],[Y-tunnus]],#REF!,COLUMN(#REF!),FALSE),0)</f>
        <v>0</v>
      </c>
      <c r="BI47" s="207">
        <f>IFERROR(VLOOKUP(Opv.kohd.[[#This Row],[Y-tunnus]],#REF!,COLUMN(#REF!),FALSE),0)</f>
        <v>0</v>
      </c>
      <c r="BJ47" s="207">
        <f>IFERROR(VLOOKUP(Opv.kohd.[[#This Row],[Y-tunnus]],#REF!,COLUMN(#REF!),FALSE),0)</f>
        <v>0</v>
      </c>
      <c r="BK47" s="207">
        <f>Opv.kohd.[[#This Row],[Muu kuin työvoima-koulutus 7d]]+Opv.kohd.[[#This Row],[Työvoima-koulutus 7d]]</f>
        <v>0</v>
      </c>
      <c r="BL47" s="207">
        <f>Opv.kohd.[[#This Row],[Muu kuin työvoima-koulutus 7c]]-Opv.kohd.[[#This Row],[Muu kuin työvoima-koulutus 7d]]</f>
        <v>0</v>
      </c>
      <c r="BM47" s="207">
        <f>Opv.kohd.[[#This Row],[Työvoima-koulutus 7c]]-Opv.kohd.[[#This Row],[Työvoima-koulutus 7d]]</f>
        <v>0</v>
      </c>
      <c r="BN47" s="207">
        <f>Opv.kohd.[[#This Row],[Yhteensä 7c]]-Opv.kohd.[[#This Row],[Yhteensä 7d]]</f>
        <v>0</v>
      </c>
      <c r="BO47" s="207">
        <f>Opv.kohd.[[#This Row],[Muu kuin työvoima-koulutus 7e]]-(Opv.kohd.[[#This Row],[Järjestämisluvan mukaiset 4]]+Opv.kohd.[[#This Row],[Kohdentamat-tomat 4]]+Opv.kohd.[[#This Row],[Maahan-muuttajien koulutus 4]]+Opv.kohd.[[#This Row],[Nuorisotyöt. väh. ja osaamistarp. vast., muu kuin työvoima-koulutus 4]])</f>
        <v>0</v>
      </c>
      <c r="BP47" s="207">
        <f>Opv.kohd.[[#This Row],[Työvoima-koulutus 7e]]-(Opv.kohd.[[#This Row],[Työvoima-koulutus 4]]+Opv.kohd.[[#This Row],[Nuorisotyöt. väh. ja osaamistarp. vast., työvoima-koulutus 4]])</f>
        <v>0</v>
      </c>
      <c r="BQ47" s="207">
        <f>Opv.kohd.[[#This Row],[Yhteensä 7e]]-Opv.kohd.[[#This Row],[Ensikertaisella suoritepäätöksellä jaetut tavoitteelliset opiskelijavuodet yhteensä 4]]</f>
        <v>0</v>
      </c>
      <c r="BR47" s="263">
        <v>2561</v>
      </c>
      <c r="BS47" s="263">
        <v>92</v>
      </c>
      <c r="BT47" s="263">
        <v>113</v>
      </c>
      <c r="BU47" s="263">
        <v>11</v>
      </c>
      <c r="BV47" s="263">
        <v>0</v>
      </c>
      <c r="BW47" s="263">
        <v>0</v>
      </c>
      <c r="BX47" s="263">
        <v>216</v>
      </c>
      <c r="BY47" s="263">
        <v>2777</v>
      </c>
      <c r="BZ47" s="207">
        <f t="shared" si="2"/>
        <v>2561</v>
      </c>
      <c r="CA47" s="207">
        <f t="shared" si="3"/>
        <v>92</v>
      </c>
      <c r="CB47" s="207">
        <f t="shared" si="4"/>
        <v>113</v>
      </c>
      <c r="CC47" s="207">
        <f t="shared" si="5"/>
        <v>11</v>
      </c>
      <c r="CD47" s="207">
        <f t="shared" si="6"/>
        <v>0</v>
      </c>
      <c r="CE47" s="207">
        <f t="shared" si="7"/>
        <v>0</v>
      </c>
      <c r="CF47" s="207">
        <f t="shared" si="8"/>
        <v>216</v>
      </c>
      <c r="CG47" s="207">
        <f t="shared" si="9"/>
        <v>2777</v>
      </c>
      <c r="CH47" s="207">
        <f>Opv.kohd.[[#This Row],[Tavoitteelliset opiskelijavuodet yhteensä 9]]-Opv.kohd.[[#This Row],[Työvoima-koulutus 9]]-Opv.kohd.[[#This Row],[Nuorisotyöt. väh. ja osaamistarp. vast., työvoima-koulutus 9]]-Opv.kohd.[[#This Row],[Muu kuin työvoima-koulutus 7e]]</f>
        <v>2664</v>
      </c>
      <c r="CI47" s="207">
        <f>(Opv.kohd.[[#This Row],[Työvoima-koulutus 9]]+Opv.kohd.[[#This Row],[Nuorisotyöt. väh. ja osaamistarp. vast., työvoima-koulutus 9]])-Opv.kohd.[[#This Row],[Työvoima-koulutus 7e]]</f>
        <v>113</v>
      </c>
      <c r="CJ47" s="207">
        <f>Opv.kohd.[[#This Row],[Tavoitteelliset opiskelijavuodet yhteensä 9]]-Opv.kohd.[[#This Row],[Yhteensä 7e]]</f>
        <v>2777</v>
      </c>
      <c r="CK47" s="207">
        <f>Opv.kohd.[[#This Row],[Järjestämisluvan mukaiset 4]]+Opv.kohd.[[#This Row],[Järjestämisluvan mukaiset 13]]</f>
        <v>0</v>
      </c>
      <c r="CL47" s="207">
        <f>Opv.kohd.[[#This Row],[Kohdentamat-tomat 4]]+Opv.kohd.[[#This Row],[Kohdentamat-tomat 13]]</f>
        <v>0</v>
      </c>
      <c r="CM47" s="207">
        <f>Opv.kohd.[[#This Row],[Työvoima-koulutus 4]]+Opv.kohd.[[#This Row],[Työvoima-koulutus 13]]</f>
        <v>0</v>
      </c>
      <c r="CN47" s="207">
        <f>Opv.kohd.[[#This Row],[Maahan-muuttajien koulutus 4]]+Opv.kohd.[[#This Row],[Maahan-muuttajien koulutus 13]]</f>
        <v>0</v>
      </c>
      <c r="CO47" s="207">
        <f>Opv.kohd.[[#This Row],[Nuorisotyöt. väh. ja osaamistarp. vast., muu kuin työvoima-koulutus 4]]+Opv.kohd.[[#This Row],[Nuorisotyöt. väh. ja osaamistarp. vast., muu kuin työvoima-koulutus 13]]</f>
        <v>0</v>
      </c>
      <c r="CP47" s="207">
        <f>Opv.kohd.[[#This Row],[Nuorisotyöt. väh. ja osaamistarp. vast., työvoima-koulutus 4]]+Opv.kohd.[[#This Row],[Nuorisotyöt. väh. ja osaamistarp. vast., työvoima-koulutus 13]]</f>
        <v>0</v>
      </c>
      <c r="CQ47" s="207">
        <f>Opv.kohd.[[#This Row],[Yhteensä 4]]+Opv.kohd.[[#This Row],[Yhteensä 13]]</f>
        <v>0</v>
      </c>
      <c r="CR47" s="207">
        <f>Opv.kohd.[[#This Row],[Ensikertaisella suoritepäätöksellä jaetut tavoitteelliset opiskelijavuodet yhteensä 4]]+Opv.kohd.[[#This Row],[Tavoitteelliset opiskelijavuodet yhteensä 13]]</f>
        <v>0</v>
      </c>
      <c r="CS47" s="120">
        <v>0</v>
      </c>
      <c r="CT47" s="120">
        <v>0</v>
      </c>
      <c r="CU47" s="120">
        <v>0</v>
      </c>
      <c r="CV47" s="120">
        <v>0</v>
      </c>
      <c r="CW47" s="120">
        <v>0</v>
      </c>
      <c r="CX47" s="120">
        <v>0</v>
      </c>
      <c r="CY47" s="120">
        <v>0</v>
      </c>
      <c r="CZ47" s="120">
        <v>0</v>
      </c>
      <c r="DA47" s="209">
        <f>IFERROR(Opv.kohd.[[#This Row],[Järjestämisluvan mukaiset 13]]/Opv.kohd.[[#This Row],[Järjestämisluvan mukaiset 12]],0)</f>
        <v>0</v>
      </c>
      <c r="DB47" s="209">
        <f>IFERROR(Opv.kohd.[[#This Row],[Kohdentamat-tomat 13]]/Opv.kohd.[[#This Row],[Kohdentamat-tomat 12]],0)</f>
        <v>0</v>
      </c>
      <c r="DC47" s="209">
        <f>IFERROR(Opv.kohd.[[#This Row],[Työvoima-koulutus 13]]/Opv.kohd.[[#This Row],[Työvoima-koulutus 12]],0)</f>
        <v>0</v>
      </c>
      <c r="DD47" s="209">
        <f>IFERROR(Opv.kohd.[[#This Row],[Maahan-muuttajien koulutus 13]]/Opv.kohd.[[#This Row],[Maahan-muuttajien koulutus 12]],0)</f>
        <v>0</v>
      </c>
      <c r="DE47" s="209">
        <f>IFERROR(Opv.kohd.[[#This Row],[Nuorisotyöt. väh. ja osaamistarp. vast., muu kuin työvoima-koulutus 13]]/Opv.kohd.[[#This Row],[Nuorisotyöt. väh. ja osaamistarp. vast., muu kuin työvoima-koulutus 12]],0)</f>
        <v>0</v>
      </c>
      <c r="DF47" s="209">
        <f>IFERROR(Opv.kohd.[[#This Row],[Nuorisotyöt. väh. ja osaamistarp. vast., työvoima-koulutus 13]]/Opv.kohd.[[#This Row],[Nuorisotyöt. väh. ja osaamistarp. vast., työvoima-koulutus 12]],0)</f>
        <v>0</v>
      </c>
      <c r="DG47" s="209">
        <f>IFERROR(Opv.kohd.[[#This Row],[Yhteensä 13]]/Opv.kohd.[[#This Row],[Yhteensä 12]],0)</f>
        <v>0</v>
      </c>
      <c r="DH47" s="209">
        <f>IFERROR(Opv.kohd.[[#This Row],[Tavoitteelliset opiskelijavuodet yhteensä 13]]/Opv.kohd.[[#This Row],[Tavoitteelliset opiskelijavuodet yhteensä 12]],0)</f>
        <v>0</v>
      </c>
      <c r="DI47" s="207">
        <f>Opv.kohd.[[#This Row],[Järjestämisluvan mukaiset 12]]-Opv.kohd.[[#This Row],[Järjestämisluvan mukaiset 9]]</f>
        <v>-2561</v>
      </c>
      <c r="DJ47" s="207">
        <f>Opv.kohd.[[#This Row],[Kohdentamat-tomat 12]]-Opv.kohd.[[#This Row],[Kohdentamat-tomat 9]]</f>
        <v>-92</v>
      </c>
      <c r="DK47" s="207">
        <f>Opv.kohd.[[#This Row],[Työvoima-koulutus 12]]-Opv.kohd.[[#This Row],[Työvoima-koulutus 9]]</f>
        <v>-113</v>
      </c>
      <c r="DL47" s="207">
        <f>Opv.kohd.[[#This Row],[Maahan-muuttajien koulutus 12]]-Opv.kohd.[[#This Row],[Maahan-muuttajien koulutus 9]]</f>
        <v>-11</v>
      </c>
      <c r="DM47" s="207">
        <f>Opv.kohd.[[#This Row],[Nuorisotyöt. väh. ja osaamistarp. vast., muu kuin työvoima-koulutus 12]]-Opv.kohd.[[#This Row],[Nuorisotyöt. väh. ja osaamistarp. vast., muu kuin työvoima-koulutus 9]]</f>
        <v>0</v>
      </c>
      <c r="DN47" s="207">
        <f>Opv.kohd.[[#This Row],[Nuorisotyöt. väh. ja osaamistarp. vast., työvoima-koulutus 12]]-Opv.kohd.[[#This Row],[Nuorisotyöt. väh. ja osaamistarp. vast., työvoima-koulutus 9]]</f>
        <v>0</v>
      </c>
      <c r="DO47" s="207">
        <f>Opv.kohd.[[#This Row],[Yhteensä 12]]-Opv.kohd.[[#This Row],[Yhteensä 9]]</f>
        <v>-216</v>
      </c>
      <c r="DP47" s="207">
        <f>Opv.kohd.[[#This Row],[Tavoitteelliset opiskelijavuodet yhteensä 12]]-Opv.kohd.[[#This Row],[Tavoitteelliset opiskelijavuodet yhteensä 9]]</f>
        <v>-2777</v>
      </c>
      <c r="DQ47" s="209">
        <f>IFERROR(Opv.kohd.[[#This Row],[Järjestämisluvan mukaiset 15]]/Opv.kohd.[[#This Row],[Järjestämisluvan mukaiset 9]],0)</f>
        <v>-1</v>
      </c>
      <c r="DR47" s="209">
        <f t="shared" si="10"/>
        <v>0</v>
      </c>
      <c r="DS47" s="209">
        <f t="shared" si="11"/>
        <v>0</v>
      </c>
      <c r="DT47" s="209">
        <f t="shared" si="12"/>
        <v>0</v>
      </c>
      <c r="DU47" s="209">
        <f t="shared" si="13"/>
        <v>0</v>
      </c>
      <c r="DV47" s="209">
        <f t="shared" si="14"/>
        <v>0</v>
      </c>
      <c r="DW47" s="209">
        <f t="shared" si="15"/>
        <v>0</v>
      </c>
      <c r="DX47" s="209">
        <f t="shared" si="16"/>
        <v>0</v>
      </c>
    </row>
    <row r="48" spans="1:128" x14ac:dyDescent="0.25">
      <c r="A48" s="204" t="e">
        <f>IF(INDEX(#REF!,ROW(48:48)-1,1)=0,"",INDEX(#REF!,ROW(48:48)-1,1))</f>
        <v>#REF!</v>
      </c>
      <c r="B48" s="205" t="str">
        <f>IFERROR(VLOOKUP(Opv.kohd.[[#This Row],[Y-tunnus]],'0 Järjestäjätiedot'!$A:$H,2,FALSE),"")</f>
        <v/>
      </c>
      <c r="C48" s="204" t="str">
        <f>IFERROR(VLOOKUP(Opv.kohd.[[#This Row],[Y-tunnus]],'0 Järjestäjätiedot'!$A:$H,COLUMN('0 Järjestäjätiedot'!D:D),FALSE),"")</f>
        <v/>
      </c>
      <c r="D48" s="204" t="str">
        <f>IFERROR(VLOOKUP(Opv.kohd.[[#This Row],[Y-tunnus]],'0 Järjestäjätiedot'!$A:$H,COLUMN('0 Järjestäjätiedot'!H:H),FALSE),"")</f>
        <v/>
      </c>
      <c r="E48" s="204">
        <f>IFERROR(VLOOKUP(Opv.kohd.[[#This Row],[Y-tunnus]],#REF!,COLUMN(#REF!),FALSE),0)</f>
        <v>0</v>
      </c>
      <c r="F48" s="204">
        <f>IFERROR(VLOOKUP(Opv.kohd.[[#This Row],[Y-tunnus]],#REF!,COLUMN(#REF!),FALSE),0)</f>
        <v>0</v>
      </c>
      <c r="G48" s="204">
        <f>IFERROR(VLOOKUP(Opv.kohd.[[#This Row],[Y-tunnus]],#REF!,COLUMN(#REF!),FALSE),0)</f>
        <v>0</v>
      </c>
      <c r="H48" s="204">
        <f>IFERROR(VLOOKUP(Opv.kohd.[[#This Row],[Y-tunnus]],#REF!,COLUMN(#REF!),FALSE),0)</f>
        <v>0</v>
      </c>
      <c r="I48" s="204">
        <f>IFERROR(VLOOKUP(Opv.kohd.[[#This Row],[Y-tunnus]],#REF!,COLUMN(#REF!),FALSE),0)</f>
        <v>0</v>
      </c>
      <c r="J48" s="204">
        <f>IFERROR(VLOOKUP(Opv.kohd.[[#This Row],[Y-tunnus]],#REF!,COLUMN(#REF!),FALSE),0)</f>
        <v>0</v>
      </c>
      <c r="K4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48" s="204">
        <f>Opv.kohd.[[#This Row],[Järjestämisluvan mukaiset 1]]+Opv.kohd.[[#This Row],[Yhteensä  1]]</f>
        <v>0</v>
      </c>
      <c r="M48" s="204">
        <f>IFERROR(VLOOKUP(Opv.kohd.[[#This Row],[Y-tunnus]],#REF!,COLUMN(#REF!),FALSE),0)</f>
        <v>0</v>
      </c>
      <c r="N48" s="204">
        <f>IFERROR(VLOOKUP(Opv.kohd.[[#This Row],[Y-tunnus]],#REF!,COLUMN(#REF!),FALSE),0)</f>
        <v>0</v>
      </c>
      <c r="O48" s="204">
        <f>IFERROR(VLOOKUP(Opv.kohd.[[#This Row],[Y-tunnus]],#REF!,COLUMN(#REF!),FALSE)+VLOOKUP(Opv.kohd.[[#This Row],[Y-tunnus]],#REF!,COLUMN(#REF!),FALSE),0)</f>
        <v>0</v>
      </c>
      <c r="P48" s="204">
        <f>Opv.kohd.[[#This Row],[Talousarvion perusteella kohdentamattomat]]+Opv.kohd.[[#This Row],[Talousarvion perusteella työvoimakoulutus 1]]+Opv.kohd.[[#This Row],[Lisätalousarvioiden perusteella]]</f>
        <v>0</v>
      </c>
      <c r="Q48" s="204">
        <f>IFERROR(VLOOKUP(Opv.kohd.[[#This Row],[Y-tunnus]],#REF!,COLUMN(#REF!),FALSE),0)</f>
        <v>0</v>
      </c>
      <c r="R48" s="210">
        <f>IFERROR(VLOOKUP(Opv.kohd.[[#This Row],[Y-tunnus]],#REF!,COLUMN(#REF!),FALSE)-(Opv.kohd.[[#This Row],[Kohdentamaton työvoima-koulutus 2]]+Opv.kohd.[[#This Row],[Maahan-muuttajien koulutus 2]]+Opv.kohd.[[#This Row],[Lisätalousarvioiden perusteella jaetut 2]]),0)</f>
        <v>0</v>
      </c>
      <c r="S48" s="210">
        <f>IFERROR(VLOOKUP(Opv.kohd.[[#This Row],[Y-tunnus]],#REF!,COLUMN(#REF!),FALSE)+VLOOKUP(Opv.kohd.[[#This Row],[Y-tunnus]],#REF!,COLUMN(#REF!),FALSE),0)</f>
        <v>0</v>
      </c>
      <c r="T48" s="210">
        <f>IFERROR(VLOOKUP(Opv.kohd.[[#This Row],[Y-tunnus]],#REF!,COLUMN(#REF!),FALSE)+VLOOKUP(Opv.kohd.[[#This Row],[Y-tunnus]],#REF!,COLUMN(#REF!),FALSE),0)</f>
        <v>0</v>
      </c>
      <c r="U4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48" s="210">
        <f>Opv.kohd.[[#This Row],[Kohdentamat-tomat 2]]+Opv.kohd.[[#This Row],[Kohdentamaton työvoima-koulutus 2]]+Opv.kohd.[[#This Row],[Maahan-muuttajien koulutus 2]]+Opv.kohd.[[#This Row],[Lisätalousarvioiden perusteella jaetut 2]]</f>
        <v>0</v>
      </c>
      <c r="W48" s="210">
        <f>Opv.kohd.[[#This Row],[Kohdentamat-tomat 2]]-(Opv.kohd.[[#This Row],[Järjestämisluvan mukaiset 1]]+Opv.kohd.[[#This Row],[Kohdentamat-tomat 1]]+Opv.kohd.[[#This Row],[Nuorisotyöt. väh. ja osaamistarp. vast., muu kuin työvoima-koulutus 1]]+Opv.kohd.[[#This Row],[Talousarvion perusteella kohdentamattomat]])</f>
        <v>0</v>
      </c>
      <c r="X48" s="210">
        <f>Opv.kohd.[[#This Row],[Kohdentamaton työvoima-koulutus 2]]-(Opv.kohd.[[#This Row],[Työvoima-koulutus 1]]+Opv.kohd.[[#This Row],[Nuorisotyöt. väh. ja osaamistarp. vast., työvoima-koulutus 1]]+Opv.kohd.[[#This Row],[Talousarvion perusteella työvoimakoulutus 1]])</f>
        <v>0</v>
      </c>
      <c r="Y48" s="210">
        <f>Opv.kohd.[[#This Row],[Maahan-muuttajien koulutus 2]]-Opv.kohd.[[#This Row],[Maahan-muuttajien koulutus 1]]</f>
        <v>0</v>
      </c>
      <c r="Z48" s="210">
        <f>Opv.kohd.[[#This Row],[Lisätalousarvioiden perusteella jaetut 2]]-Opv.kohd.[[#This Row],[Lisätalousarvioiden perusteella]]</f>
        <v>0</v>
      </c>
      <c r="AA48" s="210">
        <f>Opv.kohd.[[#This Row],[Toteutuneet opiskelijavuodet yhteensä 2]]-Opv.kohd.[[#This Row],[Vuoden 2018 tavoitteelliset opiskelijavuodet yhteensä 1]]</f>
        <v>0</v>
      </c>
      <c r="AB48" s="207">
        <f>IFERROR(VLOOKUP(Opv.kohd.[[#This Row],[Y-tunnus]],#REF!,3,FALSE),0)</f>
        <v>0</v>
      </c>
      <c r="AC48" s="207">
        <f>IFERROR(VLOOKUP(Opv.kohd.[[#This Row],[Y-tunnus]],#REF!,4,FALSE),0)</f>
        <v>0</v>
      </c>
      <c r="AD48" s="207">
        <f>IFERROR(VLOOKUP(Opv.kohd.[[#This Row],[Y-tunnus]],#REF!,5,FALSE),0)</f>
        <v>0</v>
      </c>
      <c r="AE48" s="207">
        <f>IFERROR(VLOOKUP(Opv.kohd.[[#This Row],[Y-tunnus]],#REF!,6,FALSE),0)</f>
        <v>0</v>
      </c>
      <c r="AF48" s="207">
        <f>IFERROR(VLOOKUP(Opv.kohd.[[#This Row],[Y-tunnus]],#REF!,7,FALSE),0)</f>
        <v>0</v>
      </c>
      <c r="AG48" s="207">
        <f>IFERROR(VLOOKUP(Opv.kohd.[[#This Row],[Y-tunnus]],#REF!,8,FALSE),0)</f>
        <v>0</v>
      </c>
      <c r="AH48" s="207">
        <f>IFERROR(VLOOKUP(Opv.kohd.[[#This Row],[Y-tunnus]],#REF!,9,FALSE),0)</f>
        <v>0</v>
      </c>
      <c r="AI48" s="207">
        <f>IFERROR(VLOOKUP(Opv.kohd.[[#This Row],[Y-tunnus]],#REF!,10,FALSE),0)</f>
        <v>0</v>
      </c>
      <c r="AJ48" s="204">
        <f>Opv.kohd.[[#This Row],[Järjestämisluvan mukaiset 4]]-Opv.kohd.[[#This Row],[Järjestämisluvan mukaiset 1]]</f>
        <v>0</v>
      </c>
      <c r="AK48" s="204">
        <f>Opv.kohd.[[#This Row],[Kohdentamat-tomat 4]]-Opv.kohd.[[#This Row],[Kohdentamat-tomat 1]]</f>
        <v>0</v>
      </c>
      <c r="AL48" s="204">
        <f>Opv.kohd.[[#This Row],[Työvoima-koulutus 4]]-Opv.kohd.[[#This Row],[Työvoima-koulutus 1]]</f>
        <v>0</v>
      </c>
      <c r="AM48" s="204">
        <f>Opv.kohd.[[#This Row],[Maahan-muuttajien koulutus 4]]-Opv.kohd.[[#This Row],[Maahan-muuttajien koulutus 1]]</f>
        <v>0</v>
      </c>
      <c r="AN48" s="204">
        <f>Opv.kohd.[[#This Row],[Nuorisotyöt. väh. ja osaamistarp. vast., muu kuin työvoima-koulutus 4]]-Opv.kohd.[[#This Row],[Nuorisotyöt. väh. ja osaamistarp. vast., muu kuin työvoima-koulutus 1]]</f>
        <v>0</v>
      </c>
      <c r="AO48" s="204">
        <f>Opv.kohd.[[#This Row],[Nuorisotyöt. väh. ja osaamistarp. vast., työvoima-koulutus 4]]-Opv.kohd.[[#This Row],[Nuorisotyöt. väh. ja osaamistarp. vast., työvoima-koulutus 1]]</f>
        <v>0</v>
      </c>
      <c r="AP48" s="204">
        <f>Opv.kohd.[[#This Row],[Yhteensä 4]]-Opv.kohd.[[#This Row],[Yhteensä  1]]</f>
        <v>0</v>
      </c>
      <c r="AQ48" s="204">
        <f>Opv.kohd.[[#This Row],[Ensikertaisella suoritepäätöksellä jaetut tavoitteelliset opiskelijavuodet yhteensä 4]]-Opv.kohd.[[#This Row],[Ensikertaisella suoritepäätöksellä jaetut tavoitteelliset opiskelijavuodet yhteensä 1]]</f>
        <v>0</v>
      </c>
      <c r="AR48" s="208">
        <f>IFERROR(Opv.kohd.[[#This Row],[Järjestämisluvan mukaiset 5]]/Opv.kohd.[[#This Row],[Järjestämisluvan mukaiset 4]],0)</f>
        <v>0</v>
      </c>
      <c r="AS48" s="208">
        <f>IFERROR(Opv.kohd.[[#This Row],[Kohdentamat-tomat 5]]/Opv.kohd.[[#This Row],[Kohdentamat-tomat 4]],0)</f>
        <v>0</v>
      </c>
      <c r="AT48" s="208">
        <f>IFERROR(Opv.kohd.[[#This Row],[Työvoima-koulutus 5]]/Opv.kohd.[[#This Row],[Työvoima-koulutus 4]],0)</f>
        <v>0</v>
      </c>
      <c r="AU48" s="208">
        <f>IFERROR(Opv.kohd.[[#This Row],[Maahan-muuttajien koulutus 5]]/Opv.kohd.[[#This Row],[Maahan-muuttajien koulutus 4]],0)</f>
        <v>0</v>
      </c>
      <c r="AV48" s="208">
        <f>IFERROR(Opv.kohd.[[#This Row],[Nuorisotyöt. väh. ja osaamistarp. vast., muu kuin työvoima-koulutus 5]]/Opv.kohd.[[#This Row],[Nuorisotyöt. väh. ja osaamistarp. vast., muu kuin työvoima-koulutus 4]],0)</f>
        <v>0</v>
      </c>
      <c r="AW48" s="208">
        <f>IFERROR(Opv.kohd.[[#This Row],[Nuorisotyöt. väh. ja osaamistarp. vast., työvoima-koulutus 5]]/Opv.kohd.[[#This Row],[Nuorisotyöt. väh. ja osaamistarp. vast., työvoima-koulutus 4]],0)</f>
        <v>0</v>
      </c>
      <c r="AX48" s="208">
        <f>IFERROR(Opv.kohd.[[#This Row],[Yhteensä 5]]/Opv.kohd.[[#This Row],[Yhteensä 4]],0)</f>
        <v>0</v>
      </c>
      <c r="AY48" s="208">
        <f>IFERROR(Opv.kohd.[[#This Row],[Ensikertaisella suoritepäätöksellä jaetut tavoitteelliset opiskelijavuodet yhteensä 5]]/Opv.kohd.[[#This Row],[Ensikertaisella suoritepäätöksellä jaetut tavoitteelliset opiskelijavuodet yhteensä 4]],0)</f>
        <v>0</v>
      </c>
      <c r="AZ48" s="207">
        <f>Opv.kohd.[[#This Row],[Yhteensä 7a]]-Opv.kohd.[[#This Row],[Työvoima-koulutus 7a]]</f>
        <v>0</v>
      </c>
      <c r="BA48" s="207">
        <f>IFERROR(VLOOKUP(Opv.kohd.[[#This Row],[Y-tunnus]],#REF!,COLUMN(#REF!),FALSE),0)</f>
        <v>0</v>
      </c>
      <c r="BB48" s="207">
        <f>IFERROR(VLOOKUP(Opv.kohd.[[#This Row],[Y-tunnus]],#REF!,COLUMN(#REF!),FALSE),0)</f>
        <v>0</v>
      </c>
      <c r="BC48" s="207">
        <f>Opv.kohd.[[#This Row],[Muu kuin työvoima-koulutus 7c]]-Opv.kohd.[[#This Row],[Muu kuin työvoima-koulutus 7a]]</f>
        <v>0</v>
      </c>
      <c r="BD48" s="207">
        <f>Opv.kohd.[[#This Row],[Työvoima-koulutus 7c]]-Opv.kohd.[[#This Row],[Työvoima-koulutus 7a]]</f>
        <v>0</v>
      </c>
      <c r="BE48" s="207">
        <f>Opv.kohd.[[#This Row],[Yhteensä 7c]]-Opv.kohd.[[#This Row],[Yhteensä 7a]]</f>
        <v>0</v>
      </c>
      <c r="BF48" s="207">
        <f>Opv.kohd.[[#This Row],[Yhteensä 7c]]-Opv.kohd.[[#This Row],[Työvoima-koulutus 7c]]</f>
        <v>0</v>
      </c>
      <c r="BG48" s="207">
        <f>IFERROR(VLOOKUP(Opv.kohd.[[#This Row],[Y-tunnus]],#REF!,COLUMN(#REF!),FALSE),0)</f>
        <v>0</v>
      </c>
      <c r="BH48" s="207">
        <f>IFERROR(VLOOKUP(Opv.kohd.[[#This Row],[Y-tunnus]],#REF!,COLUMN(#REF!),FALSE),0)</f>
        <v>0</v>
      </c>
      <c r="BI48" s="207">
        <f>IFERROR(VLOOKUP(Opv.kohd.[[#This Row],[Y-tunnus]],#REF!,COLUMN(#REF!),FALSE),0)</f>
        <v>0</v>
      </c>
      <c r="BJ48" s="207">
        <f>IFERROR(VLOOKUP(Opv.kohd.[[#This Row],[Y-tunnus]],#REF!,COLUMN(#REF!),FALSE),0)</f>
        <v>0</v>
      </c>
      <c r="BK48" s="207">
        <f>Opv.kohd.[[#This Row],[Muu kuin työvoima-koulutus 7d]]+Opv.kohd.[[#This Row],[Työvoima-koulutus 7d]]</f>
        <v>0</v>
      </c>
      <c r="BL48" s="207">
        <f>Opv.kohd.[[#This Row],[Muu kuin työvoima-koulutus 7c]]-Opv.kohd.[[#This Row],[Muu kuin työvoima-koulutus 7d]]</f>
        <v>0</v>
      </c>
      <c r="BM48" s="207">
        <f>Opv.kohd.[[#This Row],[Työvoima-koulutus 7c]]-Opv.kohd.[[#This Row],[Työvoima-koulutus 7d]]</f>
        <v>0</v>
      </c>
      <c r="BN48" s="207">
        <f>Opv.kohd.[[#This Row],[Yhteensä 7c]]-Opv.kohd.[[#This Row],[Yhteensä 7d]]</f>
        <v>0</v>
      </c>
      <c r="BO48" s="207">
        <f>Opv.kohd.[[#This Row],[Muu kuin työvoima-koulutus 7e]]-(Opv.kohd.[[#This Row],[Järjestämisluvan mukaiset 4]]+Opv.kohd.[[#This Row],[Kohdentamat-tomat 4]]+Opv.kohd.[[#This Row],[Maahan-muuttajien koulutus 4]]+Opv.kohd.[[#This Row],[Nuorisotyöt. väh. ja osaamistarp. vast., muu kuin työvoima-koulutus 4]])</f>
        <v>0</v>
      </c>
      <c r="BP48" s="207">
        <f>Opv.kohd.[[#This Row],[Työvoima-koulutus 7e]]-(Opv.kohd.[[#This Row],[Työvoima-koulutus 4]]+Opv.kohd.[[#This Row],[Nuorisotyöt. väh. ja osaamistarp. vast., työvoima-koulutus 4]])</f>
        <v>0</v>
      </c>
      <c r="BQ48" s="207">
        <f>Opv.kohd.[[#This Row],[Yhteensä 7e]]-Opv.kohd.[[#This Row],[Ensikertaisella suoritepäätöksellä jaetut tavoitteelliset opiskelijavuodet yhteensä 4]]</f>
        <v>0</v>
      </c>
      <c r="BR48" s="263">
        <v>89</v>
      </c>
      <c r="BS48" s="263">
        <v>5</v>
      </c>
      <c r="BT48" s="263">
        <v>0</v>
      </c>
      <c r="BU48" s="263">
        <v>0</v>
      </c>
      <c r="BV48" s="263">
        <v>4</v>
      </c>
      <c r="BW48" s="263">
        <v>0</v>
      </c>
      <c r="BX48" s="263">
        <v>9</v>
      </c>
      <c r="BY48" s="263">
        <v>98</v>
      </c>
      <c r="BZ48" s="207">
        <f t="shared" si="2"/>
        <v>89</v>
      </c>
      <c r="CA48" s="207">
        <f t="shared" si="3"/>
        <v>5</v>
      </c>
      <c r="CB48" s="207">
        <f t="shared" si="4"/>
        <v>0</v>
      </c>
      <c r="CC48" s="207">
        <f t="shared" si="5"/>
        <v>0</v>
      </c>
      <c r="CD48" s="207">
        <f t="shared" si="6"/>
        <v>4</v>
      </c>
      <c r="CE48" s="207">
        <f t="shared" si="7"/>
        <v>0</v>
      </c>
      <c r="CF48" s="207">
        <f t="shared" si="8"/>
        <v>9</v>
      </c>
      <c r="CG48" s="207">
        <f t="shared" si="9"/>
        <v>98</v>
      </c>
      <c r="CH48" s="207">
        <f>Opv.kohd.[[#This Row],[Tavoitteelliset opiskelijavuodet yhteensä 9]]-Opv.kohd.[[#This Row],[Työvoima-koulutus 9]]-Opv.kohd.[[#This Row],[Nuorisotyöt. väh. ja osaamistarp. vast., työvoima-koulutus 9]]-Opv.kohd.[[#This Row],[Muu kuin työvoima-koulutus 7e]]</f>
        <v>98</v>
      </c>
      <c r="CI48" s="207">
        <f>(Opv.kohd.[[#This Row],[Työvoima-koulutus 9]]+Opv.kohd.[[#This Row],[Nuorisotyöt. väh. ja osaamistarp. vast., työvoima-koulutus 9]])-Opv.kohd.[[#This Row],[Työvoima-koulutus 7e]]</f>
        <v>0</v>
      </c>
      <c r="CJ48" s="207">
        <f>Opv.kohd.[[#This Row],[Tavoitteelliset opiskelijavuodet yhteensä 9]]-Opv.kohd.[[#This Row],[Yhteensä 7e]]</f>
        <v>98</v>
      </c>
      <c r="CK48" s="207">
        <f>Opv.kohd.[[#This Row],[Järjestämisluvan mukaiset 4]]+Opv.kohd.[[#This Row],[Järjestämisluvan mukaiset 13]]</f>
        <v>0</v>
      </c>
      <c r="CL48" s="207">
        <f>Opv.kohd.[[#This Row],[Kohdentamat-tomat 4]]+Opv.kohd.[[#This Row],[Kohdentamat-tomat 13]]</f>
        <v>0</v>
      </c>
      <c r="CM48" s="207">
        <f>Opv.kohd.[[#This Row],[Työvoima-koulutus 4]]+Opv.kohd.[[#This Row],[Työvoima-koulutus 13]]</f>
        <v>0</v>
      </c>
      <c r="CN48" s="207">
        <f>Opv.kohd.[[#This Row],[Maahan-muuttajien koulutus 4]]+Opv.kohd.[[#This Row],[Maahan-muuttajien koulutus 13]]</f>
        <v>0</v>
      </c>
      <c r="CO48" s="207">
        <f>Opv.kohd.[[#This Row],[Nuorisotyöt. väh. ja osaamistarp. vast., muu kuin työvoima-koulutus 4]]+Opv.kohd.[[#This Row],[Nuorisotyöt. väh. ja osaamistarp. vast., muu kuin työvoima-koulutus 13]]</f>
        <v>0</v>
      </c>
      <c r="CP48" s="207">
        <f>Opv.kohd.[[#This Row],[Nuorisotyöt. väh. ja osaamistarp. vast., työvoima-koulutus 4]]+Opv.kohd.[[#This Row],[Nuorisotyöt. väh. ja osaamistarp. vast., työvoima-koulutus 13]]</f>
        <v>0</v>
      </c>
      <c r="CQ48" s="207">
        <f>Opv.kohd.[[#This Row],[Yhteensä 4]]+Opv.kohd.[[#This Row],[Yhteensä 13]]</f>
        <v>0</v>
      </c>
      <c r="CR48" s="207">
        <f>Opv.kohd.[[#This Row],[Ensikertaisella suoritepäätöksellä jaetut tavoitteelliset opiskelijavuodet yhteensä 4]]+Opv.kohd.[[#This Row],[Tavoitteelliset opiskelijavuodet yhteensä 13]]</f>
        <v>0</v>
      </c>
      <c r="CS48" s="120">
        <v>0</v>
      </c>
      <c r="CT48" s="120">
        <v>0</v>
      </c>
      <c r="CU48" s="120">
        <v>0</v>
      </c>
      <c r="CV48" s="120">
        <v>0</v>
      </c>
      <c r="CW48" s="120">
        <v>0</v>
      </c>
      <c r="CX48" s="120">
        <v>0</v>
      </c>
      <c r="CY48" s="120">
        <v>0</v>
      </c>
      <c r="CZ48" s="120">
        <v>0</v>
      </c>
      <c r="DA48" s="209">
        <f>IFERROR(Opv.kohd.[[#This Row],[Järjestämisluvan mukaiset 13]]/Opv.kohd.[[#This Row],[Järjestämisluvan mukaiset 12]],0)</f>
        <v>0</v>
      </c>
      <c r="DB48" s="209">
        <f>IFERROR(Opv.kohd.[[#This Row],[Kohdentamat-tomat 13]]/Opv.kohd.[[#This Row],[Kohdentamat-tomat 12]],0)</f>
        <v>0</v>
      </c>
      <c r="DC48" s="209">
        <f>IFERROR(Opv.kohd.[[#This Row],[Työvoima-koulutus 13]]/Opv.kohd.[[#This Row],[Työvoima-koulutus 12]],0)</f>
        <v>0</v>
      </c>
      <c r="DD48" s="209">
        <f>IFERROR(Opv.kohd.[[#This Row],[Maahan-muuttajien koulutus 13]]/Opv.kohd.[[#This Row],[Maahan-muuttajien koulutus 12]],0)</f>
        <v>0</v>
      </c>
      <c r="DE48" s="209">
        <f>IFERROR(Opv.kohd.[[#This Row],[Nuorisotyöt. väh. ja osaamistarp. vast., muu kuin työvoima-koulutus 13]]/Opv.kohd.[[#This Row],[Nuorisotyöt. väh. ja osaamistarp. vast., muu kuin työvoima-koulutus 12]],0)</f>
        <v>0</v>
      </c>
      <c r="DF48" s="209">
        <f>IFERROR(Opv.kohd.[[#This Row],[Nuorisotyöt. väh. ja osaamistarp. vast., työvoima-koulutus 13]]/Opv.kohd.[[#This Row],[Nuorisotyöt. väh. ja osaamistarp. vast., työvoima-koulutus 12]],0)</f>
        <v>0</v>
      </c>
      <c r="DG48" s="209">
        <f>IFERROR(Opv.kohd.[[#This Row],[Yhteensä 13]]/Opv.kohd.[[#This Row],[Yhteensä 12]],0)</f>
        <v>0</v>
      </c>
      <c r="DH48" s="209">
        <f>IFERROR(Opv.kohd.[[#This Row],[Tavoitteelliset opiskelijavuodet yhteensä 13]]/Opv.kohd.[[#This Row],[Tavoitteelliset opiskelijavuodet yhteensä 12]],0)</f>
        <v>0</v>
      </c>
      <c r="DI48" s="207">
        <f>Opv.kohd.[[#This Row],[Järjestämisluvan mukaiset 12]]-Opv.kohd.[[#This Row],[Järjestämisluvan mukaiset 9]]</f>
        <v>-89</v>
      </c>
      <c r="DJ48" s="207">
        <f>Opv.kohd.[[#This Row],[Kohdentamat-tomat 12]]-Opv.kohd.[[#This Row],[Kohdentamat-tomat 9]]</f>
        <v>-5</v>
      </c>
      <c r="DK48" s="207">
        <f>Opv.kohd.[[#This Row],[Työvoima-koulutus 12]]-Opv.kohd.[[#This Row],[Työvoima-koulutus 9]]</f>
        <v>0</v>
      </c>
      <c r="DL48" s="207">
        <f>Opv.kohd.[[#This Row],[Maahan-muuttajien koulutus 12]]-Opv.kohd.[[#This Row],[Maahan-muuttajien koulutus 9]]</f>
        <v>0</v>
      </c>
      <c r="DM48" s="207">
        <f>Opv.kohd.[[#This Row],[Nuorisotyöt. väh. ja osaamistarp. vast., muu kuin työvoima-koulutus 12]]-Opv.kohd.[[#This Row],[Nuorisotyöt. väh. ja osaamistarp. vast., muu kuin työvoima-koulutus 9]]</f>
        <v>-4</v>
      </c>
      <c r="DN48" s="207">
        <f>Opv.kohd.[[#This Row],[Nuorisotyöt. väh. ja osaamistarp. vast., työvoima-koulutus 12]]-Opv.kohd.[[#This Row],[Nuorisotyöt. väh. ja osaamistarp. vast., työvoima-koulutus 9]]</f>
        <v>0</v>
      </c>
      <c r="DO48" s="207">
        <f>Opv.kohd.[[#This Row],[Yhteensä 12]]-Opv.kohd.[[#This Row],[Yhteensä 9]]</f>
        <v>-9</v>
      </c>
      <c r="DP48" s="207">
        <f>Opv.kohd.[[#This Row],[Tavoitteelliset opiskelijavuodet yhteensä 12]]-Opv.kohd.[[#This Row],[Tavoitteelliset opiskelijavuodet yhteensä 9]]</f>
        <v>-98</v>
      </c>
      <c r="DQ48" s="209">
        <f>IFERROR(Opv.kohd.[[#This Row],[Järjestämisluvan mukaiset 15]]/Opv.kohd.[[#This Row],[Järjestämisluvan mukaiset 9]],0)</f>
        <v>-1</v>
      </c>
      <c r="DR48" s="209">
        <f t="shared" si="10"/>
        <v>0</v>
      </c>
      <c r="DS48" s="209">
        <f t="shared" si="11"/>
        <v>0</v>
      </c>
      <c r="DT48" s="209">
        <f t="shared" si="12"/>
        <v>0</v>
      </c>
      <c r="DU48" s="209">
        <f t="shared" si="13"/>
        <v>0</v>
      </c>
      <c r="DV48" s="209">
        <f t="shared" si="14"/>
        <v>0</v>
      </c>
      <c r="DW48" s="209">
        <f t="shared" si="15"/>
        <v>0</v>
      </c>
      <c r="DX48" s="209">
        <f t="shared" si="16"/>
        <v>0</v>
      </c>
    </row>
    <row r="49" spans="1:128" x14ac:dyDescent="0.25">
      <c r="A49" s="204" t="e">
        <f>IF(INDEX(#REF!,ROW(49:49)-1,1)=0,"",INDEX(#REF!,ROW(49:49)-1,1))</f>
        <v>#REF!</v>
      </c>
      <c r="B49" s="205" t="str">
        <f>IFERROR(VLOOKUP(Opv.kohd.[[#This Row],[Y-tunnus]],'0 Järjestäjätiedot'!$A:$H,2,FALSE),"")</f>
        <v/>
      </c>
      <c r="C49" s="204" t="str">
        <f>IFERROR(VLOOKUP(Opv.kohd.[[#This Row],[Y-tunnus]],'0 Järjestäjätiedot'!$A:$H,COLUMN('0 Järjestäjätiedot'!D:D),FALSE),"")</f>
        <v/>
      </c>
      <c r="D49" s="204" t="str">
        <f>IFERROR(VLOOKUP(Opv.kohd.[[#This Row],[Y-tunnus]],'0 Järjestäjätiedot'!$A:$H,COLUMN('0 Järjestäjätiedot'!H:H),FALSE),"")</f>
        <v/>
      </c>
      <c r="E49" s="204">
        <f>IFERROR(VLOOKUP(Opv.kohd.[[#This Row],[Y-tunnus]],#REF!,COLUMN(#REF!),FALSE),0)</f>
        <v>0</v>
      </c>
      <c r="F49" s="204">
        <f>IFERROR(VLOOKUP(Opv.kohd.[[#This Row],[Y-tunnus]],#REF!,COLUMN(#REF!),FALSE),0)</f>
        <v>0</v>
      </c>
      <c r="G49" s="204">
        <f>IFERROR(VLOOKUP(Opv.kohd.[[#This Row],[Y-tunnus]],#REF!,COLUMN(#REF!),FALSE),0)</f>
        <v>0</v>
      </c>
      <c r="H49" s="204">
        <f>IFERROR(VLOOKUP(Opv.kohd.[[#This Row],[Y-tunnus]],#REF!,COLUMN(#REF!),FALSE),0)</f>
        <v>0</v>
      </c>
      <c r="I49" s="204">
        <f>IFERROR(VLOOKUP(Opv.kohd.[[#This Row],[Y-tunnus]],#REF!,COLUMN(#REF!),FALSE),0)</f>
        <v>0</v>
      </c>
      <c r="J49" s="204">
        <f>IFERROR(VLOOKUP(Opv.kohd.[[#This Row],[Y-tunnus]],#REF!,COLUMN(#REF!),FALSE),0)</f>
        <v>0</v>
      </c>
      <c r="K4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49" s="204">
        <f>Opv.kohd.[[#This Row],[Järjestämisluvan mukaiset 1]]+Opv.kohd.[[#This Row],[Yhteensä  1]]</f>
        <v>0</v>
      </c>
      <c r="M49" s="204">
        <f>IFERROR(VLOOKUP(Opv.kohd.[[#This Row],[Y-tunnus]],#REF!,COLUMN(#REF!),FALSE),0)</f>
        <v>0</v>
      </c>
      <c r="N49" s="204">
        <f>IFERROR(VLOOKUP(Opv.kohd.[[#This Row],[Y-tunnus]],#REF!,COLUMN(#REF!),FALSE),0)</f>
        <v>0</v>
      </c>
      <c r="O49" s="204">
        <f>IFERROR(VLOOKUP(Opv.kohd.[[#This Row],[Y-tunnus]],#REF!,COLUMN(#REF!),FALSE)+VLOOKUP(Opv.kohd.[[#This Row],[Y-tunnus]],#REF!,COLUMN(#REF!),FALSE),0)</f>
        <v>0</v>
      </c>
      <c r="P49" s="204">
        <f>Opv.kohd.[[#This Row],[Talousarvion perusteella kohdentamattomat]]+Opv.kohd.[[#This Row],[Talousarvion perusteella työvoimakoulutus 1]]+Opv.kohd.[[#This Row],[Lisätalousarvioiden perusteella]]</f>
        <v>0</v>
      </c>
      <c r="Q49" s="204">
        <f>IFERROR(VLOOKUP(Opv.kohd.[[#This Row],[Y-tunnus]],#REF!,COLUMN(#REF!),FALSE),0)</f>
        <v>0</v>
      </c>
      <c r="R49" s="210">
        <f>IFERROR(VLOOKUP(Opv.kohd.[[#This Row],[Y-tunnus]],#REF!,COLUMN(#REF!),FALSE)-(Opv.kohd.[[#This Row],[Kohdentamaton työvoima-koulutus 2]]+Opv.kohd.[[#This Row],[Maahan-muuttajien koulutus 2]]+Opv.kohd.[[#This Row],[Lisätalousarvioiden perusteella jaetut 2]]),0)</f>
        <v>0</v>
      </c>
      <c r="S49" s="210">
        <f>IFERROR(VLOOKUP(Opv.kohd.[[#This Row],[Y-tunnus]],#REF!,COLUMN(#REF!),FALSE)+VLOOKUP(Opv.kohd.[[#This Row],[Y-tunnus]],#REF!,COLUMN(#REF!),FALSE),0)</f>
        <v>0</v>
      </c>
      <c r="T49" s="210">
        <f>IFERROR(VLOOKUP(Opv.kohd.[[#This Row],[Y-tunnus]],#REF!,COLUMN(#REF!),FALSE)+VLOOKUP(Opv.kohd.[[#This Row],[Y-tunnus]],#REF!,COLUMN(#REF!),FALSE),0)</f>
        <v>0</v>
      </c>
      <c r="U4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49" s="210">
        <f>Opv.kohd.[[#This Row],[Kohdentamat-tomat 2]]+Opv.kohd.[[#This Row],[Kohdentamaton työvoima-koulutus 2]]+Opv.kohd.[[#This Row],[Maahan-muuttajien koulutus 2]]+Opv.kohd.[[#This Row],[Lisätalousarvioiden perusteella jaetut 2]]</f>
        <v>0</v>
      </c>
      <c r="W49" s="210">
        <f>Opv.kohd.[[#This Row],[Kohdentamat-tomat 2]]-(Opv.kohd.[[#This Row],[Järjestämisluvan mukaiset 1]]+Opv.kohd.[[#This Row],[Kohdentamat-tomat 1]]+Opv.kohd.[[#This Row],[Nuorisotyöt. väh. ja osaamistarp. vast., muu kuin työvoima-koulutus 1]]+Opv.kohd.[[#This Row],[Talousarvion perusteella kohdentamattomat]])</f>
        <v>0</v>
      </c>
      <c r="X49" s="210">
        <f>Opv.kohd.[[#This Row],[Kohdentamaton työvoima-koulutus 2]]-(Opv.kohd.[[#This Row],[Työvoima-koulutus 1]]+Opv.kohd.[[#This Row],[Nuorisotyöt. väh. ja osaamistarp. vast., työvoima-koulutus 1]]+Opv.kohd.[[#This Row],[Talousarvion perusteella työvoimakoulutus 1]])</f>
        <v>0</v>
      </c>
      <c r="Y49" s="210">
        <f>Opv.kohd.[[#This Row],[Maahan-muuttajien koulutus 2]]-Opv.kohd.[[#This Row],[Maahan-muuttajien koulutus 1]]</f>
        <v>0</v>
      </c>
      <c r="Z49" s="210">
        <f>Opv.kohd.[[#This Row],[Lisätalousarvioiden perusteella jaetut 2]]-Opv.kohd.[[#This Row],[Lisätalousarvioiden perusteella]]</f>
        <v>0</v>
      </c>
      <c r="AA49" s="210">
        <f>Opv.kohd.[[#This Row],[Toteutuneet opiskelijavuodet yhteensä 2]]-Opv.kohd.[[#This Row],[Vuoden 2018 tavoitteelliset opiskelijavuodet yhteensä 1]]</f>
        <v>0</v>
      </c>
      <c r="AB49" s="207">
        <f>IFERROR(VLOOKUP(Opv.kohd.[[#This Row],[Y-tunnus]],#REF!,3,FALSE),0)</f>
        <v>0</v>
      </c>
      <c r="AC49" s="207">
        <f>IFERROR(VLOOKUP(Opv.kohd.[[#This Row],[Y-tunnus]],#REF!,4,FALSE),0)</f>
        <v>0</v>
      </c>
      <c r="AD49" s="207">
        <f>IFERROR(VLOOKUP(Opv.kohd.[[#This Row],[Y-tunnus]],#REF!,5,FALSE),0)</f>
        <v>0</v>
      </c>
      <c r="AE49" s="207">
        <f>IFERROR(VLOOKUP(Opv.kohd.[[#This Row],[Y-tunnus]],#REF!,6,FALSE),0)</f>
        <v>0</v>
      </c>
      <c r="AF49" s="207">
        <f>IFERROR(VLOOKUP(Opv.kohd.[[#This Row],[Y-tunnus]],#REF!,7,FALSE),0)</f>
        <v>0</v>
      </c>
      <c r="AG49" s="207">
        <f>IFERROR(VLOOKUP(Opv.kohd.[[#This Row],[Y-tunnus]],#REF!,8,FALSE),0)</f>
        <v>0</v>
      </c>
      <c r="AH49" s="207">
        <f>IFERROR(VLOOKUP(Opv.kohd.[[#This Row],[Y-tunnus]],#REF!,9,FALSE),0)</f>
        <v>0</v>
      </c>
      <c r="AI49" s="207">
        <f>IFERROR(VLOOKUP(Opv.kohd.[[#This Row],[Y-tunnus]],#REF!,10,FALSE),0)</f>
        <v>0</v>
      </c>
      <c r="AJ49" s="204">
        <f>Opv.kohd.[[#This Row],[Järjestämisluvan mukaiset 4]]-Opv.kohd.[[#This Row],[Järjestämisluvan mukaiset 1]]</f>
        <v>0</v>
      </c>
      <c r="AK49" s="204">
        <f>Opv.kohd.[[#This Row],[Kohdentamat-tomat 4]]-Opv.kohd.[[#This Row],[Kohdentamat-tomat 1]]</f>
        <v>0</v>
      </c>
      <c r="AL49" s="204">
        <f>Opv.kohd.[[#This Row],[Työvoima-koulutus 4]]-Opv.kohd.[[#This Row],[Työvoima-koulutus 1]]</f>
        <v>0</v>
      </c>
      <c r="AM49" s="204">
        <f>Opv.kohd.[[#This Row],[Maahan-muuttajien koulutus 4]]-Opv.kohd.[[#This Row],[Maahan-muuttajien koulutus 1]]</f>
        <v>0</v>
      </c>
      <c r="AN49" s="204">
        <f>Opv.kohd.[[#This Row],[Nuorisotyöt. väh. ja osaamistarp. vast., muu kuin työvoima-koulutus 4]]-Opv.kohd.[[#This Row],[Nuorisotyöt. väh. ja osaamistarp. vast., muu kuin työvoima-koulutus 1]]</f>
        <v>0</v>
      </c>
      <c r="AO49" s="204">
        <f>Opv.kohd.[[#This Row],[Nuorisotyöt. väh. ja osaamistarp. vast., työvoima-koulutus 4]]-Opv.kohd.[[#This Row],[Nuorisotyöt. väh. ja osaamistarp. vast., työvoima-koulutus 1]]</f>
        <v>0</v>
      </c>
      <c r="AP49" s="204">
        <f>Opv.kohd.[[#This Row],[Yhteensä 4]]-Opv.kohd.[[#This Row],[Yhteensä  1]]</f>
        <v>0</v>
      </c>
      <c r="AQ49" s="204">
        <f>Opv.kohd.[[#This Row],[Ensikertaisella suoritepäätöksellä jaetut tavoitteelliset opiskelijavuodet yhteensä 4]]-Opv.kohd.[[#This Row],[Ensikertaisella suoritepäätöksellä jaetut tavoitteelliset opiskelijavuodet yhteensä 1]]</f>
        <v>0</v>
      </c>
      <c r="AR49" s="208">
        <f>IFERROR(Opv.kohd.[[#This Row],[Järjestämisluvan mukaiset 5]]/Opv.kohd.[[#This Row],[Järjestämisluvan mukaiset 4]],0)</f>
        <v>0</v>
      </c>
      <c r="AS49" s="208">
        <f>IFERROR(Opv.kohd.[[#This Row],[Kohdentamat-tomat 5]]/Opv.kohd.[[#This Row],[Kohdentamat-tomat 4]],0)</f>
        <v>0</v>
      </c>
      <c r="AT49" s="208">
        <f>IFERROR(Opv.kohd.[[#This Row],[Työvoima-koulutus 5]]/Opv.kohd.[[#This Row],[Työvoima-koulutus 4]],0)</f>
        <v>0</v>
      </c>
      <c r="AU49" s="208">
        <f>IFERROR(Opv.kohd.[[#This Row],[Maahan-muuttajien koulutus 5]]/Opv.kohd.[[#This Row],[Maahan-muuttajien koulutus 4]],0)</f>
        <v>0</v>
      </c>
      <c r="AV49" s="208">
        <f>IFERROR(Opv.kohd.[[#This Row],[Nuorisotyöt. väh. ja osaamistarp. vast., muu kuin työvoima-koulutus 5]]/Opv.kohd.[[#This Row],[Nuorisotyöt. väh. ja osaamistarp. vast., muu kuin työvoima-koulutus 4]],0)</f>
        <v>0</v>
      </c>
      <c r="AW49" s="208">
        <f>IFERROR(Opv.kohd.[[#This Row],[Nuorisotyöt. väh. ja osaamistarp. vast., työvoima-koulutus 5]]/Opv.kohd.[[#This Row],[Nuorisotyöt. väh. ja osaamistarp. vast., työvoima-koulutus 4]],0)</f>
        <v>0</v>
      </c>
      <c r="AX49" s="208">
        <f>IFERROR(Opv.kohd.[[#This Row],[Yhteensä 5]]/Opv.kohd.[[#This Row],[Yhteensä 4]],0)</f>
        <v>0</v>
      </c>
      <c r="AY49" s="208">
        <f>IFERROR(Opv.kohd.[[#This Row],[Ensikertaisella suoritepäätöksellä jaetut tavoitteelliset opiskelijavuodet yhteensä 5]]/Opv.kohd.[[#This Row],[Ensikertaisella suoritepäätöksellä jaetut tavoitteelliset opiskelijavuodet yhteensä 4]],0)</f>
        <v>0</v>
      </c>
      <c r="AZ49" s="207">
        <f>Opv.kohd.[[#This Row],[Yhteensä 7a]]-Opv.kohd.[[#This Row],[Työvoima-koulutus 7a]]</f>
        <v>0</v>
      </c>
      <c r="BA49" s="207">
        <f>IFERROR(VLOOKUP(Opv.kohd.[[#This Row],[Y-tunnus]],#REF!,COLUMN(#REF!),FALSE),0)</f>
        <v>0</v>
      </c>
      <c r="BB49" s="207">
        <f>IFERROR(VLOOKUP(Opv.kohd.[[#This Row],[Y-tunnus]],#REF!,COLUMN(#REF!),FALSE),0)</f>
        <v>0</v>
      </c>
      <c r="BC49" s="207">
        <f>Opv.kohd.[[#This Row],[Muu kuin työvoima-koulutus 7c]]-Opv.kohd.[[#This Row],[Muu kuin työvoima-koulutus 7a]]</f>
        <v>0</v>
      </c>
      <c r="BD49" s="207">
        <f>Opv.kohd.[[#This Row],[Työvoima-koulutus 7c]]-Opv.kohd.[[#This Row],[Työvoima-koulutus 7a]]</f>
        <v>0</v>
      </c>
      <c r="BE49" s="207">
        <f>Opv.kohd.[[#This Row],[Yhteensä 7c]]-Opv.kohd.[[#This Row],[Yhteensä 7a]]</f>
        <v>0</v>
      </c>
      <c r="BF49" s="207">
        <f>Opv.kohd.[[#This Row],[Yhteensä 7c]]-Opv.kohd.[[#This Row],[Työvoima-koulutus 7c]]</f>
        <v>0</v>
      </c>
      <c r="BG49" s="207">
        <f>IFERROR(VLOOKUP(Opv.kohd.[[#This Row],[Y-tunnus]],#REF!,COLUMN(#REF!),FALSE),0)</f>
        <v>0</v>
      </c>
      <c r="BH49" s="207">
        <f>IFERROR(VLOOKUP(Opv.kohd.[[#This Row],[Y-tunnus]],#REF!,COLUMN(#REF!),FALSE),0)</f>
        <v>0</v>
      </c>
      <c r="BI49" s="207">
        <f>IFERROR(VLOOKUP(Opv.kohd.[[#This Row],[Y-tunnus]],#REF!,COLUMN(#REF!),FALSE),0)</f>
        <v>0</v>
      </c>
      <c r="BJ49" s="207">
        <f>IFERROR(VLOOKUP(Opv.kohd.[[#This Row],[Y-tunnus]],#REF!,COLUMN(#REF!),FALSE),0)</f>
        <v>0</v>
      </c>
      <c r="BK49" s="207">
        <f>Opv.kohd.[[#This Row],[Muu kuin työvoima-koulutus 7d]]+Opv.kohd.[[#This Row],[Työvoima-koulutus 7d]]</f>
        <v>0</v>
      </c>
      <c r="BL49" s="207">
        <f>Opv.kohd.[[#This Row],[Muu kuin työvoima-koulutus 7c]]-Opv.kohd.[[#This Row],[Muu kuin työvoima-koulutus 7d]]</f>
        <v>0</v>
      </c>
      <c r="BM49" s="207">
        <f>Opv.kohd.[[#This Row],[Työvoima-koulutus 7c]]-Opv.kohd.[[#This Row],[Työvoima-koulutus 7d]]</f>
        <v>0</v>
      </c>
      <c r="BN49" s="207">
        <f>Opv.kohd.[[#This Row],[Yhteensä 7c]]-Opv.kohd.[[#This Row],[Yhteensä 7d]]</f>
        <v>0</v>
      </c>
      <c r="BO49" s="207">
        <f>Opv.kohd.[[#This Row],[Muu kuin työvoima-koulutus 7e]]-(Opv.kohd.[[#This Row],[Järjestämisluvan mukaiset 4]]+Opv.kohd.[[#This Row],[Kohdentamat-tomat 4]]+Opv.kohd.[[#This Row],[Maahan-muuttajien koulutus 4]]+Opv.kohd.[[#This Row],[Nuorisotyöt. väh. ja osaamistarp. vast., muu kuin työvoima-koulutus 4]])</f>
        <v>0</v>
      </c>
      <c r="BP49" s="207">
        <f>Opv.kohd.[[#This Row],[Työvoima-koulutus 7e]]-(Opv.kohd.[[#This Row],[Työvoima-koulutus 4]]+Opv.kohd.[[#This Row],[Nuorisotyöt. väh. ja osaamistarp. vast., työvoima-koulutus 4]])</f>
        <v>0</v>
      </c>
      <c r="BQ49" s="207">
        <f>Opv.kohd.[[#This Row],[Yhteensä 7e]]-Opv.kohd.[[#This Row],[Ensikertaisella suoritepäätöksellä jaetut tavoitteelliset opiskelijavuodet yhteensä 4]]</f>
        <v>0</v>
      </c>
      <c r="BR49" s="263">
        <v>85</v>
      </c>
      <c r="BS49" s="263">
        <v>25</v>
      </c>
      <c r="BT49" s="263">
        <v>0</v>
      </c>
      <c r="BU49" s="263">
        <v>0</v>
      </c>
      <c r="BV49" s="263">
        <v>0</v>
      </c>
      <c r="BW49" s="263">
        <v>0</v>
      </c>
      <c r="BX49" s="263">
        <v>25</v>
      </c>
      <c r="BY49" s="263">
        <v>110</v>
      </c>
      <c r="BZ49" s="207">
        <f t="shared" si="2"/>
        <v>85</v>
      </c>
      <c r="CA49" s="207">
        <f t="shared" si="3"/>
        <v>25</v>
      </c>
      <c r="CB49" s="207">
        <f t="shared" si="4"/>
        <v>0</v>
      </c>
      <c r="CC49" s="207">
        <f t="shared" si="5"/>
        <v>0</v>
      </c>
      <c r="CD49" s="207">
        <f t="shared" si="6"/>
        <v>0</v>
      </c>
      <c r="CE49" s="207">
        <f t="shared" si="7"/>
        <v>0</v>
      </c>
      <c r="CF49" s="207">
        <f t="shared" si="8"/>
        <v>25</v>
      </c>
      <c r="CG49" s="207">
        <f t="shared" si="9"/>
        <v>110</v>
      </c>
      <c r="CH49" s="207">
        <f>Opv.kohd.[[#This Row],[Tavoitteelliset opiskelijavuodet yhteensä 9]]-Opv.kohd.[[#This Row],[Työvoima-koulutus 9]]-Opv.kohd.[[#This Row],[Nuorisotyöt. väh. ja osaamistarp. vast., työvoima-koulutus 9]]-Opv.kohd.[[#This Row],[Muu kuin työvoima-koulutus 7e]]</f>
        <v>110</v>
      </c>
      <c r="CI49" s="207">
        <f>(Opv.kohd.[[#This Row],[Työvoima-koulutus 9]]+Opv.kohd.[[#This Row],[Nuorisotyöt. väh. ja osaamistarp. vast., työvoima-koulutus 9]])-Opv.kohd.[[#This Row],[Työvoima-koulutus 7e]]</f>
        <v>0</v>
      </c>
      <c r="CJ49" s="207">
        <f>Opv.kohd.[[#This Row],[Tavoitteelliset opiskelijavuodet yhteensä 9]]-Opv.kohd.[[#This Row],[Yhteensä 7e]]</f>
        <v>110</v>
      </c>
      <c r="CK49" s="207">
        <f>Opv.kohd.[[#This Row],[Järjestämisluvan mukaiset 4]]+Opv.kohd.[[#This Row],[Järjestämisluvan mukaiset 13]]</f>
        <v>0</v>
      </c>
      <c r="CL49" s="207">
        <f>Opv.kohd.[[#This Row],[Kohdentamat-tomat 4]]+Opv.kohd.[[#This Row],[Kohdentamat-tomat 13]]</f>
        <v>0</v>
      </c>
      <c r="CM49" s="207">
        <f>Opv.kohd.[[#This Row],[Työvoima-koulutus 4]]+Opv.kohd.[[#This Row],[Työvoima-koulutus 13]]</f>
        <v>0</v>
      </c>
      <c r="CN49" s="207">
        <f>Opv.kohd.[[#This Row],[Maahan-muuttajien koulutus 4]]+Opv.kohd.[[#This Row],[Maahan-muuttajien koulutus 13]]</f>
        <v>0</v>
      </c>
      <c r="CO49" s="207">
        <f>Opv.kohd.[[#This Row],[Nuorisotyöt. väh. ja osaamistarp. vast., muu kuin työvoima-koulutus 4]]+Opv.kohd.[[#This Row],[Nuorisotyöt. väh. ja osaamistarp. vast., muu kuin työvoima-koulutus 13]]</f>
        <v>0</v>
      </c>
      <c r="CP49" s="207">
        <f>Opv.kohd.[[#This Row],[Nuorisotyöt. väh. ja osaamistarp. vast., työvoima-koulutus 4]]+Opv.kohd.[[#This Row],[Nuorisotyöt. väh. ja osaamistarp. vast., työvoima-koulutus 13]]</f>
        <v>0</v>
      </c>
      <c r="CQ49" s="207">
        <f>Opv.kohd.[[#This Row],[Yhteensä 4]]+Opv.kohd.[[#This Row],[Yhteensä 13]]</f>
        <v>0</v>
      </c>
      <c r="CR49" s="207">
        <f>Opv.kohd.[[#This Row],[Ensikertaisella suoritepäätöksellä jaetut tavoitteelliset opiskelijavuodet yhteensä 4]]+Opv.kohd.[[#This Row],[Tavoitteelliset opiskelijavuodet yhteensä 13]]</f>
        <v>0</v>
      </c>
      <c r="CS49" s="120">
        <v>0</v>
      </c>
      <c r="CT49" s="120">
        <v>0</v>
      </c>
      <c r="CU49" s="120">
        <v>0</v>
      </c>
      <c r="CV49" s="120">
        <v>0</v>
      </c>
      <c r="CW49" s="120">
        <v>0</v>
      </c>
      <c r="CX49" s="120">
        <v>0</v>
      </c>
      <c r="CY49" s="120">
        <v>0</v>
      </c>
      <c r="CZ49" s="120">
        <v>0</v>
      </c>
      <c r="DA49" s="209">
        <f>IFERROR(Opv.kohd.[[#This Row],[Järjestämisluvan mukaiset 13]]/Opv.kohd.[[#This Row],[Järjestämisluvan mukaiset 12]],0)</f>
        <v>0</v>
      </c>
      <c r="DB49" s="209">
        <f>IFERROR(Opv.kohd.[[#This Row],[Kohdentamat-tomat 13]]/Opv.kohd.[[#This Row],[Kohdentamat-tomat 12]],0)</f>
        <v>0</v>
      </c>
      <c r="DC49" s="209">
        <f>IFERROR(Opv.kohd.[[#This Row],[Työvoima-koulutus 13]]/Opv.kohd.[[#This Row],[Työvoima-koulutus 12]],0)</f>
        <v>0</v>
      </c>
      <c r="DD49" s="209">
        <f>IFERROR(Opv.kohd.[[#This Row],[Maahan-muuttajien koulutus 13]]/Opv.kohd.[[#This Row],[Maahan-muuttajien koulutus 12]],0)</f>
        <v>0</v>
      </c>
      <c r="DE49" s="209">
        <f>IFERROR(Opv.kohd.[[#This Row],[Nuorisotyöt. väh. ja osaamistarp. vast., muu kuin työvoima-koulutus 13]]/Opv.kohd.[[#This Row],[Nuorisotyöt. väh. ja osaamistarp. vast., muu kuin työvoima-koulutus 12]],0)</f>
        <v>0</v>
      </c>
      <c r="DF49" s="209">
        <f>IFERROR(Opv.kohd.[[#This Row],[Nuorisotyöt. väh. ja osaamistarp. vast., työvoima-koulutus 13]]/Opv.kohd.[[#This Row],[Nuorisotyöt. väh. ja osaamistarp. vast., työvoima-koulutus 12]],0)</f>
        <v>0</v>
      </c>
      <c r="DG49" s="209">
        <f>IFERROR(Opv.kohd.[[#This Row],[Yhteensä 13]]/Opv.kohd.[[#This Row],[Yhteensä 12]],0)</f>
        <v>0</v>
      </c>
      <c r="DH49" s="209">
        <f>IFERROR(Opv.kohd.[[#This Row],[Tavoitteelliset opiskelijavuodet yhteensä 13]]/Opv.kohd.[[#This Row],[Tavoitteelliset opiskelijavuodet yhteensä 12]],0)</f>
        <v>0</v>
      </c>
      <c r="DI49" s="207">
        <f>Opv.kohd.[[#This Row],[Järjestämisluvan mukaiset 12]]-Opv.kohd.[[#This Row],[Järjestämisluvan mukaiset 9]]</f>
        <v>-85</v>
      </c>
      <c r="DJ49" s="207">
        <f>Opv.kohd.[[#This Row],[Kohdentamat-tomat 12]]-Opv.kohd.[[#This Row],[Kohdentamat-tomat 9]]</f>
        <v>-25</v>
      </c>
      <c r="DK49" s="207">
        <f>Opv.kohd.[[#This Row],[Työvoima-koulutus 12]]-Opv.kohd.[[#This Row],[Työvoima-koulutus 9]]</f>
        <v>0</v>
      </c>
      <c r="DL49" s="207">
        <f>Opv.kohd.[[#This Row],[Maahan-muuttajien koulutus 12]]-Opv.kohd.[[#This Row],[Maahan-muuttajien koulutus 9]]</f>
        <v>0</v>
      </c>
      <c r="DM49" s="207">
        <f>Opv.kohd.[[#This Row],[Nuorisotyöt. väh. ja osaamistarp. vast., muu kuin työvoima-koulutus 12]]-Opv.kohd.[[#This Row],[Nuorisotyöt. väh. ja osaamistarp. vast., muu kuin työvoima-koulutus 9]]</f>
        <v>0</v>
      </c>
      <c r="DN49" s="207">
        <f>Opv.kohd.[[#This Row],[Nuorisotyöt. väh. ja osaamistarp. vast., työvoima-koulutus 12]]-Opv.kohd.[[#This Row],[Nuorisotyöt. väh. ja osaamistarp. vast., työvoima-koulutus 9]]</f>
        <v>0</v>
      </c>
      <c r="DO49" s="207">
        <f>Opv.kohd.[[#This Row],[Yhteensä 12]]-Opv.kohd.[[#This Row],[Yhteensä 9]]</f>
        <v>-25</v>
      </c>
      <c r="DP49" s="207">
        <f>Opv.kohd.[[#This Row],[Tavoitteelliset opiskelijavuodet yhteensä 12]]-Opv.kohd.[[#This Row],[Tavoitteelliset opiskelijavuodet yhteensä 9]]</f>
        <v>-110</v>
      </c>
      <c r="DQ49" s="209">
        <f>IFERROR(Opv.kohd.[[#This Row],[Järjestämisluvan mukaiset 15]]/Opv.kohd.[[#This Row],[Järjestämisluvan mukaiset 9]],0)</f>
        <v>-1</v>
      </c>
      <c r="DR49" s="209">
        <f t="shared" si="10"/>
        <v>0</v>
      </c>
      <c r="DS49" s="209">
        <f t="shared" si="11"/>
        <v>0</v>
      </c>
      <c r="DT49" s="209">
        <f t="shared" si="12"/>
        <v>0</v>
      </c>
      <c r="DU49" s="209">
        <f t="shared" si="13"/>
        <v>0</v>
      </c>
      <c r="DV49" s="209">
        <f t="shared" si="14"/>
        <v>0</v>
      </c>
      <c r="DW49" s="209">
        <f t="shared" si="15"/>
        <v>0</v>
      </c>
      <c r="DX49" s="209">
        <f t="shared" si="16"/>
        <v>0</v>
      </c>
    </row>
    <row r="50" spans="1:128" x14ac:dyDescent="0.25">
      <c r="A50" s="204" t="e">
        <f>IF(INDEX(#REF!,ROW(50:50)-1,1)=0,"",INDEX(#REF!,ROW(50:50)-1,1))</f>
        <v>#REF!</v>
      </c>
      <c r="B50" s="205" t="str">
        <f>IFERROR(VLOOKUP(Opv.kohd.[[#This Row],[Y-tunnus]],'0 Järjestäjätiedot'!$A:$H,2,FALSE),"")</f>
        <v/>
      </c>
      <c r="C50" s="204" t="str">
        <f>IFERROR(VLOOKUP(Opv.kohd.[[#This Row],[Y-tunnus]],'0 Järjestäjätiedot'!$A:$H,COLUMN('0 Järjestäjätiedot'!D:D),FALSE),"")</f>
        <v/>
      </c>
      <c r="D50" s="204" t="str">
        <f>IFERROR(VLOOKUP(Opv.kohd.[[#This Row],[Y-tunnus]],'0 Järjestäjätiedot'!$A:$H,COLUMN('0 Järjestäjätiedot'!H:H),FALSE),"")</f>
        <v/>
      </c>
      <c r="E50" s="204">
        <f>IFERROR(VLOOKUP(Opv.kohd.[[#This Row],[Y-tunnus]],#REF!,COLUMN(#REF!),FALSE),0)</f>
        <v>0</v>
      </c>
      <c r="F50" s="204">
        <f>IFERROR(VLOOKUP(Opv.kohd.[[#This Row],[Y-tunnus]],#REF!,COLUMN(#REF!),FALSE),0)</f>
        <v>0</v>
      </c>
      <c r="G50" s="204">
        <f>IFERROR(VLOOKUP(Opv.kohd.[[#This Row],[Y-tunnus]],#REF!,COLUMN(#REF!),FALSE),0)</f>
        <v>0</v>
      </c>
      <c r="H50" s="204">
        <f>IFERROR(VLOOKUP(Opv.kohd.[[#This Row],[Y-tunnus]],#REF!,COLUMN(#REF!),FALSE),0)</f>
        <v>0</v>
      </c>
      <c r="I50" s="204">
        <f>IFERROR(VLOOKUP(Opv.kohd.[[#This Row],[Y-tunnus]],#REF!,COLUMN(#REF!),FALSE),0)</f>
        <v>0</v>
      </c>
      <c r="J50" s="204">
        <f>IFERROR(VLOOKUP(Opv.kohd.[[#This Row],[Y-tunnus]],#REF!,COLUMN(#REF!),FALSE),0)</f>
        <v>0</v>
      </c>
      <c r="K5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50" s="204">
        <f>Opv.kohd.[[#This Row],[Järjestämisluvan mukaiset 1]]+Opv.kohd.[[#This Row],[Yhteensä  1]]</f>
        <v>0</v>
      </c>
      <c r="M50" s="204">
        <f>IFERROR(VLOOKUP(Opv.kohd.[[#This Row],[Y-tunnus]],#REF!,COLUMN(#REF!),FALSE),0)</f>
        <v>0</v>
      </c>
      <c r="N50" s="204">
        <f>IFERROR(VLOOKUP(Opv.kohd.[[#This Row],[Y-tunnus]],#REF!,COLUMN(#REF!),FALSE),0)</f>
        <v>0</v>
      </c>
      <c r="O50" s="204">
        <f>IFERROR(VLOOKUP(Opv.kohd.[[#This Row],[Y-tunnus]],#REF!,COLUMN(#REF!),FALSE)+VLOOKUP(Opv.kohd.[[#This Row],[Y-tunnus]],#REF!,COLUMN(#REF!),FALSE),0)</f>
        <v>0</v>
      </c>
      <c r="P50" s="204">
        <f>Opv.kohd.[[#This Row],[Talousarvion perusteella kohdentamattomat]]+Opv.kohd.[[#This Row],[Talousarvion perusteella työvoimakoulutus 1]]+Opv.kohd.[[#This Row],[Lisätalousarvioiden perusteella]]</f>
        <v>0</v>
      </c>
      <c r="Q50" s="204">
        <f>IFERROR(VLOOKUP(Opv.kohd.[[#This Row],[Y-tunnus]],#REF!,COLUMN(#REF!),FALSE),0)</f>
        <v>0</v>
      </c>
      <c r="R50" s="210">
        <f>IFERROR(VLOOKUP(Opv.kohd.[[#This Row],[Y-tunnus]],#REF!,COLUMN(#REF!),FALSE)-(Opv.kohd.[[#This Row],[Kohdentamaton työvoima-koulutus 2]]+Opv.kohd.[[#This Row],[Maahan-muuttajien koulutus 2]]+Opv.kohd.[[#This Row],[Lisätalousarvioiden perusteella jaetut 2]]),0)</f>
        <v>0</v>
      </c>
      <c r="S50" s="210">
        <f>IFERROR(VLOOKUP(Opv.kohd.[[#This Row],[Y-tunnus]],#REF!,COLUMN(#REF!),FALSE)+VLOOKUP(Opv.kohd.[[#This Row],[Y-tunnus]],#REF!,COLUMN(#REF!),FALSE),0)</f>
        <v>0</v>
      </c>
      <c r="T50" s="210">
        <f>IFERROR(VLOOKUP(Opv.kohd.[[#This Row],[Y-tunnus]],#REF!,COLUMN(#REF!),FALSE)+VLOOKUP(Opv.kohd.[[#This Row],[Y-tunnus]],#REF!,COLUMN(#REF!),FALSE),0)</f>
        <v>0</v>
      </c>
      <c r="U5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50" s="210">
        <f>Opv.kohd.[[#This Row],[Kohdentamat-tomat 2]]+Opv.kohd.[[#This Row],[Kohdentamaton työvoima-koulutus 2]]+Opv.kohd.[[#This Row],[Maahan-muuttajien koulutus 2]]+Opv.kohd.[[#This Row],[Lisätalousarvioiden perusteella jaetut 2]]</f>
        <v>0</v>
      </c>
      <c r="W50" s="210">
        <f>Opv.kohd.[[#This Row],[Kohdentamat-tomat 2]]-(Opv.kohd.[[#This Row],[Järjestämisluvan mukaiset 1]]+Opv.kohd.[[#This Row],[Kohdentamat-tomat 1]]+Opv.kohd.[[#This Row],[Nuorisotyöt. väh. ja osaamistarp. vast., muu kuin työvoima-koulutus 1]]+Opv.kohd.[[#This Row],[Talousarvion perusteella kohdentamattomat]])</f>
        <v>0</v>
      </c>
      <c r="X50" s="210">
        <f>Opv.kohd.[[#This Row],[Kohdentamaton työvoima-koulutus 2]]-(Opv.kohd.[[#This Row],[Työvoima-koulutus 1]]+Opv.kohd.[[#This Row],[Nuorisotyöt. väh. ja osaamistarp. vast., työvoima-koulutus 1]]+Opv.kohd.[[#This Row],[Talousarvion perusteella työvoimakoulutus 1]])</f>
        <v>0</v>
      </c>
      <c r="Y50" s="210">
        <f>Opv.kohd.[[#This Row],[Maahan-muuttajien koulutus 2]]-Opv.kohd.[[#This Row],[Maahan-muuttajien koulutus 1]]</f>
        <v>0</v>
      </c>
      <c r="Z50" s="210">
        <f>Opv.kohd.[[#This Row],[Lisätalousarvioiden perusteella jaetut 2]]-Opv.kohd.[[#This Row],[Lisätalousarvioiden perusteella]]</f>
        <v>0</v>
      </c>
      <c r="AA50" s="210">
        <f>Opv.kohd.[[#This Row],[Toteutuneet opiskelijavuodet yhteensä 2]]-Opv.kohd.[[#This Row],[Vuoden 2018 tavoitteelliset opiskelijavuodet yhteensä 1]]</f>
        <v>0</v>
      </c>
      <c r="AB50" s="207">
        <f>IFERROR(VLOOKUP(Opv.kohd.[[#This Row],[Y-tunnus]],#REF!,3,FALSE),0)</f>
        <v>0</v>
      </c>
      <c r="AC50" s="207">
        <f>IFERROR(VLOOKUP(Opv.kohd.[[#This Row],[Y-tunnus]],#REF!,4,FALSE),0)</f>
        <v>0</v>
      </c>
      <c r="AD50" s="207">
        <f>IFERROR(VLOOKUP(Opv.kohd.[[#This Row],[Y-tunnus]],#REF!,5,FALSE),0)</f>
        <v>0</v>
      </c>
      <c r="AE50" s="207">
        <f>IFERROR(VLOOKUP(Opv.kohd.[[#This Row],[Y-tunnus]],#REF!,6,FALSE),0)</f>
        <v>0</v>
      </c>
      <c r="AF50" s="207">
        <f>IFERROR(VLOOKUP(Opv.kohd.[[#This Row],[Y-tunnus]],#REF!,7,FALSE),0)</f>
        <v>0</v>
      </c>
      <c r="AG50" s="207">
        <f>IFERROR(VLOOKUP(Opv.kohd.[[#This Row],[Y-tunnus]],#REF!,8,FALSE),0)</f>
        <v>0</v>
      </c>
      <c r="AH50" s="207">
        <f>IFERROR(VLOOKUP(Opv.kohd.[[#This Row],[Y-tunnus]],#REF!,9,FALSE),0)</f>
        <v>0</v>
      </c>
      <c r="AI50" s="207">
        <f>IFERROR(VLOOKUP(Opv.kohd.[[#This Row],[Y-tunnus]],#REF!,10,FALSE),0)</f>
        <v>0</v>
      </c>
      <c r="AJ50" s="204">
        <f>Opv.kohd.[[#This Row],[Järjestämisluvan mukaiset 4]]-Opv.kohd.[[#This Row],[Järjestämisluvan mukaiset 1]]</f>
        <v>0</v>
      </c>
      <c r="AK50" s="204">
        <f>Opv.kohd.[[#This Row],[Kohdentamat-tomat 4]]-Opv.kohd.[[#This Row],[Kohdentamat-tomat 1]]</f>
        <v>0</v>
      </c>
      <c r="AL50" s="204">
        <f>Opv.kohd.[[#This Row],[Työvoima-koulutus 4]]-Opv.kohd.[[#This Row],[Työvoima-koulutus 1]]</f>
        <v>0</v>
      </c>
      <c r="AM50" s="204">
        <f>Opv.kohd.[[#This Row],[Maahan-muuttajien koulutus 4]]-Opv.kohd.[[#This Row],[Maahan-muuttajien koulutus 1]]</f>
        <v>0</v>
      </c>
      <c r="AN50" s="204">
        <f>Opv.kohd.[[#This Row],[Nuorisotyöt. väh. ja osaamistarp. vast., muu kuin työvoima-koulutus 4]]-Opv.kohd.[[#This Row],[Nuorisotyöt. väh. ja osaamistarp. vast., muu kuin työvoima-koulutus 1]]</f>
        <v>0</v>
      </c>
      <c r="AO50" s="204">
        <f>Opv.kohd.[[#This Row],[Nuorisotyöt. väh. ja osaamistarp. vast., työvoima-koulutus 4]]-Opv.kohd.[[#This Row],[Nuorisotyöt. väh. ja osaamistarp. vast., työvoima-koulutus 1]]</f>
        <v>0</v>
      </c>
      <c r="AP50" s="204">
        <f>Opv.kohd.[[#This Row],[Yhteensä 4]]-Opv.kohd.[[#This Row],[Yhteensä  1]]</f>
        <v>0</v>
      </c>
      <c r="AQ50" s="204">
        <f>Opv.kohd.[[#This Row],[Ensikertaisella suoritepäätöksellä jaetut tavoitteelliset opiskelijavuodet yhteensä 4]]-Opv.kohd.[[#This Row],[Ensikertaisella suoritepäätöksellä jaetut tavoitteelliset opiskelijavuodet yhteensä 1]]</f>
        <v>0</v>
      </c>
      <c r="AR50" s="208">
        <f>IFERROR(Opv.kohd.[[#This Row],[Järjestämisluvan mukaiset 5]]/Opv.kohd.[[#This Row],[Järjestämisluvan mukaiset 4]],0)</f>
        <v>0</v>
      </c>
      <c r="AS50" s="208">
        <f>IFERROR(Opv.kohd.[[#This Row],[Kohdentamat-tomat 5]]/Opv.kohd.[[#This Row],[Kohdentamat-tomat 4]],0)</f>
        <v>0</v>
      </c>
      <c r="AT50" s="208">
        <f>IFERROR(Opv.kohd.[[#This Row],[Työvoima-koulutus 5]]/Opv.kohd.[[#This Row],[Työvoima-koulutus 4]],0)</f>
        <v>0</v>
      </c>
      <c r="AU50" s="208">
        <f>IFERROR(Opv.kohd.[[#This Row],[Maahan-muuttajien koulutus 5]]/Opv.kohd.[[#This Row],[Maahan-muuttajien koulutus 4]],0)</f>
        <v>0</v>
      </c>
      <c r="AV50" s="208">
        <f>IFERROR(Opv.kohd.[[#This Row],[Nuorisotyöt. väh. ja osaamistarp. vast., muu kuin työvoima-koulutus 5]]/Opv.kohd.[[#This Row],[Nuorisotyöt. väh. ja osaamistarp. vast., muu kuin työvoima-koulutus 4]],0)</f>
        <v>0</v>
      </c>
      <c r="AW50" s="208">
        <f>IFERROR(Opv.kohd.[[#This Row],[Nuorisotyöt. väh. ja osaamistarp. vast., työvoima-koulutus 5]]/Opv.kohd.[[#This Row],[Nuorisotyöt. väh. ja osaamistarp. vast., työvoima-koulutus 4]],0)</f>
        <v>0</v>
      </c>
      <c r="AX50" s="208">
        <f>IFERROR(Opv.kohd.[[#This Row],[Yhteensä 5]]/Opv.kohd.[[#This Row],[Yhteensä 4]],0)</f>
        <v>0</v>
      </c>
      <c r="AY50" s="208">
        <f>IFERROR(Opv.kohd.[[#This Row],[Ensikertaisella suoritepäätöksellä jaetut tavoitteelliset opiskelijavuodet yhteensä 5]]/Opv.kohd.[[#This Row],[Ensikertaisella suoritepäätöksellä jaetut tavoitteelliset opiskelijavuodet yhteensä 4]],0)</f>
        <v>0</v>
      </c>
      <c r="AZ50" s="207">
        <f>Opv.kohd.[[#This Row],[Yhteensä 7a]]-Opv.kohd.[[#This Row],[Työvoima-koulutus 7a]]</f>
        <v>0</v>
      </c>
      <c r="BA50" s="207">
        <f>IFERROR(VLOOKUP(Opv.kohd.[[#This Row],[Y-tunnus]],#REF!,COLUMN(#REF!),FALSE),0)</f>
        <v>0</v>
      </c>
      <c r="BB50" s="207">
        <f>IFERROR(VLOOKUP(Opv.kohd.[[#This Row],[Y-tunnus]],#REF!,COLUMN(#REF!),FALSE),0)</f>
        <v>0</v>
      </c>
      <c r="BC50" s="207">
        <f>Opv.kohd.[[#This Row],[Muu kuin työvoima-koulutus 7c]]-Opv.kohd.[[#This Row],[Muu kuin työvoima-koulutus 7a]]</f>
        <v>0</v>
      </c>
      <c r="BD50" s="207">
        <f>Opv.kohd.[[#This Row],[Työvoima-koulutus 7c]]-Opv.kohd.[[#This Row],[Työvoima-koulutus 7a]]</f>
        <v>0</v>
      </c>
      <c r="BE50" s="207">
        <f>Opv.kohd.[[#This Row],[Yhteensä 7c]]-Opv.kohd.[[#This Row],[Yhteensä 7a]]</f>
        <v>0</v>
      </c>
      <c r="BF50" s="207">
        <f>Opv.kohd.[[#This Row],[Yhteensä 7c]]-Opv.kohd.[[#This Row],[Työvoima-koulutus 7c]]</f>
        <v>0</v>
      </c>
      <c r="BG50" s="207">
        <f>IFERROR(VLOOKUP(Opv.kohd.[[#This Row],[Y-tunnus]],#REF!,COLUMN(#REF!),FALSE),0)</f>
        <v>0</v>
      </c>
      <c r="BH50" s="207">
        <f>IFERROR(VLOOKUP(Opv.kohd.[[#This Row],[Y-tunnus]],#REF!,COLUMN(#REF!),FALSE),0)</f>
        <v>0</v>
      </c>
      <c r="BI50" s="207">
        <f>IFERROR(VLOOKUP(Opv.kohd.[[#This Row],[Y-tunnus]],#REF!,COLUMN(#REF!),FALSE),0)</f>
        <v>0</v>
      </c>
      <c r="BJ50" s="207">
        <f>IFERROR(VLOOKUP(Opv.kohd.[[#This Row],[Y-tunnus]],#REF!,COLUMN(#REF!),FALSE),0)</f>
        <v>0</v>
      </c>
      <c r="BK50" s="207">
        <f>Opv.kohd.[[#This Row],[Muu kuin työvoima-koulutus 7d]]+Opv.kohd.[[#This Row],[Työvoima-koulutus 7d]]</f>
        <v>0</v>
      </c>
      <c r="BL50" s="207">
        <f>Opv.kohd.[[#This Row],[Muu kuin työvoima-koulutus 7c]]-Opv.kohd.[[#This Row],[Muu kuin työvoima-koulutus 7d]]</f>
        <v>0</v>
      </c>
      <c r="BM50" s="207">
        <f>Opv.kohd.[[#This Row],[Työvoima-koulutus 7c]]-Opv.kohd.[[#This Row],[Työvoima-koulutus 7d]]</f>
        <v>0</v>
      </c>
      <c r="BN50" s="207">
        <f>Opv.kohd.[[#This Row],[Yhteensä 7c]]-Opv.kohd.[[#This Row],[Yhteensä 7d]]</f>
        <v>0</v>
      </c>
      <c r="BO50" s="207">
        <f>Opv.kohd.[[#This Row],[Muu kuin työvoima-koulutus 7e]]-(Opv.kohd.[[#This Row],[Järjestämisluvan mukaiset 4]]+Opv.kohd.[[#This Row],[Kohdentamat-tomat 4]]+Opv.kohd.[[#This Row],[Maahan-muuttajien koulutus 4]]+Opv.kohd.[[#This Row],[Nuorisotyöt. väh. ja osaamistarp. vast., muu kuin työvoima-koulutus 4]])</f>
        <v>0</v>
      </c>
      <c r="BP50" s="207">
        <f>Opv.kohd.[[#This Row],[Työvoima-koulutus 7e]]-(Opv.kohd.[[#This Row],[Työvoima-koulutus 4]]+Opv.kohd.[[#This Row],[Nuorisotyöt. väh. ja osaamistarp. vast., työvoima-koulutus 4]])</f>
        <v>0</v>
      </c>
      <c r="BQ50" s="207">
        <f>Opv.kohd.[[#This Row],[Yhteensä 7e]]-Opv.kohd.[[#This Row],[Ensikertaisella suoritepäätöksellä jaetut tavoitteelliset opiskelijavuodet yhteensä 4]]</f>
        <v>0</v>
      </c>
      <c r="BR50" s="263">
        <v>63</v>
      </c>
      <c r="BS50" s="263">
        <v>0</v>
      </c>
      <c r="BT50" s="263">
        <v>0</v>
      </c>
      <c r="BU50" s="263">
        <v>0</v>
      </c>
      <c r="BV50" s="263">
        <v>0</v>
      </c>
      <c r="BW50" s="263">
        <v>0</v>
      </c>
      <c r="BX50" s="263">
        <v>0</v>
      </c>
      <c r="BY50" s="263">
        <v>63</v>
      </c>
      <c r="BZ50" s="207">
        <f t="shared" si="2"/>
        <v>63</v>
      </c>
      <c r="CA50" s="207">
        <f t="shared" si="3"/>
        <v>0</v>
      </c>
      <c r="CB50" s="207">
        <f t="shared" si="4"/>
        <v>0</v>
      </c>
      <c r="CC50" s="207">
        <f t="shared" si="5"/>
        <v>0</v>
      </c>
      <c r="CD50" s="207">
        <f t="shared" si="6"/>
        <v>0</v>
      </c>
      <c r="CE50" s="207">
        <f t="shared" si="7"/>
        <v>0</v>
      </c>
      <c r="CF50" s="207">
        <f t="shared" si="8"/>
        <v>0</v>
      </c>
      <c r="CG50" s="207">
        <f t="shared" si="9"/>
        <v>63</v>
      </c>
      <c r="CH50" s="207">
        <f>Opv.kohd.[[#This Row],[Tavoitteelliset opiskelijavuodet yhteensä 9]]-Opv.kohd.[[#This Row],[Työvoima-koulutus 9]]-Opv.kohd.[[#This Row],[Nuorisotyöt. väh. ja osaamistarp. vast., työvoima-koulutus 9]]-Opv.kohd.[[#This Row],[Muu kuin työvoima-koulutus 7e]]</f>
        <v>63</v>
      </c>
      <c r="CI50" s="207">
        <f>(Opv.kohd.[[#This Row],[Työvoima-koulutus 9]]+Opv.kohd.[[#This Row],[Nuorisotyöt. väh. ja osaamistarp. vast., työvoima-koulutus 9]])-Opv.kohd.[[#This Row],[Työvoima-koulutus 7e]]</f>
        <v>0</v>
      </c>
      <c r="CJ50" s="207">
        <f>Opv.kohd.[[#This Row],[Tavoitteelliset opiskelijavuodet yhteensä 9]]-Opv.kohd.[[#This Row],[Yhteensä 7e]]</f>
        <v>63</v>
      </c>
      <c r="CK50" s="207">
        <f>Opv.kohd.[[#This Row],[Järjestämisluvan mukaiset 4]]+Opv.kohd.[[#This Row],[Järjestämisluvan mukaiset 13]]</f>
        <v>0</v>
      </c>
      <c r="CL50" s="207">
        <f>Opv.kohd.[[#This Row],[Kohdentamat-tomat 4]]+Opv.kohd.[[#This Row],[Kohdentamat-tomat 13]]</f>
        <v>0</v>
      </c>
      <c r="CM50" s="207">
        <f>Opv.kohd.[[#This Row],[Työvoima-koulutus 4]]+Opv.kohd.[[#This Row],[Työvoima-koulutus 13]]</f>
        <v>0</v>
      </c>
      <c r="CN50" s="207">
        <f>Opv.kohd.[[#This Row],[Maahan-muuttajien koulutus 4]]+Opv.kohd.[[#This Row],[Maahan-muuttajien koulutus 13]]</f>
        <v>0</v>
      </c>
      <c r="CO50" s="207">
        <f>Opv.kohd.[[#This Row],[Nuorisotyöt. väh. ja osaamistarp. vast., muu kuin työvoima-koulutus 4]]+Opv.kohd.[[#This Row],[Nuorisotyöt. väh. ja osaamistarp. vast., muu kuin työvoima-koulutus 13]]</f>
        <v>0</v>
      </c>
      <c r="CP50" s="207">
        <f>Opv.kohd.[[#This Row],[Nuorisotyöt. väh. ja osaamistarp. vast., työvoima-koulutus 4]]+Opv.kohd.[[#This Row],[Nuorisotyöt. väh. ja osaamistarp. vast., työvoima-koulutus 13]]</f>
        <v>0</v>
      </c>
      <c r="CQ50" s="207">
        <f>Opv.kohd.[[#This Row],[Yhteensä 4]]+Opv.kohd.[[#This Row],[Yhteensä 13]]</f>
        <v>0</v>
      </c>
      <c r="CR50" s="207">
        <f>Opv.kohd.[[#This Row],[Ensikertaisella suoritepäätöksellä jaetut tavoitteelliset opiskelijavuodet yhteensä 4]]+Opv.kohd.[[#This Row],[Tavoitteelliset opiskelijavuodet yhteensä 13]]</f>
        <v>0</v>
      </c>
      <c r="CS50" s="120">
        <v>0</v>
      </c>
      <c r="CT50" s="120">
        <v>0</v>
      </c>
      <c r="CU50" s="120">
        <v>0</v>
      </c>
      <c r="CV50" s="120">
        <v>0</v>
      </c>
      <c r="CW50" s="120">
        <v>0</v>
      </c>
      <c r="CX50" s="120">
        <v>0</v>
      </c>
      <c r="CY50" s="120">
        <v>0</v>
      </c>
      <c r="CZ50" s="120">
        <v>0</v>
      </c>
      <c r="DA50" s="209">
        <f>IFERROR(Opv.kohd.[[#This Row],[Järjestämisluvan mukaiset 13]]/Opv.kohd.[[#This Row],[Järjestämisluvan mukaiset 12]],0)</f>
        <v>0</v>
      </c>
      <c r="DB50" s="209">
        <f>IFERROR(Opv.kohd.[[#This Row],[Kohdentamat-tomat 13]]/Opv.kohd.[[#This Row],[Kohdentamat-tomat 12]],0)</f>
        <v>0</v>
      </c>
      <c r="DC50" s="209">
        <f>IFERROR(Opv.kohd.[[#This Row],[Työvoima-koulutus 13]]/Opv.kohd.[[#This Row],[Työvoima-koulutus 12]],0)</f>
        <v>0</v>
      </c>
      <c r="DD50" s="209">
        <f>IFERROR(Opv.kohd.[[#This Row],[Maahan-muuttajien koulutus 13]]/Opv.kohd.[[#This Row],[Maahan-muuttajien koulutus 12]],0)</f>
        <v>0</v>
      </c>
      <c r="DE50" s="209">
        <f>IFERROR(Opv.kohd.[[#This Row],[Nuorisotyöt. väh. ja osaamistarp. vast., muu kuin työvoima-koulutus 13]]/Opv.kohd.[[#This Row],[Nuorisotyöt. väh. ja osaamistarp. vast., muu kuin työvoima-koulutus 12]],0)</f>
        <v>0</v>
      </c>
      <c r="DF50" s="209">
        <f>IFERROR(Opv.kohd.[[#This Row],[Nuorisotyöt. väh. ja osaamistarp. vast., työvoima-koulutus 13]]/Opv.kohd.[[#This Row],[Nuorisotyöt. väh. ja osaamistarp. vast., työvoima-koulutus 12]],0)</f>
        <v>0</v>
      </c>
      <c r="DG50" s="209">
        <f>IFERROR(Opv.kohd.[[#This Row],[Yhteensä 13]]/Opv.kohd.[[#This Row],[Yhteensä 12]],0)</f>
        <v>0</v>
      </c>
      <c r="DH50" s="209">
        <f>IFERROR(Opv.kohd.[[#This Row],[Tavoitteelliset opiskelijavuodet yhteensä 13]]/Opv.kohd.[[#This Row],[Tavoitteelliset opiskelijavuodet yhteensä 12]],0)</f>
        <v>0</v>
      </c>
      <c r="DI50" s="207">
        <f>Opv.kohd.[[#This Row],[Järjestämisluvan mukaiset 12]]-Opv.kohd.[[#This Row],[Järjestämisluvan mukaiset 9]]</f>
        <v>-63</v>
      </c>
      <c r="DJ50" s="207">
        <f>Opv.kohd.[[#This Row],[Kohdentamat-tomat 12]]-Opv.kohd.[[#This Row],[Kohdentamat-tomat 9]]</f>
        <v>0</v>
      </c>
      <c r="DK50" s="207">
        <f>Opv.kohd.[[#This Row],[Työvoima-koulutus 12]]-Opv.kohd.[[#This Row],[Työvoima-koulutus 9]]</f>
        <v>0</v>
      </c>
      <c r="DL50" s="207">
        <f>Opv.kohd.[[#This Row],[Maahan-muuttajien koulutus 12]]-Opv.kohd.[[#This Row],[Maahan-muuttajien koulutus 9]]</f>
        <v>0</v>
      </c>
      <c r="DM50" s="207">
        <f>Opv.kohd.[[#This Row],[Nuorisotyöt. väh. ja osaamistarp. vast., muu kuin työvoima-koulutus 12]]-Opv.kohd.[[#This Row],[Nuorisotyöt. väh. ja osaamistarp. vast., muu kuin työvoima-koulutus 9]]</f>
        <v>0</v>
      </c>
      <c r="DN50" s="207">
        <f>Opv.kohd.[[#This Row],[Nuorisotyöt. väh. ja osaamistarp. vast., työvoima-koulutus 12]]-Opv.kohd.[[#This Row],[Nuorisotyöt. väh. ja osaamistarp. vast., työvoima-koulutus 9]]</f>
        <v>0</v>
      </c>
      <c r="DO50" s="207">
        <f>Opv.kohd.[[#This Row],[Yhteensä 12]]-Opv.kohd.[[#This Row],[Yhteensä 9]]</f>
        <v>0</v>
      </c>
      <c r="DP50" s="207">
        <f>Opv.kohd.[[#This Row],[Tavoitteelliset opiskelijavuodet yhteensä 12]]-Opv.kohd.[[#This Row],[Tavoitteelliset opiskelijavuodet yhteensä 9]]</f>
        <v>-63</v>
      </c>
      <c r="DQ50" s="209">
        <f>IFERROR(Opv.kohd.[[#This Row],[Järjestämisluvan mukaiset 15]]/Opv.kohd.[[#This Row],[Järjestämisluvan mukaiset 9]],0)</f>
        <v>-1</v>
      </c>
      <c r="DR50" s="209">
        <f t="shared" si="10"/>
        <v>0</v>
      </c>
      <c r="DS50" s="209">
        <f t="shared" si="11"/>
        <v>0</v>
      </c>
      <c r="DT50" s="209">
        <f t="shared" si="12"/>
        <v>0</v>
      </c>
      <c r="DU50" s="209">
        <f t="shared" si="13"/>
        <v>0</v>
      </c>
      <c r="DV50" s="209">
        <f t="shared" si="14"/>
        <v>0</v>
      </c>
      <c r="DW50" s="209">
        <f t="shared" si="15"/>
        <v>0</v>
      </c>
      <c r="DX50" s="209">
        <f t="shared" si="16"/>
        <v>0</v>
      </c>
    </row>
    <row r="51" spans="1:128" x14ac:dyDescent="0.25">
      <c r="A51" s="204" t="e">
        <f>IF(INDEX(#REF!,ROW(51:51)-1,1)=0,"",INDEX(#REF!,ROW(51:51)-1,1))</f>
        <v>#REF!</v>
      </c>
      <c r="B51" s="205" t="str">
        <f>IFERROR(VLOOKUP(Opv.kohd.[[#This Row],[Y-tunnus]],'0 Järjestäjätiedot'!$A:$H,2,FALSE),"")</f>
        <v/>
      </c>
      <c r="C51" s="204" t="str">
        <f>IFERROR(VLOOKUP(Opv.kohd.[[#This Row],[Y-tunnus]],'0 Järjestäjätiedot'!$A:$H,COLUMN('0 Järjestäjätiedot'!D:D),FALSE),"")</f>
        <v/>
      </c>
      <c r="D51" s="204" t="str">
        <f>IFERROR(VLOOKUP(Opv.kohd.[[#This Row],[Y-tunnus]],'0 Järjestäjätiedot'!$A:$H,COLUMN('0 Järjestäjätiedot'!H:H),FALSE),"")</f>
        <v/>
      </c>
      <c r="E51" s="204">
        <f>IFERROR(VLOOKUP(Opv.kohd.[[#This Row],[Y-tunnus]],#REF!,COLUMN(#REF!),FALSE),0)</f>
        <v>0</v>
      </c>
      <c r="F51" s="204">
        <f>IFERROR(VLOOKUP(Opv.kohd.[[#This Row],[Y-tunnus]],#REF!,COLUMN(#REF!),FALSE),0)</f>
        <v>0</v>
      </c>
      <c r="G51" s="204">
        <f>IFERROR(VLOOKUP(Opv.kohd.[[#This Row],[Y-tunnus]],#REF!,COLUMN(#REF!),FALSE),0)</f>
        <v>0</v>
      </c>
      <c r="H51" s="204">
        <f>IFERROR(VLOOKUP(Opv.kohd.[[#This Row],[Y-tunnus]],#REF!,COLUMN(#REF!),FALSE),0)</f>
        <v>0</v>
      </c>
      <c r="I51" s="204">
        <f>IFERROR(VLOOKUP(Opv.kohd.[[#This Row],[Y-tunnus]],#REF!,COLUMN(#REF!),FALSE),0)</f>
        <v>0</v>
      </c>
      <c r="J51" s="204">
        <f>IFERROR(VLOOKUP(Opv.kohd.[[#This Row],[Y-tunnus]],#REF!,COLUMN(#REF!),FALSE),0)</f>
        <v>0</v>
      </c>
      <c r="K5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51" s="204">
        <f>Opv.kohd.[[#This Row],[Järjestämisluvan mukaiset 1]]+Opv.kohd.[[#This Row],[Yhteensä  1]]</f>
        <v>0</v>
      </c>
      <c r="M51" s="204">
        <f>IFERROR(VLOOKUP(Opv.kohd.[[#This Row],[Y-tunnus]],#REF!,COLUMN(#REF!),FALSE),0)</f>
        <v>0</v>
      </c>
      <c r="N51" s="204">
        <f>IFERROR(VLOOKUP(Opv.kohd.[[#This Row],[Y-tunnus]],#REF!,COLUMN(#REF!),FALSE),0)</f>
        <v>0</v>
      </c>
      <c r="O51" s="204">
        <f>IFERROR(VLOOKUP(Opv.kohd.[[#This Row],[Y-tunnus]],#REF!,COLUMN(#REF!),FALSE)+VLOOKUP(Opv.kohd.[[#This Row],[Y-tunnus]],#REF!,COLUMN(#REF!),FALSE),0)</f>
        <v>0</v>
      </c>
      <c r="P51" s="204">
        <f>Opv.kohd.[[#This Row],[Talousarvion perusteella kohdentamattomat]]+Opv.kohd.[[#This Row],[Talousarvion perusteella työvoimakoulutus 1]]+Opv.kohd.[[#This Row],[Lisätalousarvioiden perusteella]]</f>
        <v>0</v>
      </c>
      <c r="Q51" s="204">
        <f>IFERROR(VLOOKUP(Opv.kohd.[[#This Row],[Y-tunnus]],#REF!,COLUMN(#REF!),FALSE),0)</f>
        <v>0</v>
      </c>
      <c r="R51" s="210">
        <f>IFERROR(VLOOKUP(Opv.kohd.[[#This Row],[Y-tunnus]],#REF!,COLUMN(#REF!),FALSE)-(Opv.kohd.[[#This Row],[Kohdentamaton työvoima-koulutus 2]]+Opv.kohd.[[#This Row],[Maahan-muuttajien koulutus 2]]+Opv.kohd.[[#This Row],[Lisätalousarvioiden perusteella jaetut 2]]),0)</f>
        <v>0</v>
      </c>
      <c r="S51" s="210">
        <f>IFERROR(VLOOKUP(Opv.kohd.[[#This Row],[Y-tunnus]],#REF!,COLUMN(#REF!),FALSE)+VLOOKUP(Opv.kohd.[[#This Row],[Y-tunnus]],#REF!,COLUMN(#REF!),FALSE),0)</f>
        <v>0</v>
      </c>
      <c r="T51" s="210">
        <f>IFERROR(VLOOKUP(Opv.kohd.[[#This Row],[Y-tunnus]],#REF!,COLUMN(#REF!),FALSE)+VLOOKUP(Opv.kohd.[[#This Row],[Y-tunnus]],#REF!,COLUMN(#REF!),FALSE),0)</f>
        <v>0</v>
      </c>
      <c r="U5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51" s="210">
        <f>Opv.kohd.[[#This Row],[Kohdentamat-tomat 2]]+Opv.kohd.[[#This Row],[Kohdentamaton työvoima-koulutus 2]]+Opv.kohd.[[#This Row],[Maahan-muuttajien koulutus 2]]+Opv.kohd.[[#This Row],[Lisätalousarvioiden perusteella jaetut 2]]</f>
        <v>0</v>
      </c>
      <c r="W51" s="210">
        <f>Opv.kohd.[[#This Row],[Kohdentamat-tomat 2]]-(Opv.kohd.[[#This Row],[Järjestämisluvan mukaiset 1]]+Opv.kohd.[[#This Row],[Kohdentamat-tomat 1]]+Opv.kohd.[[#This Row],[Nuorisotyöt. väh. ja osaamistarp. vast., muu kuin työvoima-koulutus 1]]+Opv.kohd.[[#This Row],[Talousarvion perusteella kohdentamattomat]])</f>
        <v>0</v>
      </c>
      <c r="X51" s="210">
        <f>Opv.kohd.[[#This Row],[Kohdentamaton työvoima-koulutus 2]]-(Opv.kohd.[[#This Row],[Työvoima-koulutus 1]]+Opv.kohd.[[#This Row],[Nuorisotyöt. väh. ja osaamistarp. vast., työvoima-koulutus 1]]+Opv.kohd.[[#This Row],[Talousarvion perusteella työvoimakoulutus 1]])</f>
        <v>0</v>
      </c>
      <c r="Y51" s="210">
        <f>Opv.kohd.[[#This Row],[Maahan-muuttajien koulutus 2]]-Opv.kohd.[[#This Row],[Maahan-muuttajien koulutus 1]]</f>
        <v>0</v>
      </c>
      <c r="Z51" s="210">
        <f>Opv.kohd.[[#This Row],[Lisätalousarvioiden perusteella jaetut 2]]-Opv.kohd.[[#This Row],[Lisätalousarvioiden perusteella]]</f>
        <v>0</v>
      </c>
      <c r="AA51" s="210">
        <f>Opv.kohd.[[#This Row],[Toteutuneet opiskelijavuodet yhteensä 2]]-Opv.kohd.[[#This Row],[Vuoden 2018 tavoitteelliset opiskelijavuodet yhteensä 1]]</f>
        <v>0</v>
      </c>
      <c r="AB51" s="207">
        <f>IFERROR(VLOOKUP(Opv.kohd.[[#This Row],[Y-tunnus]],#REF!,3,FALSE),0)</f>
        <v>0</v>
      </c>
      <c r="AC51" s="207">
        <f>IFERROR(VLOOKUP(Opv.kohd.[[#This Row],[Y-tunnus]],#REF!,4,FALSE),0)</f>
        <v>0</v>
      </c>
      <c r="AD51" s="207">
        <f>IFERROR(VLOOKUP(Opv.kohd.[[#This Row],[Y-tunnus]],#REF!,5,FALSE),0)</f>
        <v>0</v>
      </c>
      <c r="AE51" s="207">
        <f>IFERROR(VLOOKUP(Opv.kohd.[[#This Row],[Y-tunnus]],#REF!,6,FALSE),0)</f>
        <v>0</v>
      </c>
      <c r="AF51" s="207">
        <f>IFERROR(VLOOKUP(Opv.kohd.[[#This Row],[Y-tunnus]],#REF!,7,FALSE),0)</f>
        <v>0</v>
      </c>
      <c r="AG51" s="207">
        <f>IFERROR(VLOOKUP(Opv.kohd.[[#This Row],[Y-tunnus]],#REF!,8,FALSE),0)</f>
        <v>0</v>
      </c>
      <c r="AH51" s="207">
        <f>IFERROR(VLOOKUP(Opv.kohd.[[#This Row],[Y-tunnus]],#REF!,9,FALSE),0)</f>
        <v>0</v>
      </c>
      <c r="AI51" s="207">
        <f>IFERROR(VLOOKUP(Opv.kohd.[[#This Row],[Y-tunnus]],#REF!,10,FALSE),0)</f>
        <v>0</v>
      </c>
      <c r="AJ51" s="204">
        <f>Opv.kohd.[[#This Row],[Järjestämisluvan mukaiset 4]]-Opv.kohd.[[#This Row],[Järjestämisluvan mukaiset 1]]</f>
        <v>0</v>
      </c>
      <c r="AK51" s="204">
        <f>Opv.kohd.[[#This Row],[Kohdentamat-tomat 4]]-Opv.kohd.[[#This Row],[Kohdentamat-tomat 1]]</f>
        <v>0</v>
      </c>
      <c r="AL51" s="204">
        <f>Opv.kohd.[[#This Row],[Työvoima-koulutus 4]]-Opv.kohd.[[#This Row],[Työvoima-koulutus 1]]</f>
        <v>0</v>
      </c>
      <c r="AM51" s="204">
        <f>Opv.kohd.[[#This Row],[Maahan-muuttajien koulutus 4]]-Opv.kohd.[[#This Row],[Maahan-muuttajien koulutus 1]]</f>
        <v>0</v>
      </c>
      <c r="AN51" s="204">
        <f>Opv.kohd.[[#This Row],[Nuorisotyöt. väh. ja osaamistarp. vast., muu kuin työvoima-koulutus 4]]-Opv.kohd.[[#This Row],[Nuorisotyöt. väh. ja osaamistarp. vast., muu kuin työvoima-koulutus 1]]</f>
        <v>0</v>
      </c>
      <c r="AO51" s="204">
        <f>Opv.kohd.[[#This Row],[Nuorisotyöt. väh. ja osaamistarp. vast., työvoima-koulutus 4]]-Opv.kohd.[[#This Row],[Nuorisotyöt. väh. ja osaamistarp. vast., työvoima-koulutus 1]]</f>
        <v>0</v>
      </c>
      <c r="AP51" s="204">
        <f>Opv.kohd.[[#This Row],[Yhteensä 4]]-Opv.kohd.[[#This Row],[Yhteensä  1]]</f>
        <v>0</v>
      </c>
      <c r="AQ51" s="204">
        <f>Opv.kohd.[[#This Row],[Ensikertaisella suoritepäätöksellä jaetut tavoitteelliset opiskelijavuodet yhteensä 4]]-Opv.kohd.[[#This Row],[Ensikertaisella suoritepäätöksellä jaetut tavoitteelliset opiskelijavuodet yhteensä 1]]</f>
        <v>0</v>
      </c>
      <c r="AR51" s="208">
        <f>IFERROR(Opv.kohd.[[#This Row],[Järjestämisluvan mukaiset 5]]/Opv.kohd.[[#This Row],[Järjestämisluvan mukaiset 4]],0)</f>
        <v>0</v>
      </c>
      <c r="AS51" s="208">
        <f>IFERROR(Opv.kohd.[[#This Row],[Kohdentamat-tomat 5]]/Opv.kohd.[[#This Row],[Kohdentamat-tomat 4]],0)</f>
        <v>0</v>
      </c>
      <c r="AT51" s="208">
        <f>IFERROR(Opv.kohd.[[#This Row],[Työvoima-koulutus 5]]/Opv.kohd.[[#This Row],[Työvoima-koulutus 4]],0)</f>
        <v>0</v>
      </c>
      <c r="AU51" s="208">
        <f>IFERROR(Opv.kohd.[[#This Row],[Maahan-muuttajien koulutus 5]]/Opv.kohd.[[#This Row],[Maahan-muuttajien koulutus 4]],0)</f>
        <v>0</v>
      </c>
      <c r="AV51" s="208">
        <f>IFERROR(Opv.kohd.[[#This Row],[Nuorisotyöt. väh. ja osaamistarp. vast., muu kuin työvoima-koulutus 5]]/Opv.kohd.[[#This Row],[Nuorisotyöt. väh. ja osaamistarp. vast., muu kuin työvoima-koulutus 4]],0)</f>
        <v>0</v>
      </c>
      <c r="AW51" s="208">
        <f>IFERROR(Opv.kohd.[[#This Row],[Nuorisotyöt. väh. ja osaamistarp. vast., työvoima-koulutus 5]]/Opv.kohd.[[#This Row],[Nuorisotyöt. väh. ja osaamistarp. vast., työvoima-koulutus 4]],0)</f>
        <v>0</v>
      </c>
      <c r="AX51" s="208">
        <f>IFERROR(Opv.kohd.[[#This Row],[Yhteensä 5]]/Opv.kohd.[[#This Row],[Yhteensä 4]],0)</f>
        <v>0</v>
      </c>
      <c r="AY51" s="208">
        <f>IFERROR(Opv.kohd.[[#This Row],[Ensikertaisella suoritepäätöksellä jaetut tavoitteelliset opiskelijavuodet yhteensä 5]]/Opv.kohd.[[#This Row],[Ensikertaisella suoritepäätöksellä jaetut tavoitteelliset opiskelijavuodet yhteensä 4]],0)</f>
        <v>0</v>
      </c>
      <c r="AZ51" s="207">
        <f>Opv.kohd.[[#This Row],[Yhteensä 7a]]-Opv.kohd.[[#This Row],[Työvoima-koulutus 7a]]</f>
        <v>0</v>
      </c>
      <c r="BA51" s="207">
        <f>IFERROR(VLOOKUP(Opv.kohd.[[#This Row],[Y-tunnus]],#REF!,COLUMN(#REF!),FALSE),0)</f>
        <v>0</v>
      </c>
      <c r="BB51" s="207">
        <f>IFERROR(VLOOKUP(Opv.kohd.[[#This Row],[Y-tunnus]],#REF!,COLUMN(#REF!),FALSE),0)</f>
        <v>0</v>
      </c>
      <c r="BC51" s="207">
        <f>Opv.kohd.[[#This Row],[Muu kuin työvoima-koulutus 7c]]-Opv.kohd.[[#This Row],[Muu kuin työvoima-koulutus 7a]]</f>
        <v>0</v>
      </c>
      <c r="BD51" s="207">
        <f>Opv.kohd.[[#This Row],[Työvoima-koulutus 7c]]-Opv.kohd.[[#This Row],[Työvoima-koulutus 7a]]</f>
        <v>0</v>
      </c>
      <c r="BE51" s="207">
        <f>Opv.kohd.[[#This Row],[Yhteensä 7c]]-Opv.kohd.[[#This Row],[Yhteensä 7a]]</f>
        <v>0</v>
      </c>
      <c r="BF51" s="207">
        <f>Opv.kohd.[[#This Row],[Yhteensä 7c]]-Opv.kohd.[[#This Row],[Työvoima-koulutus 7c]]</f>
        <v>0</v>
      </c>
      <c r="BG51" s="207">
        <f>IFERROR(VLOOKUP(Opv.kohd.[[#This Row],[Y-tunnus]],#REF!,COLUMN(#REF!),FALSE),0)</f>
        <v>0</v>
      </c>
      <c r="BH51" s="207">
        <f>IFERROR(VLOOKUP(Opv.kohd.[[#This Row],[Y-tunnus]],#REF!,COLUMN(#REF!),FALSE),0)</f>
        <v>0</v>
      </c>
      <c r="BI51" s="207">
        <f>IFERROR(VLOOKUP(Opv.kohd.[[#This Row],[Y-tunnus]],#REF!,COLUMN(#REF!),FALSE),0)</f>
        <v>0</v>
      </c>
      <c r="BJ51" s="207">
        <f>IFERROR(VLOOKUP(Opv.kohd.[[#This Row],[Y-tunnus]],#REF!,COLUMN(#REF!),FALSE),0)</f>
        <v>0</v>
      </c>
      <c r="BK51" s="207">
        <f>Opv.kohd.[[#This Row],[Muu kuin työvoima-koulutus 7d]]+Opv.kohd.[[#This Row],[Työvoima-koulutus 7d]]</f>
        <v>0</v>
      </c>
      <c r="BL51" s="207">
        <f>Opv.kohd.[[#This Row],[Muu kuin työvoima-koulutus 7c]]-Opv.kohd.[[#This Row],[Muu kuin työvoima-koulutus 7d]]</f>
        <v>0</v>
      </c>
      <c r="BM51" s="207">
        <f>Opv.kohd.[[#This Row],[Työvoima-koulutus 7c]]-Opv.kohd.[[#This Row],[Työvoima-koulutus 7d]]</f>
        <v>0</v>
      </c>
      <c r="BN51" s="207">
        <f>Opv.kohd.[[#This Row],[Yhteensä 7c]]-Opv.kohd.[[#This Row],[Yhteensä 7d]]</f>
        <v>0</v>
      </c>
      <c r="BO51" s="207">
        <f>Opv.kohd.[[#This Row],[Muu kuin työvoima-koulutus 7e]]-(Opv.kohd.[[#This Row],[Järjestämisluvan mukaiset 4]]+Opv.kohd.[[#This Row],[Kohdentamat-tomat 4]]+Opv.kohd.[[#This Row],[Maahan-muuttajien koulutus 4]]+Opv.kohd.[[#This Row],[Nuorisotyöt. väh. ja osaamistarp. vast., muu kuin työvoima-koulutus 4]])</f>
        <v>0</v>
      </c>
      <c r="BP51" s="207">
        <f>Opv.kohd.[[#This Row],[Työvoima-koulutus 7e]]-(Opv.kohd.[[#This Row],[Työvoima-koulutus 4]]+Opv.kohd.[[#This Row],[Nuorisotyöt. väh. ja osaamistarp. vast., työvoima-koulutus 4]])</f>
        <v>0</v>
      </c>
      <c r="BQ51" s="207">
        <f>Opv.kohd.[[#This Row],[Yhteensä 7e]]-Opv.kohd.[[#This Row],[Ensikertaisella suoritepäätöksellä jaetut tavoitteelliset opiskelijavuodet yhteensä 4]]</f>
        <v>0</v>
      </c>
      <c r="BR51" s="263">
        <v>23</v>
      </c>
      <c r="BS51" s="263">
        <v>3</v>
      </c>
      <c r="BT51" s="263">
        <v>0</v>
      </c>
      <c r="BU51" s="263">
        <v>0</v>
      </c>
      <c r="BV51" s="263">
        <v>0</v>
      </c>
      <c r="BW51" s="263">
        <v>0</v>
      </c>
      <c r="BX51" s="263">
        <v>3</v>
      </c>
      <c r="BY51" s="263">
        <v>26</v>
      </c>
      <c r="BZ51" s="207">
        <f t="shared" si="2"/>
        <v>23</v>
      </c>
      <c r="CA51" s="207">
        <f t="shared" si="3"/>
        <v>3</v>
      </c>
      <c r="CB51" s="207">
        <f t="shared" si="4"/>
        <v>0</v>
      </c>
      <c r="CC51" s="207">
        <f t="shared" si="5"/>
        <v>0</v>
      </c>
      <c r="CD51" s="207">
        <f t="shared" si="6"/>
        <v>0</v>
      </c>
      <c r="CE51" s="207">
        <f t="shared" si="7"/>
        <v>0</v>
      </c>
      <c r="CF51" s="207">
        <f t="shared" si="8"/>
        <v>3</v>
      </c>
      <c r="CG51" s="207">
        <f t="shared" si="9"/>
        <v>26</v>
      </c>
      <c r="CH51" s="207">
        <f>Opv.kohd.[[#This Row],[Tavoitteelliset opiskelijavuodet yhteensä 9]]-Opv.kohd.[[#This Row],[Työvoima-koulutus 9]]-Opv.kohd.[[#This Row],[Nuorisotyöt. väh. ja osaamistarp. vast., työvoima-koulutus 9]]-Opv.kohd.[[#This Row],[Muu kuin työvoima-koulutus 7e]]</f>
        <v>26</v>
      </c>
      <c r="CI51" s="207">
        <f>(Opv.kohd.[[#This Row],[Työvoima-koulutus 9]]+Opv.kohd.[[#This Row],[Nuorisotyöt. väh. ja osaamistarp. vast., työvoima-koulutus 9]])-Opv.kohd.[[#This Row],[Työvoima-koulutus 7e]]</f>
        <v>0</v>
      </c>
      <c r="CJ51" s="207">
        <f>Opv.kohd.[[#This Row],[Tavoitteelliset opiskelijavuodet yhteensä 9]]-Opv.kohd.[[#This Row],[Yhteensä 7e]]</f>
        <v>26</v>
      </c>
      <c r="CK51" s="207">
        <f>Opv.kohd.[[#This Row],[Järjestämisluvan mukaiset 4]]+Opv.kohd.[[#This Row],[Järjestämisluvan mukaiset 13]]</f>
        <v>0</v>
      </c>
      <c r="CL51" s="207">
        <f>Opv.kohd.[[#This Row],[Kohdentamat-tomat 4]]+Opv.kohd.[[#This Row],[Kohdentamat-tomat 13]]</f>
        <v>0</v>
      </c>
      <c r="CM51" s="207">
        <f>Opv.kohd.[[#This Row],[Työvoima-koulutus 4]]+Opv.kohd.[[#This Row],[Työvoima-koulutus 13]]</f>
        <v>0</v>
      </c>
      <c r="CN51" s="207">
        <f>Opv.kohd.[[#This Row],[Maahan-muuttajien koulutus 4]]+Opv.kohd.[[#This Row],[Maahan-muuttajien koulutus 13]]</f>
        <v>0</v>
      </c>
      <c r="CO51" s="207">
        <f>Opv.kohd.[[#This Row],[Nuorisotyöt. väh. ja osaamistarp. vast., muu kuin työvoima-koulutus 4]]+Opv.kohd.[[#This Row],[Nuorisotyöt. väh. ja osaamistarp. vast., muu kuin työvoima-koulutus 13]]</f>
        <v>0</v>
      </c>
      <c r="CP51" s="207">
        <f>Opv.kohd.[[#This Row],[Nuorisotyöt. väh. ja osaamistarp. vast., työvoima-koulutus 4]]+Opv.kohd.[[#This Row],[Nuorisotyöt. väh. ja osaamistarp. vast., työvoima-koulutus 13]]</f>
        <v>0</v>
      </c>
      <c r="CQ51" s="207">
        <f>Opv.kohd.[[#This Row],[Yhteensä 4]]+Opv.kohd.[[#This Row],[Yhteensä 13]]</f>
        <v>0</v>
      </c>
      <c r="CR51" s="207">
        <f>Opv.kohd.[[#This Row],[Ensikertaisella suoritepäätöksellä jaetut tavoitteelliset opiskelijavuodet yhteensä 4]]+Opv.kohd.[[#This Row],[Tavoitteelliset opiskelijavuodet yhteensä 13]]</f>
        <v>0</v>
      </c>
      <c r="CS51" s="120">
        <v>0</v>
      </c>
      <c r="CT51" s="120">
        <v>0</v>
      </c>
      <c r="CU51" s="120">
        <v>0</v>
      </c>
      <c r="CV51" s="120">
        <v>0</v>
      </c>
      <c r="CW51" s="120">
        <v>0</v>
      </c>
      <c r="CX51" s="120">
        <v>0</v>
      </c>
      <c r="CY51" s="120">
        <v>0</v>
      </c>
      <c r="CZ51" s="120">
        <v>0</v>
      </c>
      <c r="DA51" s="209">
        <f>IFERROR(Opv.kohd.[[#This Row],[Järjestämisluvan mukaiset 13]]/Opv.kohd.[[#This Row],[Järjestämisluvan mukaiset 12]],0)</f>
        <v>0</v>
      </c>
      <c r="DB51" s="209">
        <f>IFERROR(Opv.kohd.[[#This Row],[Kohdentamat-tomat 13]]/Opv.kohd.[[#This Row],[Kohdentamat-tomat 12]],0)</f>
        <v>0</v>
      </c>
      <c r="DC51" s="209">
        <f>IFERROR(Opv.kohd.[[#This Row],[Työvoima-koulutus 13]]/Opv.kohd.[[#This Row],[Työvoima-koulutus 12]],0)</f>
        <v>0</v>
      </c>
      <c r="DD51" s="209">
        <f>IFERROR(Opv.kohd.[[#This Row],[Maahan-muuttajien koulutus 13]]/Opv.kohd.[[#This Row],[Maahan-muuttajien koulutus 12]],0)</f>
        <v>0</v>
      </c>
      <c r="DE51" s="209">
        <f>IFERROR(Opv.kohd.[[#This Row],[Nuorisotyöt. väh. ja osaamistarp. vast., muu kuin työvoima-koulutus 13]]/Opv.kohd.[[#This Row],[Nuorisotyöt. väh. ja osaamistarp. vast., muu kuin työvoima-koulutus 12]],0)</f>
        <v>0</v>
      </c>
      <c r="DF51" s="209">
        <f>IFERROR(Opv.kohd.[[#This Row],[Nuorisotyöt. väh. ja osaamistarp. vast., työvoima-koulutus 13]]/Opv.kohd.[[#This Row],[Nuorisotyöt. väh. ja osaamistarp. vast., työvoima-koulutus 12]],0)</f>
        <v>0</v>
      </c>
      <c r="DG51" s="209">
        <f>IFERROR(Opv.kohd.[[#This Row],[Yhteensä 13]]/Opv.kohd.[[#This Row],[Yhteensä 12]],0)</f>
        <v>0</v>
      </c>
      <c r="DH51" s="209">
        <f>IFERROR(Opv.kohd.[[#This Row],[Tavoitteelliset opiskelijavuodet yhteensä 13]]/Opv.kohd.[[#This Row],[Tavoitteelliset opiskelijavuodet yhteensä 12]],0)</f>
        <v>0</v>
      </c>
      <c r="DI51" s="207">
        <f>Opv.kohd.[[#This Row],[Järjestämisluvan mukaiset 12]]-Opv.kohd.[[#This Row],[Järjestämisluvan mukaiset 9]]</f>
        <v>-23</v>
      </c>
      <c r="DJ51" s="207">
        <f>Opv.kohd.[[#This Row],[Kohdentamat-tomat 12]]-Opv.kohd.[[#This Row],[Kohdentamat-tomat 9]]</f>
        <v>-3</v>
      </c>
      <c r="DK51" s="207">
        <f>Opv.kohd.[[#This Row],[Työvoima-koulutus 12]]-Opv.kohd.[[#This Row],[Työvoima-koulutus 9]]</f>
        <v>0</v>
      </c>
      <c r="DL51" s="207">
        <f>Opv.kohd.[[#This Row],[Maahan-muuttajien koulutus 12]]-Opv.kohd.[[#This Row],[Maahan-muuttajien koulutus 9]]</f>
        <v>0</v>
      </c>
      <c r="DM51" s="207">
        <f>Opv.kohd.[[#This Row],[Nuorisotyöt. väh. ja osaamistarp. vast., muu kuin työvoima-koulutus 12]]-Opv.kohd.[[#This Row],[Nuorisotyöt. väh. ja osaamistarp. vast., muu kuin työvoima-koulutus 9]]</f>
        <v>0</v>
      </c>
      <c r="DN51" s="207">
        <f>Opv.kohd.[[#This Row],[Nuorisotyöt. väh. ja osaamistarp. vast., työvoima-koulutus 12]]-Opv.kohd.[[#This Row],[Nuorisotyöt. väh. ja osaamistarp. vast., työvoima-koulutus 9]]</f>
        <v>0</v>
      </c>
      <c r="DO51" s="207">
        <f>Opv.kohd.[[#This Row],[Yhteensä 12]]-Opv.kohd.[[#This Row],[Yhteensä 9]]</f>
        <v>-3</v>
      </c>
      <c r="DP51" s="207">
        <f>Opv.kohd.[[#This Row],[Tavoitteelliset opiskelijavuodet yhteensä 12]]-Opv.kohd.[[#This Row],[Tavoitteelliset opiskelijavuodet yhteensä 9]]</f>
        <v>-26</v>
      </c>
      <c r="DQ51" s="209">
        <f>IFERROR(Opv.kohd.[[#This Row],[Järjestämisluvan mukaiset 15]]/Opv.kohd.[[#This Row],[Järjestämisluvan mukaiset 9]],0)</f>
        <v>-1</v>
      </c>
      <c r="DR51" s="209">
        <f t="shared" si="10"/>
        <v>0</v>
      </c>
      <c r="DS51" s="209">
        <f t="shared" si="11"/>
        <v>0</v>
      </c>
      <c r="DT51" s="209">
        <f t="shared" si="12"/>
        <v>0</v>
      </c>
      <c r="DU51" s="209">
        <f t="shared" si="13"/>
        <v>0</v>
      </c>
      <c r="DV51" s="209">
        <f t="shared" si="14"/>
        <v>0</v>
      </c>
      <c r="DW51" s="209">
        <f t="shared" si="15"/>
        <v>0</v>
      </c>
      <c r="DX51" s="209">
        <f t="shared" si="16"/>
        <v>0</v>
      </c>
    </row>
    <row r="52" spans="1:128" x14ac:dyDescent="0.25">
      <c r="A52" s="204" t="e">
        <f>IF(INDEX(#REF!,ROW(52:52)-1,1)=0,"",INDEX(#REF!,ROW(52:52)-1,1))</f>
        <v>#REF!</v>
      </c>
      <c r="B52" s="205" t="str">
        <f>IFERROR(VLOOKUP(Opv.kohd.[[#This Row],[Y-tunnus]],'0 Järjestäjätiedot'!$A:$H,2,FALSE),"")</f>
        <v/>
      </c>
      <c r="C52" s="204" t="str">
        <f>IFERROR(VLOOKUP(Opv.kohd.[[#This Row],[Y-tunnus]],'0 Järjestäjätiedot'!$A:$H,COLUMN('0 Järjestäjätiedot'!D:D),FALSE),"")</f>
        <v/>
      </c>
      <c r="D52" s="204" t="str">
        <f>IFERROR(VLOOKUP(Opv.kohd.[[#This Row],[Y-tunnus]],'0 Järjestäjätiedot'!$A:$H,COLUMN('0 Järjestäjätiedot'!H:H),FALSE),"")</f>
        <v/>
      </c>
      <c r="E52" s="204">
        <f>IFERROR(VLOOKUP(Opv.kohd.[[#This Row],[Y-tunnus]],#REF!,COLUMN(#REF!),FALSE),0)</f>
        <v>0</v>
      </c>
      <c r="F52" s="204">
        <f>IFERROR(VLOOKUP(Opv.kohd.[[#This Row],[Y-tunnus]],#REF!,COLUMN(#REF!),FALSE),0)</f>
        <v>0</v>
      </c>
      <c r="G52" s="204">
        <f>IFERROR(VLOOKUP(Opv.kohd.[[#This Row],[Y-tunnus]],#REF!,COLUMN(#REF!),FALSE),0)</f>
        <v>0</v>
      </c>
      <c r="H52" s="204">
        <f>IFERROR(VLOOKUP(Opv.kohd.[[#This Row],[Y-tunnus]],#REF!,COLUMN(#REF!),FALSE),0)</f>
        <v>0</v>
      </c>
      <c r="I52" s="204">
        <f>IFERROR(VLOOKUP(Opv.kohd.[[#This Row],[Y-tunnus]],#REF!,COLUMN(#REF!),FALSE),0)</f>
        <v>0</v>
      </c>
      <c r="J52" s="204">
        <f>IFERROR(VLOOKUP(Opv.kohd.[[#This Row],[Y-tunnus]],#REF!,COLUMN(#REF!),FALSE),0)</f>
        <v>0</v>
      </c>
      <c r="K5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52" s="204">
        <f>Opv.kohd.[[#This Row],[Järjestämisluvan mukaiset 1]]+Opv.kohd.[[#This Row],[Yhteensä  1]]</f>
        <v>0</v>
      </c>
      <c r="M52" s="204">
        <f>IFERROR(VLOOKUP(Opv.kohd.[[#This Row],[Y-tunnus]],#REF!,COLUMN(#REF!),FALSE),0)</f>
        <v>0</v>
      </c>
      <c r="N52" s="204">
        <f>IFERROR(VLOOKUP(Opv.kohd.[[#This Row],[Y-tunnus]],#REF!,COLUMN(#REF!),FALSE),0)</f>
        <v>0</v>
      </c>
      <c r="O52" s="204">
        <f>IFERROR(VLOOKUP(Opv.kohd.[[#This Row],[Y-tunnus]],#REF!,COLUMN(#REF!),FALSE)+VLOOKUP(Opv.kohd.[[#This Row],[Y-tunnus]],#REF!,COLUMN(#REF!),FALSE),0)</f>
        <v>0</v>
      </c>
      <c r="P52" s="204">
        <f>Opv.kohd.[[#This Row],[Talousarvion perusteella kohdentamattomat]]+Opv.kohd.[[#This Row],[Talousarvion perusteella työvoimakoulutus 1]]+Opv.kohd.[[#This Row],[Lisätalousarvioiden perusteella]]</f>
        <v>0</v>
      </c>
      <c r="Q52" s="204">
        <f>IFERROR(VLOOKUP(Opv.kohd.[[#This Row],[Y-tunnus]],#REF!,COLUMN(#REF!),FALSE),0)</f>
        <v>0</v>
      </c>
      <c r="R52" s="210">
        <f>IFERROR(VLOOKUP(Opv.kohd.[[#This Row],[Y-tunnus]],#REF!,COLUMN(#REF!),FALSE)-(Opv.kohd.[[#This Row],[Kohdentamaton työvoima-koulutus 2]]+Opv.kohd.[[#This Row],[Maahan-muuttajien koulutus 2]]+Opv.kohd.[[#This Row],[Lisätalousarvioiden perusteella jaetut 2]]),0)</f>
        <v>0</v>
      </c>
      <c r="S52" s="210">
        <f>IFERROR(VLOOKUP(Opv.kohd.[[#This Row],[Y-tunnus]],#REF!,COLUMN(#REF!),FALSE)+VLOOKUP(Opv.kohd.[[#This Row],[Y-tunnus]],#REF!,COLUMN(#REF!),FALSE),0)</f>
        <v>0</v>
      </c>
      <c r="T52" s="210">
        <f>IFERROR(VLOOKUP(Opv.kohd.[[#This Row],[Y-tunnus]],#REF!,COLUMN(#REF!),FALSE)+VLOOKUP(Opv.kohd.[[#This Row],[Y-tunnus]],#REF!,COLUMN(#REF!),FALSE),0)</f>
        <v>0</v>
      </c>
      <c r="U5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52" s="210">
        <f>Opv.kohd.[[#This Row],[Kohdentamat-tomat 2]]+Opv.kohd.[[#This Row],[Kohdentamaton työvoima-koulutus 2]]+Opv.kohd.[[#This Row],[Maahan-muuttajien koulutus 2]]+Opv.kohd.[[#This Row],[Lisätalousarvioiden perusteella jaetut 2]]</f>
        <v>0</v>
      </c>
      <c r="W52" s="210">
        <f>Opv.kohd.[[#This Row],[Kohdentamat-tomat 2]]-(Opv.kohd.[[#This Row],[Järjestämisluvan mukaiset 1]]+Opv.kohd.[[#This Row],[Kohdentamat-tomat 1]]+Opv.kohd.[[#This Row],[Nuorisotyöt. väh. ja osaamistarp. vast., muu kuin työvoima-koulutus 1]]+Opv.kohd.[[#This Row],[Talousarvion perusteella kohdentamattomat]])</f>
        <v>0</v>
      </c>
      <c r="X52" s="210">
        <f>Opv.kohd.[[#This Row],[Kohdentamaton työvoima-koulutus 2]]-(Opv.kohd.[[#This Row],[Työvoima-koulutus 1]]+Opv.kohd.[[#This Row],[Nuorisotyöt. väh. ja osaamistarp. vast., työvoima-koulutus 1]]+Opv.kohd.[[#This Row],[Talousarvion perusteella työvoimakoulutus 1]])</f>
        <v>0</v>
      </c>
      <c r="Y52" s="210">
        <f>Opv.kohd.[[#This Row],[Maahan-muuttajien koulutus 2]]-Opv.kohd.[[#This Row],[Maahan-muuttajien koulutus 1]]</f>
        <v>0</v>
      </c>
      <c r="Z52" s="210">
        <f>Opv.kohd.[[#This Row],[Lisätalousarvioiden perusteella jaetut 2]]-Opv.kohd.[[#This Row],[Lisätalousarvioiden perusteella]]</f>
        <v>0</v>
      </c>
      <c r="AA52" s="210">
        <f>Opv.kohd.[[#This Row],[Toteutuneet opiskelijavuodet yhteensä 2]]-Opv.kohd.[[#This Row],[Vuoden 2018 tavoitteelliset opiskelijavuodet yhteensä 1]]</f>
        <v>0</v>
      </c>
      <c r="AB52" s="207">
        <f>IFERROR(VLOOKUP(Opv.kohd.[[#This Row],[Y-tunnus]],#REF!,3,FALSE),0)</f>
        <v>0</v>
      </c>
      <c r="AC52" s="207">
        <f>IFERROR(VLOOKUP(Opv.kohd.[[#This Row],[Y-tunnus]],#REF!,4,FALSE),0)</f>
        <v>0</v>
      </c>
      <c r="AD52" s="207">
        <f>IFERROR(VLOOKUP(Opv.kohd.[[#This Row],[Y-tunnus]],#REF!,5,FALSE),0)</f>
        <v>0</v>
      </c>
      <c r="AE52" s="207">
        <f>IFERROR(VLOOKUP(Opv.kohd.[[#This Row],[Y-tunnus]],#REF!,6,FALSE),0)</f>
        <v>0</v>
      </c>
      <c r="AF52" s="207">
        <f>IFERROR(VLOOKUP(Opv.kohd.[[#This Row],[Y-tunnus]],#REF!,7,FALSE),0)</f>
        <v>0</v>
      </c>
      <c r="AG52" s="207">
        <f>IFERROR(VLOOKUP(Opv.kohd.[[#This Row],[Y-tunnus]],#REF!,8,FALSE),0)</f>
        <v>0</v>
      </c>
      <c r="AH52" s="207">
        <f>IFERROR(VLOOKUP(Opv.kohd.[[#This Row],[Y-tunnus]],#REF!,9,FALSE),0)</f>
        <v>0</v>
      </c>
      <c r="AI52" s="207">
        <f>IFERROR(VLOOKUP(Opv.kohd.[[#This Row],[Y-tunnus]],#REF!,10,FALSE),0)</f>
        <v>0</v>
      </c>
      <c r="AJ52" s="204">
        <f>Opv.kohd.[[#This Row],[Järjestämisluvan mukaiset 4]]-Opv.kohd.[[#This Row],[Järjestämisluvan mukaiset 1]]</f>
        <v>0</v>
      </c>
      <c r="AK52" s="204">
        <f>Opv.kohd.[[#This Row],[Kohdentamat-tomat 4]]-Opv.kohd.[[#This Row],[Kohdentamat-tomat 1]]</f>
        <v>0</v>
      </c>
      <c r="AL52" s="204">
        <f>Opv.kohd.[[#This Row],[Työvoima-koulutus 4]]-Opv.kohd.[[#This Row],[Työvoima-koulutus 1]]</f>
        <v>0</v>
      </c>
      <c r="AM52" s="204">
        <f>Opv.kohd.[[#This Row],[Maahan-muuttajien koulutus 4]]-Opv.kohd.[[#This Row],[Maahan-muuttajien koulutus 1]]</f>
        <v>0</v>
      </c>
      <c r="AN52" s="204">
        <f>Opv.kohd.[[#This Row],[Nuorisotyöt. väh. ja osaamistarp. vast., muu kuin työvoima-koulutus 4]]-Opv.kohd.[[#This Row],[Nuorisotyöt. väh. ja osaamistarp. vast., muu kuin työvoima-koulutus 1]]</f>
        <v>0</v>
      </c>
      <c r="AO52" s="204">
        <f>Opv.kohd.[[#This Row],[Nuorisotyöt. väh. ja osaamistarp. vast., työvoima-koulutus 4]]-Opv.kohd.[[#This Row],[Nuorisotyöt. väh. ja osaamistarp. vast., työvoima-koulutus 1]]</f>
        <v>0</v>
      </c>
      <c r="AP52" s="204">
        <f>Opv.kohd.[[#This Row],[Yhteensä 4]]-Opv.kohd.[[#This Row],[Yhteensä  1]]</f>
        <v>0</v>
      </c>
      <c r="AQ52" s="204">
        <f>Opv.kohd.[[#This Row],[Ensikertaisella suoritepäätöksellä jaetut tavoitteelliset opiskelijavuodet yhteensä 4]]-Opv.kohd.[[#This Row],[Ensikertaisella suoritepäätöksellä jaetut tavoitteelliset opiskelijavuodet yhteensä 1]]</f>
        <v>0</v>
      </c>
      <c r="AR52" s="208">
        <f>IFERROR(Opv.kohd.[[#This Row],[Järjestämisluvan mukaiset 5]]/Opv.kohd.[[#This Row],[Järjestämisluvan mukaiset 4]],0)</f>
        <v>0</v>
      </c>
      <c r="AS52" s="208">
        <f>IFERROR(Opv.kohd.[[#This Row],[Kohdentamat-tomat 5]]/Opv.kohd.[[#This Row],[Kohdentamat-tomat 4]],0)</f>
        <v>0</v>
      </c>
      <c r="AT52" s="208">
        <f>IFERROR(Opv.kohd.[[#This Row],[Työvoima-koulutus 5]]/Opv.kohd.[[#This Row],[Työvoima-koulutus 4]],0)</f>
        <v>0</v>
      </c>
      <c r="AU52" s="208">
        <f>IFERROR(Opv.kohd.[[#This Row],[Maahan-muuttajien koulutus 5]]/Opv.kohd.[[#This Row],[Maahan-muuttajien koulutus 4]],0)</f>
        <v>0</v>
      </c>
      <c r="AV52" s="208">
        <f>IFERROR(Opv.kohd.[[#This Row],[Nuorisotyöt. väh. ja osaamistarp. vast., muu kuin työvoima-koulutus 5]]/Opv.kohd.[[#This Row],[Nuorisotyöt. väh. ja osaamistarp. vast., muu kuin työvoima-koulutus 4]],0)</f>
        <v>0</v>
      </c>
      <c r="AW52" s="208">
        <f>IFERROR(Opv.kohd.[[#This Row],[Nuorisotyöt. väh. ja osaamistarp. vast., työvoima-koulutus 5]]/Opv.kohd.[[#This Row],[Nuorisotyöt. väh. ja osaamistarp. vast., työvoima-koulutus 4]],0)</f>
        <v>0</v>
      </c>
      <c r="AX52" s="208">
        <f>IFERROR(Opv.kohd.[[#This Row],[Yhteensä 5]]/Opv.kohd.[[#This Row],[Yhteensä 4]],0)</f>
        <v>0</v>
      </c>
      <c r="AY52" s="208">
        <f>IFERROR(Opv.kohd.[[#This Row],[Ensikertaisella suoritepäätöksellä jaetut tavoitteelliset opiskelijavuodet yhteensä 5]]/Opv.kohd.[[#This Row],[Ensikertaisella suoritepäätöksellä jaetut tavoitteelliset opiskelijavuodet yhteensä 4]],0)</f>
        <v>0</v>
      </c>
      <c r="AZ52" s="207">
        <f>Opv.kohd.[[#This Row],[Yhteensä 7a]]-Opv.kohd.[[#This Row],[Työvoima-koulutus 7a]]</f>
        <v>0</v>
      </c>
      <c r="BA52" s="207">
        <f>IFERROR(VLOOKUP(Opv.kohd.[[#This Row],[Y-tunnus]],#REF!,COLUMN(#REF!),FALSE),0)</f>
        <v>0</v>
      </c>
      <c r="BB52" s="207">
        <f>IFERROR(VLOOKUP(Opv.kohd.[[#This Row],[Y-tunnus]],#REF!,COLUMN(#REF!),FALSE),0)</f>
        <v>0</v>
      </c>
      <c r="BC52" s="207">
        <f>Opv.kohd.[[#This Row],[Muu kuin työvoima-koulutus 7c]]-Opv.kohd.[[#This Row],[Muu kuin työvoima-koulutus 7a]]</f>
        <v>0</v>
      </c>
      <c r="BD52" s="207">
        <f>Opv.kohd.[[#This Row],[Työvoima-koulutus 7c]]-Opv.kohd.[[#This Row],[Työvoima-koulutus 7a]]</f>
        <v>0</v>
      </c>
      <c r="BE52" s="207">
        <f>Opv.kohd.[[#This Row],[Yhteensä 7c]]-Opv.kohd.[[#This Row],[Yhteensä 7a]]</f>
        <v>0</v>
      </c>
      <c r="BF52" s="207">
        <f>Opv.kohd.[[#This Row],[Yhteensä 7c]]-Opv.kohd.[[#This Row],[Työvoima-koulutus 7c]]</f>
        <v>0</v>
      </c>
      <c r="BG52" s="207">
        <f>IFERROR(VLOOKUP(Opv.kohd.[[#This Row],[Y-tunnus]],#REF!,COLUMN(#REF!),FALSE),0)</f>
        <v>0</v>
      </c>
      <c r="BH52" s="207">
        <f>IFERROR(VLOOKUP(Opv.kohd.[[#This Row],[Y-tunnus]],#REF!,COLUMN(#REF!),FALSE),0)</f>
        <v>0</v>
      </c>
      <c r="BI52" s="207">
        <f>IFERROR(VLOOKUP(Opv.kohd.[[#This Row],[Y-tunnus]],#REF!,COLUMN(#REF!),FALSE),0)</f>
        <v>0</v>
      </c>
      <c r="BJ52" s="207">
        <f>IFERROR(VLOOKUP(Opv.kohd.[[#This Row],[Y-tunnus]],#REF!,COLUMN(#REF!),FALSE),0)</f>
        <v>0</v>
      </c>
      <c r="BK52" s="207">
        <f>Opv.kohd.[[#This Row],[Muu kuin työvoima-koulutus 7d]]+Opv.kohd.[[#This Row],[Työvoima-koulutus 7d]]</f>
        <v>0</v>
      </c>
      <c r="BL52" s="207">
        <f>Opv.kohd.[[#This Row],[Muu kuin työvoima-koulutus 7c]]-Opv.kohd.[[#This Row],[Muu kuin työvoima-koulutus 7d]]</f>
        <v>0</v>
      </c>
      <c r="BM52" s="207">
        <f>Opv.kohd.[[#This Row],[Työvoima-koulutus 7c]]-Opv.kohd.[[#This Row],[Työvoima-koulutus 7d]]</f>
        <v>0</v>
      </c>
      <c r="BN52" s="207">
        <f>Opv.kohd.[[#This Row],[Yhteensä 7c]]-Opv.kohd.[[#This Row],[Yhteensä 7d]]</f>
        <v>0</v>
      </c>
      <c r="BO52" s="207">
        <f>Opv.kohd.[[#This Row],[Muu kuin työvoima-koulutus 7e]]-(Opv.kohd.[[#This Row],[Järjestämisluvan mukaiset 4]]+Opv.kohd.[[#This Row],[Kohdentamat-tomat 4]]+Opv.kohd.[[#This Row],[Maahan-muuttajien koulutus 4]]+Opv.kohd.[[#This Row],[Nuorisotyöt. väh. ja osaamistarp. vast., muu kuin työvoima-koulutus 4]])</f>
        <v>0</v>
      </c>
      <c r="BP52" s="207">
        <f>Opv.kohd.[[#This Row],[Työvoima-koulutus 7e]]-(Opv.kohd.[[#This Row],[Työvoima-koulutus 4]]+Opv.kohd.[[#This Row],[Nuorisotyöt. väh. ja osaamistarp. vast., työvoima-koulutus 4]])</f>
        <v>0</v>
      </c>
      <c r="BQ52" s="207">
        <f>Opv.kohd.[[#This Row],[Yhteensä 7e]]-Opv.kohd.[[#This Row],[Ensikertaisella suoritepäätöksellä jaetut tavoitteelliset opiskelijavuodet yhteensä 4]]</f>
        <v>0</v>
      </c>
      <c r="BR52" s="263">
        <v>664</v>
      </c>
      <c r="BS52" s="263">
        <v>96</v>
      </c>
      <c r="BT52" s="263">
        <v>0</v>
      </c>
      <c r="BU52" s="263">
        <v>0</v>
      </c>
      <c r="BV52" s="263">
        <v>0</v>
      </c>
      <c r="BW52" s="263">
        <v>0</v>
      </c>
      <c r="BX52" s="263">
        <v>96</v>
      </c>
      <c r="BY52" s="263">
        <v>760</v>
      </c>
      <c r="BZ52" s="207">
        <f t="shared" si="2"/>
        <v>664</v>
      </c>
      <c r="CA52" s="207">
        <f t="shared" si="3"/>
        <v>96</v>
      </c>
      <c r="CB52" s="207">
        <f t="shared" si="4"/>
        <v>0</v>
      </c>
      <c r="CC52" s="207">
        <f t="shared" si="5"/>
        <v>0</v>
      </c>
      <c r="CD52" s="207">
        <f t="shared" si="6"/>
        <v>0</v>
      </c>
      <c r="CE52" s="207">
        <f t="shared" si="7"/>
        <v>0</v>
      </c>
      <c r="CF52" s="207">
        <f t="shared" si="8"/>
        <v>96</v>
      </c>
      <c r="CG52" s="207">
        <f t="shared" si="9"/>
        <v>760</v>
      </c>
      <c r="CH52" s="207">
        <f>Opv.kohd.[[#This Row],[Tavoitteelliset opiskelijavuodet yhteensä 9]]-Opv.kohd.[[#This Row],[Työvoima-koulutus 9]]-Opv.kohd.[[#This Row],[Nuorisotyöt. väh. ja osaamistarp. vast., työvoima-koulutus 9]]-Opv.kohd.[[#This Row],[Muu kuin työvoima-koulutus 7e]]</f>
        <v>760</v>
      </c>
      <c r="CI52" s="207">
        <f>(Opv.kohd.[[#This Row],[Työvoima-koulutus 9]]+Opv.kohd.[[#This Row],[Nuorisotyöt. väh. ja osaamistarp. vast., työvoima-koulutus 9]])-Opv.kohd.[[#This Row],[Työvoima-koulutus 7e]]</f>
        <v>0</v>
      </c>
      <c r="CJ52" s="207">
        <f>Opv.kohd.[[#This Row],[Tavoitteelliset opiskelijavuodet yhteensä 9]]-Opv.kohd.[[#This Row],[Yhteensä 7e]]</f>
        <v>760</v>
      </c>
      <c r="CK52" s="207">
        <f>Opv.kohd.[[#This Row],[Järjestämisluvan mukaiset 4]]+Opv.kohd.[[#This Row],[Järjestämisluvan mukaiset 13]]</f>
        <v>0</v>
      </c>
      <c r="CL52" s="207">
        <f>Opv.kohd.[[#This Row],[Kohdentamat-tomat 4]]+Opv.kohd.[[#This Row],[Kohdentamat-tomat 13]]</f>
        <v>0</v>
      </c>
      <c r="CM52" s="207">
        <f>Opv.kohd.[[#This Row],[Työvoima-koulutus 4]]+Opv.kohd.[[#This Row],[Työvoima-koulutus 13]]</f>
        <v>0</v>
      </c>
      <c r="CN52" s="207">
        <f>Opv.kohd.[[#This Row],[Maahan-muuttajien koulutus 4]]+Opv.kohd.[[#This Row],[Maahan-muuttajien koulutus 13]]</f>
        <v>0</v>
      </c>
      <c r="CO52" s="207">
        <f>Opv.kohd.[[#This Row],[Nuorisotyöt. väh. ja osaamistarp. vast., muu kuin työvoima-koulutus 4]]+Opv.kohd.[[#This Row],[Nuorisotyöt. väh. ja osaamistarp. vast., muu kuin työvoima-koulutus 13]]</f>
        <v>0</v>
      </c>
      <c r="CP52" s="207">
        <f>Opv.kohd.[[#This Row],[Nuorisotyöt. väh. ja osaamistarp. vast., työvoima-koulutus 4]]+Opv.kohd.[[#This Row],[Nuorisotyöt. väh. ja osaamistarp. vast., työvoima-koulutus 13]]</f>
        <v>0</v>
      </c>
      <c r="CQ52" s="207">
        <f>Opv.kohd.[[#This Row],[Yhteensä 4]]+Opv.kohd.[[#This Row],[Yhteensä 13]]</f>
        <v>0</v>
      </c>
      <c r="CR52" s="207">
        <f>Opv.kohd.[[#This Row],[Ensikertaisella suoritepäätöksellä jaetut tavoitteelliset opiskelijavuodet yhteensä 4]]+Opv.kohd.[[#This Row],[Tavoitteelliset opiskelijavuodet yhteensä 13]]</f>
        <v>0</v>
      </c>
      <c r="CS52" s="120">
        <v>0</v>
      </c>
      <c r="CT52" s="120">
        <v>0</v>
      </c>
      <c r="CU52" s="120">
        <v>0</v>
      </c>
      <c r="CV52" s="120">
        <v>0</v>
      </c>
      <c r="CW52" s="120">
        <v>0</v>
      </c>
      <c r="CX52" s="120">
        <v>0</v>
      </c>
      <c r="CY52" s="120">
        <v>0</v>
      </c>
      <c r="CZ52" s="120">
        <v>0</v>
      </c>
      <c r="DA52" s="209">
        <f>IFERROR(Opv.kohd.[[#This Row],[Järjestämisluvan mukaiset 13]]/Opv.kohd.[[#This Row],[Järjestämisluvan mukaiset 12]],0)</f>
        <v>0</v>
      </c>
      <c r="DB52" s="209">
        <f>IFERROR(Opv.kohd.[[#This Row],[Kohdentamat-tomat 13]]/Opv.kohd.[[#This Row],[Kohdentamat-tomat 12]],0)</f>
        <v>0</v>
      </c>
      <c r="DC52" s="209">
        <f>IFERROR(Opv.kohd.[[#This Row],[Työvoima-koulutus 13]]/Opv.kohd.[[#This Row],[Työvoima-koulutus 12]],0)</f>
        <v>0</v>
      </c>
      <c r="DD52" s="209">
        <f>IFERROR(Opv.kohd.[[#This Row],[Maahan-muuttajien koulutus 13]]/Opv.kohd.[[#This Row],[Maahan-muuttajien koulutus 12]],0)</f>
        <v>0</v>
      </c>
      <c r="DE52" s="209">
        <f>IFERROR(Opv.kohd.[[#This Row],[Nuorisotyöt. väh. ja osaamistarp. vast., muu kuin työvoima-koulutus 13]]/Opv.kohd.[[#This Row],[Nuorisotyöt. väh. ja osaamistarp. vast., muu kuin työvoima-koulutus 12]],0)</f>
        <v>0</v>
      </c>
      <c r="DF52" s="209">
        <f>IFERROR(Opv.kohd.[[#This Row],[Nuorisotyöt. väh. ja osaamistarp. vast., työvoima-koulutus 13]]/Opv.kohd.[[#This Row],[Nuorisotyöt. väh. ja osaamistarp. vast., työvoima-koulutus 12]],0)</f>
        <v>0</v>
      </c>
      <c r="DG52" s="209">
        <f>IFERROR(Opv.kohd.[[#This Row],[Yhteensä 13]]/Opv.kohd.[[#This Row],[Yhteensä 12]],0)</f>
        <v>0</v>
      </c>
      <c r="DH52" s="209">
        <f>IFERROR(Opv.kohd.[[#This Row],[Tavoitteelliset opiskelijavuodet yhteensä 13]]/Opv.kohd.[[#This Row],[Tavoitteelliset opiskelijavuodet yhteensä 12]],0)</f>
        <v>0</v>
      </c>
      <c r="DI52" s="207">
        <f>Opv.kohd.[[#This Row],[Järjestämisluvan mukaiset 12]]-Opv.kohd.[[#This Row],[Järjestämisluvan mukaiset 9]]</f>
        <v>-664</v>
      </c>
      <c r="DJ52" s="207">
        <f>Opv.kohd.[[#This Row],[Kohdentamat-tomat 12]]-Opv.kohd.[[#This Row],[Kohdentamat-tomat 9]]</f>
        <v>-96</v>
      </c>
      <c r="DK52" s="207">
        <f>Opv.kohd.[[#This Row],[Työvoima-koulutus 12]]-Opv.kohd.[[#This Row],[Työvoima-koulutus 9]]</f>
        <v>0</v>
      </c>
      <c r="DL52" s="207">
        <f>Opv.kohd.[[#This Row],[Maahan-muuttajien koulutus 12]]-Opv.kohd.[[#This Row],[Maahan-muuttajien koulutus 9]]</f>
        <v>0</v>
      </c>
      <c r="DM52" s="207">
        <f>Opv.kohd.[[#This Row],[Nuorisotyöt. väh. ja osaamistarp. vast., muu kuin työvoima-koulutus 12]]-Opv.kohd.[[#This Row],[Nuorisotyöt. väh. ja osaamistarp. vast., muu kuin työvoima-koulutus 9]]</f>
        <v>0</v>
      </c>
      <c r="DN52" s="207">
        <f>Opv.kohd.[[#This Row],[Nuorisotyöt. väh. ja osaamistarp. vast., työvoima-koulutus 12]]-Opv.kohd.[[#This Row],[Nuorisotyöt. väh. ja osaamistarp. vast., työvoima-koulutus 9]]</f>
        <v>0</v>
      </c>
      <c r="DO52" s="207">
        <f>Opv.kohd.[[#This Row],[Yhteensä 12]]-Opv.kohd.[[#This Row],[Yhteensä 9]]</f>
        <v>-96</v>
      </c>
      <c r="DP52" s="207">
        <f>Opv.kohd.[[#This Row],[Tavoitteelliset opiskelijavuodet yhteensä 12]]-Opv.kohd.[[#This Row],[Tavoitteelliset opiskelijavuodet yhteensä 9]]</f>
        <v>-760</v>
      </c>
      <c r="DQ52" s="209">
        <f>IFERROR(Opv.kohd.[[#This Row],[Järjestämisluvan mukaiset 15]]/Opv.kohd.[[#This Row],[Järjestämisluvan mukaiset 9]],0)</f>
        <v>-1</v>
      </c>
      <c r="DR52" s="209">
        <f t="shared" si="10"/>
        <v>0</v>
      </c>
      <c r="DS52" s="209">
        <f t="shared" si="11"/>
        <v>0</v>
      </c>
      <c r="DT52" s="209">
        <f t="shared" si="12"/>
        <v>0</v>
      </c>
      <c r="DU52" s="209">
        <f t="shared" si="13"/>
        <v>0</v>
      </c>
      <c r="DV52" s="209">
        <f t="shared" si="14"/>
        <v>0</v>
      </c>
      <c r="DW52" s="209">
        <f t="shared" si="15"/>
        <v>0</v>
      </c>
      <c r="DX52" s="209">
        <f t="shared" si="16"/>
        <v>0</v>
      </c>
    </row>
    <row r="53" spans="1:128" x14ac:dyDescent="0.25">
      <c r="A53" s="204" t="e">
        <f>IF(INDEX(#REF!,ROW(53:53)-1,1)=0,"",INDEX(#REF!,ROW(53:53)-1,1))</f>
        <v>#REF!</v>
      </c>
      <c r="B53" s="205" t="str">
        <f>IFERROR(VLOOKUP(Opv.kohd.[[#This Row],[Y-tunnus]],'0 Järjestäjätiedot'!$A:$H,2,FALSE),"")</f>
        <v/>
      </c>
      <c r="C53" s="204" t="str">
        <f>IFERROR(VLOOKUP(Opv.kohd.[[#This Row],[Y-tunnus]],'0 Järjestäjätiedot'!$A:$H,COLUMN('0 Järjestäjätiedot'!D:D),FALSE),"")</f>
        <v/>
      </c>
      <c r="D53" s="204" t="str">
        <f>IFERROR(VLOOKUP(Opv.kohd.[[#This Row],[Y-tunnus]],'0 Järjestäjätiedot'!$A:$H,COLUMN('0 Järjestäjätiedot'!H:H),FALSE),"")</f>
        <v/>
      </c>
      <c r="E53" s="204">
        <f>IFERROR(VLOOKUP(Opv.kohd.[[#This Row],[Y-tunnus]],#REF!,COLUMN(#REF!),FALSE),0)</f>
        <v>0</v>
      </c>
      <c r="F53" s="204">
        <f>IFERROR(VLOOKUP(Opv.kohd.[[#This Row],[Y-tunnus]],#REF!,COLUMN(#REF!),FALSE),0)</f>
        <v>0</v>
      </c>
      <c r="G53" s="204">
        <f>IFERROR(VLOOKUP(Opv.kohd.[[#This Row],[Y-tunnus]],#REF!,COLUMN(#REF!),FALSE),0)</f>
        <v>0</v>
      </c>
      <c r="H53" s="204">
        <f>IFERROR(VLOOKUP(Opv.kohd.[[#This Row],[Y-tunnus]],#REF!,COLUMN(#REF!),FALSE),0)</f>
        <v>0</v>
      </c>
      <c r="I53" s="204">
        <f>IFERROR(VLOOKUP(Opv.kohd.[[#This Row],[Y-tunnus]],#REF!,COLUMN(#REF!),FALSE),0)</f>
        <v>0</v>
      </c>
      <c r="J53" s="204">
        <f>IFERROR(VLOOKUP(Opv.kohd.[[#This Row],[Y-tunnus]],#REF!,COLUMN(#REF!),FALSE),0)</f>
        <v>0</v>
      </c>
      <c r="K5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53" s="204">
        <f>Opv.kohd.[[#This Row],[Järjestämisluvan mukaiset 1]]+Opv.kohd.[[#This Row],[Yhteensä  1]]</f>
        <v>0</v>
      </c>
      <c r="M53" s="204">
        <f>IFERROR(VLOOKUP(Opv.kohd.[[#This Row],[Y-tunnus]],#REF!,COLUMN(#REF!),FALSE),0)</f>
        <v>0</v>
      </c>
      <c r="N53" s="204">
        <f>IFERROR(VLOOKUP(Opv.kohd.[[#This Row],[Y-tunnus]],#REF!,COLUMN(#REF!),FALSE),0)</f>
        <v>0</v>
      </c>
      <c r="O53" s="204">
        <f>IFERROR(VLOOKUP(Opv.kohd.[[#This Row],[Y-tunnus]],#REF!,COLUMN(#REF!),FALSE)+VLOOKUP(Opv.kohd.[[#This Row],[Y-tunnus]],#REF!,COLUMN(#REF!),FALSE),0)</f>
        <v>0</v>
      </c>
      <c r="P53" s="204">
        <f>Opv.kohd.[[#This Row],[Talousarvion perusteella kohdentamattomat]]+Opv.kohd.[[#This Row],[Talousarvion perusteella työvoimakoulutus 1]]+Opv.kohd.[[#This Row],[Lisätalousarvioiden perusteella]]</f>
        <v>0</v>
      </c>
      <c r="Q53" s="204">
        <f>IFERROR(VLOOKUP(Opv.kohd.[[#This Row],[Y-tunnus]],#REF!,COLUMN(#REF!),FALSE),0)</f>
        <v>0</v>
      </c>
      <c r="R53" s="210">
        <f>IFERROR(VLOOKUP(Opv.kohd.[[#This Row],[Y-tunnus]],#REF!,COLUMN(#REF!),FALSE)-(Opv.kohd.[[#This Row],[Kohdentamaton työvoima-koulutus 2]]+Opv.kohd.[[#This Row],[Maahan-muuttajien koulutus 2]]+Opv.kohd.[[#This Row],[Lisätalousarvioiden perusteella jaetut 2]]),0)</f>
        <v>0</v>
      </c>
      <c r="S53" s="210">
        <f>IFERROR(VLOOKUP(Opv.kohd.[[#This Row],[Y-tunnus]],#REF!,COLUMN(#REF!),FALSE)+VLOOKUP(Opv.kohd.[[#This Row],[Y-tunnus]],#REF!,COLUMN(#REF!),FALSE),0)</f>
        <v>0</v>
      </c>
      <c r="T53" s="210">
        <f>IFERROR(VLOOKUP(Opv.kohd.[[#This Row],[Y-tunnus]],#REF!,COLUMN(#REF!),FALSE)+VLOOKUP(Opv.kohd.[[#This Row],[Y-tunnus]],#REF!,COLUMN(#REF!),FALSE),0)</f>
        <v>0</v>
      </c>
      <c r="U5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53" s="210">
        <f>Opv.kohd.[[#This Row],[Kohdentamat-tomat 2]]+Opv.kohd.[[#This Row],[Kohdentamaton työvoima-koulutus 2]]+Opv.kohd.[[#This Row],[Maahan-muuttajien koulutus 2]]+Opv.kohd.[[#This Row],[Lisätalousarvioiden perusteella jaetut 2]]</f>
        <v>0</v>
      </c>
      <c r="W53" s="210">
        <f>Opv.kohd.[[#This Row],[Kohdentamat-tomat 2]]-(Opv.kohd.[[#This Row],[Järjestämisluvan mukaiset 1]]+Opv.kohd.[[#This Row],[Kohdentamat-tomat 1]]+Opv.kohd.[[#This Row],[Nuorisotyöt. väh. ja osaamistarp. vast., muu kuin työvoima-koulutus 1]]+Opv.kohd.[[#This Row],[Talousarvion perusteella kohdentamattomat]])</f>
        <v>0</v>
      </c>
      <c r="X53" s="210">
        <f>Opv.kohd.[[#This Row],[Kohdentamaton työvoima-koulutus 2]]-(Opv.kohd.[[#This Row],[Työvoima-koulutus 1]]+Opv.kohd.[[#This Row],[Nuorisotyöt. väh. ja osaamistarp. vast., työvoima-koulutus 1]]+Opv.kohd.[[#This Row],[Talousarvion perusteella työvoimakoulutus 1]])</f>
        <v>0</v>
      </c>
      <c r="Y53" s="210">
        <f>Opv.kohd.[[#This Row],[Maahan-muuttajien koulutus 2]]-Opv.kohd.[[#This Row],[Maahan-muuttajien koulutus 1]]</f>
        <v>0</v>
      </c>
      <c r="Z53" s="210">
        <f>Opv.kohd.[[#This Row],[Lisätalousarvioiden perusteella jaetut 2]]-Opv.kohd.[[#This Row],[Lisätalousarvioiden perusteella]]</f>
        <v>0</v>
      </c>
      <c r="AA53" s="210">
        <f>Opv.kohd.[[#This Row],[Toteutuneet opiskelijavuodet yhteensä 2]]-Opv.kohd.[[#This Row],[Vuoden 2018 tavoitteelliset opiskelijavuodet yhteensä 1]]</f>
        <v>0</v>
      </c>
      <c r="AB53" s="207">
        <f>IFERROR(VLOOKUP(Opv.kohd.[[#This Row],[Y-tunnus]],#REF!,3,FALSE),0)</f>
        <v>0</v>
      </c>
      <c r="AC53" s="207">
        <f>IFERROR(VLOOKUP(Opv.kohd.[[#This Row],[Y-tunnus]],#REF!,4,FALSE),0)</f>
        <v>0</v>
      </c>
      <c r="AD53" s="207">
        <f>IFERROR(VLOOKUP(Opv.kohd.[[#This Row],[Y-tunnus]],#REF!,5,FALSE),0)</f>
        <v>0</v>
      </c>
      <c r="AE53" s="207">
        <f>IFERROR(VLOOKUP(Opv.kohd.[[#This Row],[Y-tunnus]],#REF!,6,FALSE),0)</f>
        <v>0</v>
      </c>
      <c r="AF53" s="207">
        <f>IFERROR(VLOOKUP(Opv.kohd.[[#This Row],[Y-tunnus]],#REF!,7,FALSE),0)</f>
        <v>0</v>
      </c>
      <c r="AG53" s="207">
        <f>IFERROR(VLOOKUP(Opv.kohd.[[#This Row],[Y-tunnus]],#REF!,8,FALSE),0)</f>
        <v>0</v>
      </c>
      <c r="AH53" s="207">
        <f>IFERROR(VLOOKUP(Opv.kohd.[[#This Row],[Y-tunnus]],#REF!,9,FALSE),0)</f>
        <v>0</v>
      </c>
      <c r="AI53" s="207">
        <f>IFERROR(VLOOKUP(Opv.kohd.[[#This Row],[Y-tunnus]],#REF!,10,FALSE),0)</f>
        <v>0</v>
      </c>
      <c r="AJ53" s="204">
        <f>Opv.kohd.[[#This Row],[Järjestämisluvan mukaiset 4]]-Opv.kohd.[[#This Row],[Järjestämisluvan mukaiset 1]]</f>
        <v>0</v>
      </c>
      <c r="AK53" s="204">
        <f>Opv.kohd.[[#This Row],[Kohdentamat-tomat 4]]-Opv.kohd.[[#This Row],[Kohdentamat-tomat 1]]</f>
        <v>0</v>
      </c>
      <c r="AL53" s="204">
        <f>Opv.kohd.[[#This Row],[Työvoima-koulutus 4]]-Opv.kohd.[[#This Row],[Työvoima-koulutus 1]]</f>
        <v>0</v>
      </c>
      <c r="AM53" s="204">
        <f>Opv.kohd.[[#This Row],[Maahan-muuttajien koulutus 4]]-Opv.kohd.[[#This Row],[Maahan-muuttajien koulutus 1]]</f>
        <v>0</v>
      </c>
      <c r="AN53" s="204">
        <f>Opv.kohd.[[#This Row],[Nuorisotyöt. väh. ja osaamistarp. vast., muu kuin työvoima-koulutus 4]]-Opv.kohd.[[#This Row],[Nuorisotyöt. väh. ja osaamistarp. vast., muu kuin työvoima-koulutus 1]]</f>
        <v>0</v>
      </c>
      <c r="AO53" s="204">
        <f>Opv.kohd.[[#This Row],[Nuorisotyöt. väh. ja osaamistarp. vast., työvoima-koulutus 4]]-Opv.kohd.[[#This Row],[Nuorisotyöt. väh. ja osaamistarp. vast., työvoima-koulutus 1]]</f>
        <v>0</v>
      </c>
      <c r="AP53" s="204">
        <f>Opv.kohd.[[#This Row],[Yhteensä 4]]-Opv.kohd.[[#This Row],[Yhteensä  1]]</f>
        <v>0</v>
      </c>
      <c r="AQ53" s="204">
        <f>Opv.kohd.[[#This Row],[Ensikertaisella suoritepäätöksellä jaetut tavoitteelliset opiskelijavuodet yhteensä 4]]-Opv.kohd.[[#This Row],[Ensikertaisella suoritepäätöksellä jaetut tavoitteelliset opiskelijavuodet yhteensä 1]]</f>
        <v>0</v>
      </c>
      <c r="AR53" s="208">
        <f>IFERROR(Opv.kohd.[[#This Row],[Järjestämisluvan mukaiset 5]]/Opv.kohd.[[#This Row],[Järjestämisluvan mukaiset 4]],0)</f>
        <v>0</v>
      </c>
      <c r="AS53" s="208">
        <f>IFERROR(Opv.kohd.[[#This Row],[Kohdentamat-tomat 5]]/Opv.kohd.[[#This Row],[Kohdentamat-tomat 4]],0)</f>
        <v>0</v>
      </c>
      <c r="AT53" s="208">
        <f>IFERROR(Opv.kohd.[[#This Row],[Työvoima-koulutus 5]]/Opv.kohd.[[#This Row],[Työvoima-koulutus 4]],0)</f>
        <v>0</v>
      </c>
      <c r="AU53" s="208">
        <f>IFERROR(Opv.kohd.[[#This Row],[Maahan-muuttajien koulutus 5]]/Opv.kohd.[[#This Row],[Maahan-muuttajien koulutus 4]],0)</f>
        <v>0</v>
      </c>
      <c r="AV53" s="208">
        <f>IFERROR(Opv.kohd.[[#This Row],[Nuorisotyöt. väh. ja osaamistarp. vast., muu kuin työvoima-koulutus 5]]/Opv.kohd.[[#This Row],[Nuorisotyöt. väh. ja osaamistarp. vast., muu kuin työvoima-koulutus 4]],0)</f>
        <v>0</v>
      </c>
      <c r="AW53" s="208">
        <f>IFERROR(Opv.kohd.[[#This Row],[Nuorisotyöt. väh. ja osaamistarp. vast., työvoima-koulutus 5]]/Opv.kohd.[[#This Row],[Nuorisotyöt. väh. ja osaamistarp. vast., työvoima-koulutus 4]],0)</f>
        <v>0</v>
      </c>
      <c r="AX53" s="208">
        <f>IFERROR(Opv.kohd.[[#This Row],[Yhteensä 5]]/Opv.kohd.[[#This Row],[Yhteensä 4]],0)</f>
        <v>0</v>
      </c>
      <c r="AY53" s="208">
        <f>IFERROR(Opv.kohd.[[#This Row],[Ensikertaisella suoritepäätöksellä jaetut tavoitteelliset opiskelijavuodet yhteensä 5]]/Opv.kohd.[[#This Row],[Ensikertaisella suoritepäätöksellä jaetut tavoitteelliset opiskelijavuodet yhteensä 4]],0)</f>
        <v>0</v>
      </c>
      <c r="AZ53" s="207">
        <f>Opv.kohd.[[#This Row],[Yhteensä 7a]]-Opv.kohd.[[#This Row],[Työvoima-koulutus 7a]]</f>
        <v>0</v>
      </c>
      <c r="BA53" s="207">
        <f>IFERROR(VLOOKUP(Opv.kohd.[[#This Row],[Y-tunnus]],#REF!,COLUMN(#REF!),FALSE),0)</f>
        <v>0</v>
      </c>
      <c r="BB53" s="207">
        <f>IFERROR(VLOOKUP(Opv.kohd.[[#This Row],[Y-tunnus]],#REF!,COLUMN(#REF!),FALSE),0)</f>
        <v>0</v>
      </c>
      <c r="BC53" s="207">
        <f>Opv.kohd.[[#This Row],[Muu kuin työvoima-koulutus 7c]]-Opv.kohd.[[#This Row],[Muu kuin työvoima-koulutus 7a]]</f>
        <v>0</v>
      </c>
      <c r="BD53" s="207">
        <f>Opv.kohd.[[#This Row],[Työvoima-koulutus 7c]]-Opv.kohd.[[#This Row],[Työvoima-koulutus 7a]]</f>
        <v>0</v>
      </c>
      <c r="BE53" s="207">
        <f>Opv.kohd.[[#This Row],[Yhteensä 7c]]-Opv.kohd.[[#This Row],[Yhteensä 7a]]</f>
        <v>0</v>
      </c>
      <c r="BF53" s="207">
        <f>Opv.kohd.[[#This Row],[Yhteensä 7c]]-Opv.kohd.[[#This Row],[Työvoima-koulutus 7c]]</f>
        <v>0</v>
      </c>
      <c r="BG53" s="207">
        <f>IFERROR(VLOOKUP(Opv.kohd.[[#This Row],[Y-tunnus]],#REF!,COLUMN(#REF!),FALSE),0)</f>
        <v>0</v>
      </c>
      <c r="BH53" s="207">
        <f>IFERROR(VLOOKUP(Opv.kohd.[[#This Row],[Y-tunnus]],#REF!,COLUMN(#REF!),FALSE),0)</f>
        <v>0</v>
      </c>
      <c r="BI53" s="207">
        <f>IFERROR(VLOOKUP(Opv.kohd.[[#This Row],[Y-tunnus]],#REF!,COLUMN(#REF!),FALSE),0)</f>
        <v>0</v>
      </c>
      <c r="BJ53" s="207">
        <f>IFERROR(VLOOKUP(Opv.kohd.[[#This Row],[Y-tunnus]],#REF!,COLUMN(#REF!),FALSE),0)</f>
        <v>0</v>
      </c>
      <c r="BK53" s="207">
        <f>Opv.kohd.[[#This Row],[Muu kuin työvoima-koulutus 7d]]+Opv.kohd.[[#This Row],[Työvoima-koulutus 7d]]</f>
        <v>0</v>
      </c>
      <c r="BL53" s="207">
        <f>Opv.kohd.[[#This Row],[Muu kuin työvoima-koulutus 7c]]-Opv.kohd.[[#This Row],[Muu kuin työvoima-koulutus 7d]]</f>
        <v>0</v>
      </c>
      <c r="BM53" s="207">
        <f>Opv.kohd.[[#This Row],[Työvoima-koulutus 7c]]-Opv.kohd.[[#This Row],[Työvoima-koulutus 7d]]</f>
        <v>0</v>
      </c>
      <c r="BN53" s="207">
        <f>Opv.kohd.[[#This Row],[Yhteensä 7c]]-Opv.kohd.[[#This Row],[Yhteensä 7d]]</f>
        <v>0</v>
      </c>
      <c r="BO53" s="207">
        <f>Opv.kohd.[[#This Row],[Muu kuin työvoima-koulutus 7e]]-(Opv.kohd.[[#This Row],[Järjestämisluvan mukaiset 4]]+Opv.kohd.[[#This Row],[Kohdentamat-tomat 4]]+Opv.kohd.[[#This Row],[Maahan-muuttajien koulutus 4]]+Opv.kohd.[[#This Row],[Nuorisotyöt. väh. ja osaamistarp. vast., muu kuin työvoima-koulutus 4]])</f>
        <v>0</v>
      </c>
      <c r="BP53" s="207">
        <f>Opv.kohd.[[#This Row],[Työvoima-koulutus 7e]]-(Opv.kohd.[[#This Row],[Työvoima-koulutus 4]]+Opv.kohd.[[#This Row],[Nuorisotyöt. väh. ja osaamistarp. vast., työvoima-koulutus 4]])</f>
        <v>0</v>
      </c>
      <c r="BQ53" s="207">
        <f>Opv.kohd.[[#This Row],[Yhteensä 7e]]-Opv.kohd.[[#This Row],[Ensikertaisella suoritepäätöksellä jaetut tavoitteelliset opiskelijavuodet yhteensä 4]]</f>
        <v>0</v>
      </c>
      <c r="BR53" s="263">
        <v>69</v>
      </c>
      <c r="BS53" s="263">
        <v>5</v>
      </c>
      <c r="BT53" s="263">
        <v>0</v>
      </c>
      <c r="BU53" s="263">
        <v>0</v>
      </c>
      <c r="BV53" s="263">
        <v>0</v>
      </c>
      <c r="BW53" s="263">
        <v>0</v>
      </c>
      <c r="BX53" s="263">
        <v>5</v>
      </c>
      <c r="BY53" s="263">
        <v>74</v>
      </c>
      <c r="BZ53" s="207">
        <f t="shared" si="2"/>
        <v>69</v>
      </c>
      <c r="CA53" s="207">
        <f t="shared" si="3"/>
        <v>5</v>
      </c>
      <c r="CB53" s="207">
        <f t="shared" si="4"/>
        <v>0</v>
      </c>
      <c r="CC53" s="207">
        <f t="shared" si="5"/>
        <v>0</v>
      </c>
      <c r="CD53" s="207">
        <f t="shared" si="6"/>
        <v>0</v>
      </c>
      <c r="CE53" s="207">
        <f t="shared" si="7"/>
        <v>0</v>
      </c>
      <c r="CF53" s="207">
        <f t="shared" si="8"/>
        <v>5</v>
      </c>
      <c r="CG53" s="207">
        <f t="shared" si="9"/>
        <v>74</v>
      </c>
      <c r="CH53" s="207">
        <f>Opv.kohd.[[#This Row],[Tavoitteelliset opiskelijavuodet yhteensä 9]]-Opv.kohd.[[#This Row],[Työvoima-koulutus 9]]-Opv.kohd.[[#This Row],[Nuorisotyöt. väh. ja osaamistarp. vast., työvoima-koulutus 9]]-Opv.kohd.[[#This Row],[Muu kuin työvoima-koulutus 7e]]</f>
        <v>74</v>
      </c>
      <c r="CI53" s="207">
        <f>(Opv.kohd.[[#This Row],[Työvoima-koulutus 9]]+Opv.kohd.[[#This Row],[Nuorisotyöt. väh. ja osaamistarp. vast., työvoima-koulutus 9]])-Opv.kohd.[[#This Row],[Työvoima-koulutus 7e]]</f>
        <v>0</v>
      </c>
      <c r="CJ53" s="207">
        <f>Opv.kohd.[[#This Row],[Tavoitteelliset opiskelijavuodet yhteensä 9]]-Opv.kohd.[[#This Row],[Yhteensä 7e]]</f>
        <v>74</v>
      </c>
      <c r="CK53" s="207">
        <f>Opv.kohd.[[#This Row],[Järjestämisluvan mukaiset 4]]+Opv.kohd.[[#This Row],[Järjestämisluvan mukaiset 13]]</f>
        <v>0</v>
      </c>
      <c r="CL53" s="207">
        <f>Opv.kohd.[[#This Row],[Kohdentamat-tomat 4]]+Opv.kohd.[[#This Row],[Kohdentamat-tomat 13]]</f>
        <v>0</v>
      </c>
      <c r="CM53" s="207">
        <f>Opv.kohd.[[#This Row],[Työvoima-koulutus 4]]+Opv.kohd.[[#This Row],[Työvoima-koulutus 13]]</f>
        <v>0</v>
      </c>
      <c r="CN53" s="207">
        <f>Opv.kohd.[[#This Row],[Maahan-muuttajien koulutus 4]]+Opv.kohd.[[#This Row],[Maahan-muuttajien koulutus 13]]</f>
        <v>0</v>
      </c>
      <c r="CO53" s="207">
        <f>Opv.kohd.[[#This Row],[Nuorisotyöt. väh. ja osaamistarp. vast., muu kuin työvoima-koulutus 4]]+Opv.kohd.[[#This Row],[Nuorisotyöt. väh. ja osaamistarp. vast., muu kuin työvoima-koulutus 13]]</f>
        <v>0</v>
      </c>
      <c r="CP53" s="207">
        <f>Opv.kohd.[[#This Row],[Nuorisotyöt. väh. ja osaamistarp. vast., työvoima-koulutus 4]]+Opv.kohd.[[#This Row],[Nuorisotyöt. väh. ja osaamistarp. vast., työvoima-koulutus 13]]</f>
        <v>0</v>
      </c>
      <c r="CQ53" s="207">
        <f>Opv.kohd.[[#This Row],[Yhteensä 4]]+Opv.kohd.[[#This Row],[Yhteensä 13]]</f>
        <v>0</v>
      </c>
      <c r="CR53" s="207">
        <f>Opv.kohd.[[#This Row],[Ensikertaisella suoritepäätöksellä jaetut tavoitteelliset opiskelijavuodet yhteensä 4]]+Opv.kohd.[[#This Row],[Tavoitteelliset opiskelijavuodet yhteensä 13]]</f>
        <v>0</v>
      </c>
      <c r="CS53" s="120">
        <v>0</v>
      </c>
      <c r="CT53" s="120">
        <v>0</v>
      </c>
      <c r="CU53" s="120">
        <v>0</v>
      </c>
      <c r="CV53" s="120">
        <v>0</v>
      </c>
      <c r="CW53" s="120">
        <v>0</v>
      </c>
      <c r="CX53" s="120">
        <v>0</v>
      </c>
      <c r="CY53" s="120">
        <v>0</v>
      </c>
      <c r="CZ53" s="120">
        <v>0</v>
      </c>
      <c r="DA53" s="209">
        <f>IFERROR(Opv.kohd.[[#This Row],[Järjestämisluvan mukaiset 13]]/Opv.kohd.[[#This Row],[Järjestämisluvan mukaiset 12]],0)</f>
        <v>0</v>
      </c>
      <c r="DB53" s="209">
        <f>IFERROR(Opv.kohd.[[#This Row],[Kohdentamat-tomat 13]]/Opv.kohd.[[#This Row],[Kohdentamat-tomat 12]],0)</f>
        <v>0</v>
      </c>
      <c r="DC53" s="209">
        <f>IFERROR(Opv.kohd.[[#This Row],[Työvoima-koulutus 13]]/Opv.kohd.[[#This Row],[Työvoima-koulutus 12]],0)</f>
        <v>0</v>
      </c>
      <c r="DD53" s="209">
        <f>IFERROR(Opv.kohd.[[#This Row],[Maahan-muuttajien koulutus 13]]/Opv.kohd.[[#This Row],[Maahan-muuttajien koulutus 12]],0)</f>
        <v>0</v>
      </c>
      <c r="DE53" s="209">
        <f>IFERROR(Opv.kohd.[[#This Row],[Nuorisotyöt. väh. ja osaamistarp. vast., muu kuin työvoima-koulutus 13]]/Opv.kohd.[[#This Row],[Nuorisotyöt. väh. ja osaamistarp. vast., muu kuin työvoima-koulutus 12]],0)</f>
        <v>0</v>
      </c>
      <c r="DF53" s="209">
        <f>IFERROR(Opv.kohd.[[#This Row],[Nuorisotyöt. väh. ja osaamistarp. vast., työvoima-koulutus 13]]/Opv.kohd.[[#This Row],[Nuorisotyöt. väh. ja osaamistarp. vast., työvoima-koulutus 12]],0)</f>
        <v>0</v>
      </c>
      <c r="DG53" s="209">
        <f>IFERROR(Opv.kohd.[[#This Row],[Yhteensä 13]]/Opv.kohd.[[#This Row],[Yhteensä 12]],0)</f>
        <v>0</v>
      </c>
      <c r="DH53" s="209">
        <f>IFERROR(Opv.kohd.[[#This Row],[Tavoitteelliset opiskelijavuodet yhteensä 13]]/Opv.kohd.[[#This Row],[Tavoitteelliset opiskelijavuodet yhteensä 12]],0)</f>
        <v>0</v>
      </c>
      <c r="DI53" s="207">
        <f>Opv.kohd.[[#This Row],[Järjestämisluvan mukaiset 12]]-Opv.kohd.[[#This Row],[Järjestämisluvan mukaiset 9]]</f>
        <v>-69</v>
      </c>
      <c r="DJ53" s="207">
        <f>Opv.kohd.[[#This Row],[Kohdentamat-tomat 12]]-Opv.kohd.[[#This Row],[Kohdentamat-tomat 9]]</f>
        <v>-5</v>
      </c>
      <c r="DK53" s="207">
        <f>Opv.kohd.[[#This Row],[Työvoima-koulutus 12]]-Opv.kohd.[[#This Row],[Työvoima-koulutus 9]]</f>
        <v>0</v>
      </c>
      <c r="DL53" s="207">
        <f>Opv.kohd.[[#This Row],[Maahan-muuttajien koulutus 12]]-Opv.kohd.[[#This Row],[Maahan-muuttajien koulutus 9]]</f>
        <v>0</v>
      </c>
      <c r="DM53" s="207">
        <f>Opv.kohd.[[#This Row],[Nuorisotyöt. väh. ja osaamistarp. vast., muu kuin työvoima-koulutus 12]]-Opv.kohd.[[#This Row],[Nuorisotyöt. väh. ja osaamistarp. vast., muu kuin työvoima-koulutus 9]]</f>
        <v>0</v>
      </c>
      <c r="DN53" s="207">
        <f>Opv.kohd.[[#This Row],[Nuorisotyöt. väh. ja osaamistarp. vast., työvoima-koulutus 12]]-Opv.kohd.[[#This Row],[Nuorisotyöt. väh. ja osaamistarp. vast., työvoima-koulutus 9]]</f>
        <v>0</v>
      </c>
      <c r="DO53" s="207">
        <f>Opv.kohd.[[#This Row],[Yhteensä 12]]-Opv.kohd.[[#This Row],[Yhteensä 9]]</f>
        <v>-5</v>
      </c>
      <c r="DP53" s="207">
        <f>Opv.kohd.[[#This Row],[Tavoitteelliset opiskelijavuodet yhteensä 12]]-Opv.kohd.[[#This Row],[Tavoitteelliset opiskelijavuodet yhteensä 9]]</f>
        <v>-74</v>
      </c>
      <c r="DQ53" s="209">
        <f>IFERROR(Opv.kohd.[[#This Row],[Järjestämisluvan mukaiset 15]]/Opv.kohd.[[#This Row],[Järjestämisluvan mukaiset 9]],0)</f>
        <v>-1</v>
      </c>
      <c r="DR53" s="209">
        <f t="shared" si="10"/>
        <v>0</v>
      </c>
      <c r="DS53" s="209">
        <f t="shared" si="11"/>
        <v>0</v>
      </c>
      <c r="DT53" s="209">
        <f t="shared" si="12"/>
        <v>0</v>
      </c>
      <c r="DU53" s="209">
        <f t="shared" si="13"/>
        <v>0</v>
      </c>
      <c r="DV53" s="209">
        <f t="shared" si="14"/>
        <v>0</v>
      </c>
      <c r="DW53" s="209">
        <f t="shared" si="15"/>
        <v>0</v>
      </c>
      <c r="DX53" s="209">
        <f t="shared" si="16"/>
        <v>0</v>
      </c>
    </row>
    <row r="54" spans="1:128" x14ac:dyDescent="0.25">
      <c r="A54" s="204" t="e">
        <f>IF(INDEX(#REF!,ROW(54:54)-1,1)=0,"",INDEX(#REF!,ROW(54:54)-1,1))</f>
        <v>#REF!</v>
      </c>
      <c r="B54" s="205" t="str">
        <f>IFERROR(VLOOKUP(Opv.kohd.[[#This Row],[Y-tunnus]],'0 Järjestäjätiedot'!$A:$H,2,FALSE),"")</f>
        <v/>
      </c>
      <c r="C54" s="204" t="str">
        <f>IFERROR(VLOOKUP(Opv.kohd.[[#This Row],[Y-tunnus]],'0 Järjestäjätiedot'!$A:$H,COLUMN('0 Järjestäjätiedot'!D:D),FALSE),"")</f>
        <v/>
      </c>
      <c r="D54" s="204" t="str">
        <f>IFERROR(VLOOKUP(Opv.kohd.[[#This Row],[Y-tunnus]],'0 Järjestäjätiedot'!$A:$H,COLUMN('0 Järjestäjätiedot'!H:H),FALSE),"")</f>
        <v/>
      </c>
      <c r="E54" s="204">
        <f>IFERROR(VLOOKUP(Opv.kohd.[[#This Row],[Y-tunnus]],#REF!,COLUMN(#REF!),FALSE),0)</f>
        <v>0</v>
      </c>
      <c r="F54" s="204">
        <f>IFERROR(VLOOKUP(Opv.kohd.[[#This Row],[Y-tunnus]],#REF!,COLUMN(#REF!),FALSE),0)</f>
        <v>0</v>
      </c>
      <c r="G54" s="204">
        <f>IFERROR(VLOOKUP(Opv.kohd.[[#This Row],[Y-tunnus]],#REF!,COLUMN(#REF!),FALSE),0)</f>
        <v>0</v>
      </c>
      <c r="H54" s="204">
        <f>IFERROR(VLOOKUP(Opv.kohd.[[#This Row],[Y-tunnus]],#REF!,COLUMN(#REF!),FALSE),0)</f>
        <v>0</v>
      </c>
      <c r="I54" s="204">
        <f>IFERROR(VLOOKUP(Opv.kohd.[[#This Row],[Y-tunnus]],#REF!,COLUMN(#REF!),FALSE),0)</f>
        <v>0</v>
      </c>
      <c r="J54" s="204">
        <f>IFERROR(VLOOKUP(Opv.kohd.[[#This Row],[Y-tunnus]],#REF!,COLUMN(#REF!),FALSE),0)</f>
        <v>0</v>
      </c>
      <c r="K5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54" s="204">
        <f>Opv.kohd.[[#This Row],[Järjestämisluvan mukaiset 1]]+Opv.kohd.[[#This Row],[Yhteensä  1]]</f>
        <v>0</v>
      </c>
      <c r="M54" s="204">
        <f>IFERROR(VLOOKUP(Opv.kohd.[[#This Row],[Y-tunnus]],#REF!,COLUMN(#REF!),FALSE),0)</f>
        <v>0</v>
      </c>
      <c r="N54" s="204">
        <f>IFERROR(VLOOKUP(Opv.kohd.[[#This Row],[Y-tunnus]],#REF!,COLUMN(#REF!),FALSE),0)</f>
        <v>0</v>
      </c>
      <c r="O54" s="204">
        <f>IFERROR(VLOOKUP(Opv.kohd.[[#This Row],[Y-tunnus]],#REF!,COLUMN(#REF!),FALSE)+VLOOKUP(Opv.kohd.[[#This Row],[Y-tunnus]],#REF!,COLUMN(#REF!),FALSE),0)</f>
        <v>0</v>
      </c>
      <c r="P54" s="204">
        <f>Opv.kohd.[[#This Row],[Talousarvion perusteella kohdentamattomat]]+Opv.kohd.[[#This Row],[Talousarvion perusteella työvoimakoulutus 1]]+Opv.kohd.[[#This Row],[Lisätalousarvioiden perusteella]]</f>
        <v>0</v>
      </c>
      <c r="Q54" s="204">
        <f>IFERROR(VLOOKUP(Opv.kohd.[[#This Row],[Y-tunnus]],#REF!,COLUMN(#REF!),FALSE),0)</f>
        <v>0</v>
      </c>
      <c r="R54" s="210">
        <f>IFERROR(VLOOKUP(Opv.kohd.[[#This Row],[Y-tunnus]],#REF!,COLUMN(#REF!),FALSE)-(Opv.kohd.[[#This Row],[Kohdentamaton työvoima-koulutus 2]]+Opv.kohd.[[#This Row],[Maahan-muuttajien koulutus 2]]+Opv.kohd.[[#This Row],[Lisätalousarvioiden perusteella jaetut 2]]),0)</f>
        <v>0</v>
      </c>
      <c r="S54" s="210">
        <f>IFERROR(VLOOKUP(Opv.kohd.[[#This Row],[Y-tunnus]],#REF!,COLUMN(#REF!),FALSE)+VLOOKUP(Opv.kohd.[[#This Row],[Y-tunnus]],#REF!,COLUMN(#REF!),FALSE),0)</f>
        <v>0</v>
      </c>
      <c r="T54" s="210">
        <f>IFERROR(VLOOKUP(Opv.kohd.[[#This Row],[Y-tunnus]],#REF!,COLUMN(#REF!),FALSE)+VLOOKUP(Opv.kohd.[[#This Row],[Y-tunnus]],#REF!,COLUMN(#REF!),FALSE),0)</f>
        <v>0</v>
      </c>
      <c r="U5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54" s="210">
        <f>Opv.kohd.[[#This Row],[Kohdentamat-tomat 2]]+Opv.kohd.[[#This Row],[Kohdentamaton työvoima-koulutus 2]]+Opv.kohd.[[#This Row],[Maahan-muuttajien koulutus 2]]+Opv.kohd.[[#This Row],[Lisätalousarvioiden perusteella jaetut 2]]</f>
        <v>0</v>
      </c>
      <c r="W54" s="210">
        <f>Opv.kohd.[[#This Row],[Kohdentamat-tomat 2]]-(Opv.kohd.[[#This Row],[Järjestämisluvan mukaiset 1]]+Opv.kohd.[[#This Row],[Kohdentamat-tomat 1]]+Opv.kohd.[[#This Row],[Nuorisotyöt. väh. ja osaamistarp. vast., muu kuin työvoima-koulutus 1]]+Opv.kohd.[[#This Row],[Talousarvion perusteella kohdentamattomat]])</f>
        <v>0</v>
      </c>
      <c r="X54" s="210">
        <f>Opv.kohd.[[#This Row],[Kohdentamaton työvoima-koulutus 2]]-(Opv.kohd.[[#This Row],[Työvoima-koulutus 1]]+Opv.kohd.[[#This Row],[Nuorisotyöt. väh. ja osaamistarp. vast., työvoima-koulutus 1]]+Opv.kohd.[[#This Row],[Talousarvion perusteella työvoimakoulutus 1]])</f>
        <v>0</v>
      </c>
      <c r="Y54" s="210">
        <f>Opv.kohd.[[#This Row],[Maahan-muuttajien koulutus 2]]-Opv.kohd.[[#This Row],[Maahan-muuttajien koulutus 1]]</f>
        <v>0</v>
      </c>
      <c r="Z54" s="210">
        <f>Opv.kohd.[[#This Row],[Lisätalousarvioiden perusteella jaetut 2]]-Opv.kohd.[[#This Row],[Lisätalousarvioiden perusteella]]</f>
        <v>0</v>
      </c>
      <c r="AA54" s="210">
        <f>Opv.kohd.[[#This Row],[Toteutuneet opiskelijavuodet yhteensä 2]]-Opv.kohd.[[#This Row],[Vuoden 2018 tavoitteelliset opiskelijavuodet yhteensä 1]]</f>
        <v>0</v>
      </c>
      <c r="AB54" s="207">
        <f>IFERROR(VLOOKUP(Opv.kohd.[[#This Row],[Y-tunnus]],#REF!,3,FALSE),0)</f>
        <v>0</v>
      </c>
      <c r="AC54" s="207">
        <f>IFERROR(VLOOKUP(Opv.kohd.[[#This Row],[Y-tunnus]],#REF!,4,FALSE),0)</f>
        <v>0</v>
      </c>
      <c r="AD54" s="207">
        <f>IFERROR(VLOOKUP(Opv.kohd.[[#This Row],[Y-tunnus]],#REF!,5,FALSE),0)</f>
        <v>0</v>
      </c>
      <c r="AE54" s="207">
        <f>IFERROR(VLOOKUP(Opv.kohd.[[#This Row],[Y-tunnus]],#REF!,6,FALSE),0)</f>
        <v>0</v>
      </c>
      <c r="AF54" s="207">
        <f>IFERROR(VLOOKUP(Opv.kohd.[[#This Row],[Y-tunnus]],#REF!,7,FALSE),0)</f>
        <v>0</v>
      </c>
      <c r="AG54" s="207">
        <f>IFERROR(VLOOKUP(Opv.kohd.[[#This Row],[Y-tunnus]],#REF!,8,FALSE),0)</f>
        <v>0</v>
      </c>
      <c r="AH54" s="207">
        <f>IFERROR(VLOOKUP(Opv.kohd.[[#This Row],[Y-tunnus]],#REF!,9,FALSE),0)</f>
        <v>0</v>
      </c>
      <c r="AI54" s="207">
        <f>IFERROR(VLOOKUP(Opv.kohd.[[#This Row],[Y-tunnus]],#REF!,10,FALSE),0)</f>
        <v>0</v>
      </c>
      <c r="AJ54" s="204">
        <f>Opv.kohd.[[#This Row],[Järjestämisluvan mukaiset 4]]-Opv.kohd.[[#This Row],[Järjestämisluvan mukaiset 1]]</f>
        <v>0</v>
      </c>
      <c r="AK54" s="204">
        <f>Opv.kohd.[[#This Row],[Kohdentamat-tomat 4]]-Opv.kohd.[[#This Row],[Kohdentamat-tomat 1]]</f>
        <v>0</v>
      </c>
      <c r="AL54" s="204">
        <f>Opv.kohd.[[#This Row],[Työvoima-koulutus 4]]-Opv.kohd.[[#This Row],[Työvoima-koulutus 1]]</f>
        <v>0</v>
      </c>
      <c r="AM54" s="204">
        <f>Opv.kohd.[[#This Row],[Maahan-muuttajien koulutus 4]]-Opv.kohd.[[#This Row],[Maahan-muuttajien koulutus 1]]</f>
        <v>0</v>
      </c>
      <c r="AN54" s="204">
        <f>Opv.kohd.[[#This Row],[Nuorisotyöt. väh. ja osaamistarp. vast., muu kuin työvoima-koulutus 4]]-Opv.kohd.[[#This Row],[Nuorisotyöt. väh. ja osaamistarp. vast., muu kuin työvoima-koulutus 1]]</f>
        <v>0</v>
      </c>
      <c r="AO54" s="204">
        <f>Opv.kohd.[[#This Row],[Nuorisotyöt. väh. ja osaamistarp. vast., työvoima-koulutus 4]]-Opv.kohd.[[#This Row],[Nuorisotyöt. väh. ja osaamistarp. vast., työvoima-koulutus 1]]</f>
        <v>0</v>
      </c>
      <c r="AP54" s="204">
        <f>Opv.kohd.[[#This Row],[Yhteensä 4]]-Opv.kohd.[[#This Row],[Yhteensä  1]]</f>
        <v>0</v>
      </c>
      <c r="AQ54" s="204">
        <f>Opv.kohd.[[#This Row],[Ensikertaisella suoritepäätöksellä jaetut tavoitteelliset opiskelijavuodet yhteensä 4]]-Opv.kohd.[[#This Row],[Ensikertaisella suoritepäätöksellä jaetut tavoitteelliset opiskelijavuodet yhteensä 1]]</f>
        <v>0</v>
      </c>
      <c r="AR54" s="208">
        <f>IFERROR(Opv.kohd.[[#This Row],[Järjestämisluvan mukaiset 5]]/Opv.kohd.[[#This Row],[Järjestämisluvan mukaiset 4]],0)</f>
        <v>0</v>
      </c>
      <c r="AS54" s="208">
        <f>IFERROR(Opv.kohd.[[#This Row],[Kohdentamat-tomat 5]]/Opv.kohd.[[#This Row],[Kohdentamat-tomat 4]],0)</f>
        <v>0</v>
      </c>
      <c r="AT54" s="208">
        <f>IFERROR(Opv.kohd.[[#This Row],[Työvoima-koulutus 5]]/Opv.kohd.[[#This Row],[Työvoima-koulutus 4]],0)</f>
        <v>0</v>
      </c>
      <c r="AU54" s="208">
        <f>IFERROR(Opv.kohd.[[#This Row],[Maahan-muuttajien koulutus 5]]/Opv.kohd.[[#This Row],[Maahan-muuttajien koulutus 4]],0)</f>
        <v>0</v>
      </c>
      <c r="AV54" s="208">
        <f>IFERROR(Opv.kohd.[[#This Row],[Nuorisotyöt. väh. ja osaamistarp. vast., muu kuin työvoima-koulutus 5]]/Opv.kohd.[[#This Row],[Nuorisotyöt. väh. ja osaamistarp. vast., muu kuin työvoima-koulutus 4]],0)</f>
        <v>0</v>
      </c>
      <c r="AW54" s="208">
        <f>IFERROR(Opv.kohd.[[#This Row],[Nuorisotyöt. väh. ja osaamistarp. vast., työvoima-koulutus 5]]/Opv.kohd.[[#This Row],[Nuorisotyöt. väh. ja osaamistarp. vast., työvoima-koulutus 4]],0)</f>
        <v>0</v>
      </c>
      <c r="AX54" s="208">
        <f>IFERROR(Opv.kohd.[[#This Row],[Yhteensä 5]]/Opv.kohd.[[#This Row],[Yhteensä 4]],0)</f>
        <v>0</v>
      </c>
      <c r="AY54" s="208">
        <f>IFERROR(Opv.kohd.[[#This Row],[Ensikertaisella suoritepäätöksellä jaetut tavoitteelliset opiskelijavuodet yhteensä 5]]/Opv.kohd.[[#This Row],[Ensikertaisella suoritepäätöksellä jaetut tavoitteelliset opiskelijavuodet yhteensä 4]],0)</f>
        <v>0</v>
      </c>
      <c r="AZ54" s="207">
        <f>Opv.kohd.[[#This Row],[Yhteensä 7a]]-Opv.kohd.[[#This Row],[Työvoima-koulutus 7a]]</f>
        <v>0</v>
      </c>
      <c r="BA54" s="207">
        <f>IFERROR(VLOOKUP(Opv.kohd.[[#This Row],[Y-tunnus]],#REF!,COLUMN(#REF!),FALSE),0)</f>
        <v>0</v>
      </c>
      <c r="BB54" s="207">
        <f>IFERROR(VLOOKUP(Opv.kohd.[[#This Row],[Y-tunnus]],#REF!,COLUMN(#REF!),FALSE),0)</f>
        <v>0</v>
      </c>
      <c r="BC54" s="207">
        <f>Opv.kohd.[[#This Row],[Muu kuin työvoima-koulutus 7c]]-Opv.kohd.[[#This Row],[Muu kuin työvoima-koulutus 7a]]</f>
        <v>0</v>
      </c>
      <c r="BD54" s="207">
        <f>Opv.kohd.[[#This Row],[Työvoima-koulutus 7c]]-Opv.kohd.[[#This Row],[Työvoima-koulutus 7a]]</f>
        <v>0</v>
      </c>
      <c r="BE54" s="207">
        <f>Opv.kohd.[[#This Row],[Yhteensä 7c]]-Opv.kohd.[[#This Row],[Yhteensä 7a]]</f>
        <v>0</v>
      </c>
      <c r="BF54" s="207">
        <f>Opv.kohd.[[#This Row],[Yhteensä 7c]]-Opv.kohd.[[#This Row],[Työvoima-koulutus 7c]]</f>
        <v>0</v>
      </c>
      <c r="BG54" s="207">
        <f>IFERROR(VLOOKUP(Opv.kohd.[[#This Row],[Y-tunnus]],#REF!,COLUMN(#REF!),FALSE),0)</f>
        <v>0</v>
      </c>
      <c r="BH54" s="207">
        <f>IFERROR(VLOOKUP(Opv.kohd.[[#This Row],[Y-tunnus]],#REF!,COLUMN(#REF!),FALSE),0)</f>
        <v>0</v>
      </c>
      <c r="BI54" s="207">
        <f>IFERROR(VLOOKUP(Opv.kohd.[[#This Row],[Y-tunnus]],#REF!,COLUMN(#REF!),FALSE),0)</f>
        <v>0</v>
      </c>
      <c r="BJ54" s="207">
        <f>IFERROR(VLOOKUP(Opv.kohd.[[#This Row],[Y-tunnus]],#REF!,COLUMN(#REF!),FALSE),0)</f>
        <v>0</v>
      </c>
      <c r="BK54" s="207">
        <f>Opv.kohd.[[#This Row],[Muu kuin työvoima-koulutus 7d]]+Opv.kohd.[[#This Row],[Työvoima-koulutus 7d]]</f>
        <v>0</v>
      </c>
      <c r="BL54" s="207">
        <f>Opv.kohd.[[#This Row],[Muu kuin työvoima-koulutus 7c]]-Opv.kohd.[[#This Row],[Muu kuin työvoima-koulutus 7d]]</f>
        <v>0</v>
      </c>
      <c r="BM54" s="207">
        <f>Opv.kohd.[[#This Row],[Työvoima-koulutus 7c]]-Opv.kohd.[[#This Row],[Työvoima-koulutus 7d]]</f>
        <v>0</v>
      </c>
      <c r="BN54" s="207">
        <f>Opv.kohd.[[#This Row],[Yhteensä 7c]]-Opv.kohd.[[#This Row],[Yhteensä 7d]]</f>
        <v>0</v>
      </c>
      <c r="BO54" s="207">
        <f>Opv.kohd.[[#This Row],[Muu kuin työvoima-koulutus 7e]]-(Opv.kohd.[[#This Row],[Järjestämisluvan mukaiset 4]]+Opv.kohd.[[#This Row],[Kohdentamat-tomat 4]]+Opv.kohd.[[#This Row],[Maahan-muuttajien koulutus 4]]+Opv.kohd.[[#This Row],[Nuorisotyöt. väh. ja osaamistarp. vast., muu kuin työvoima-koulutus 4]])</f>
        <v>0</v>
      </c>
      <c r="BP54" s="207">
        <f>Opv.kohd.[[#This Row],[Työvoima-koulutus 7e]]-(Opv.kohd.[[#This Row],[Työvoima-koulutus 4]]+Opv.kohd.[[#This Row],[Nuorisotyöt. väh. ja osaamistarp. vast., työvoima-koulutus 4]])</f>
        <v>0</v>
      </c>
      <c r="BQ54" s="207">
        <f>Opv.kohd.[[#This Row],[Yhteensä 7e]]-Opv.kohd.[[#This Row],[Ensikertaisella suoritepäätöksellä jaetut tavoitteelliset opiskelijavuodet yhteensä 4]]</f>
        <v>0</v>
      </c>
      <c r="BR54" s="263">
        <v>83</v>
      </c>
      <c r="BS54" s="263">
        <v>6</v>
      </c>
      <c r="BT54" s="263">
        <v>0</v>
      </c>
      <c r="BU54" s="263">
        <v>0</v>
      </c>
      <c r="BV54" s="263">
        <v>0</v>
      </c>
      <c r="BW54" s="263">
        <v>0</v>
      </c>
      <c r="BX54" s="263">
        <v>6</v>
      </c>
      <c r="BY54" s="263">
        <v>89</v>
      </c>
      <c r="BZ54" s="207">
        <f t="shared" si="2"/>
        <v>83</v>
      </c>
      <c r="CA54" s="207">
        <f t="shared" si="3"/>
        <v>6</v>
      </c>
      <c r="CB54" s="207">
        <f t="shared" si="4"/>
        <v>0</v>
      </c>
      <c r="CC54" s="207">
        <f t="shared" si="5"/>
        <v>0</v>
      </c>
      <c r="CD54" s="207">
        <f t="shared" si="6"/>
        <v>0</v>
      </c>
      <c r="CE54" s="207">
        <f t="shared" si="7"/>
        <v>0</v>
      </c>
      <c r="CF54" s="207">
        <f t="shared" si="8"/>
        <v>6</v>
      </c>
      <c r="CG54" s="207">
        <f t="shared" si="9"/>
        <v>89</v>
      </c>
      <c r="CH54" s="207">
        <f>Opv.kohd.[[#This Row],[Tavoitteelliset opiskelijavuodet yhteensä 9]]-Opv.kohd.[[#This Row],[Työvoima-koulutus 9]]-Opv.kohd.[[#This Row],[Nuorisotyöt. väh. ja osaamistarp. vast., työvoima-koulutus 9]]-Opv.kohd.[[#This Row],[Muu kuin työvoima-koulutus 7e]]</f>
        <v>89</v>
      </c>
      <c r="CI54" s="207">
        <f>(Opv.kohd.[[#This Row],[Työvoima-koulutus 9]]+Opv.kohd.[[#This Row],[Nuorisotyöt. väh. ja osaamistarp. vast., työvoima-koulutus 9]])-Opv.kohd.[[#This Row],[Työvoima-koulutus 7e]]</f>
        <v>0</v>
      </c>
      <c r="CJ54" s="207">
        <f>Opv.kohd.[[#This Row],[Tavoitteelliset opiskelijavuodet yhteensä 9]]-Opv.kohd.[[#This Row],[Yhteensä 7e]]</f>
        <v>89</v>
      </c>
      <c r="CK54" s="207">
        <f>Opv.kohd.[[#This Row],[Järjestämisluvan mukaiset 4]]+Opv.kohd.[[#This Row],[Järjestämisluvan mukaiset 13]]</f>
        <v>0</v>
      </c>
      <c r="CL54" s="207">
        <f>Opv.kohd.[[#This Row],[Kohdentamat-tomat 4]]+Opv.kohd.[[#This Row],[Kohdentamat-tomat 13]]</f>
        <v>0</v>
      </c>
      <c r="CM54" s="207">
        <f>Opv.kohd.[[#This Row],[Työvoima-koulutus 4]]+Opv.kohd.[[#This Row],[Työvoima-koulutus 13]]</f>
        <v>0</v>
      </c>
      <c r="CN54" s="207">
        <f>Opv.kohd.[[#This Row],[Maahan-muuttajien koulutus 4]]+Opv.kohd.[[#This Row],[Maahan-muuttajien koulutus 13]]</f>
        <v>0</v>
      </c>
      <c r="CO54" s="207">
        <f>Opv.kohd.[[#This Row],[Nuorisotyöt. väh. ja osaamistarp. vast., muu kuin työvoima-koulutus 4]]+Opv.kohd.[[#This Row],[Nuorisotyöt. väh. ja osaamistarp. vast., muu kuin työvoima-koulutus 13]]</f>
        <v>0</v>
      </c>
      <c r="CP54" s="207">
        <f>Opv.kohd.[[#This Row],[Nuorisotyöt. väh. ja osaamistarp. vast., työvoima-koulutus 4]]+Opv.kohd.[[#This Row],[Nuorisotyöt. väh. ja osaamistarp. vast., työvoima-koulutus 13]]</f>
        <v>0</v>
      </c>
      <c r="CQ54" s="207">
        <f>Opv.kohd.[[#This Row],[Yhteensä 4]]+Opv.kohd.[[#This Row],[Yhteensä 13]]</f>
        <v>0</v>
      </c>
      <c r="CR54" s="207">
        <f>Opv.kohd.[[#This Row],[Ensikertaisella suoritepäätöksellä jaetut tavoitteelliset opiskelijavuodet yhteensä 4]]+Opv.kohd.[[#This Row],[Tavoitteelliset opiskelijavuodet yhteensä 13]]</f>
        <v>0</v>
      </c>
      <c r="CS54" s="120">
        <v>0</v>
      </c>
      <c r="CT54" s="120">
        <v>0</v>
      </c>
      <c r="CU54" s="120">
        <v>0</v>
      </c>
      <c r="CV54" s="120">
        <v>0</v>
      </c>
      <c r="CW54" s="120">
        <v>0</v>
      </c>
      <c r="CX54" s="120">
        <v>0</v>
      </c>
      <c r="CY54" s="120">
        <v>0</v>
      </c>
      <c r="CZ54" s="120">
        <v>0</v>
      </c>
      <c r="DA54" s="209">
        <f>IFERROR(Opv.kohd.[[#This Row],[Järjestämisluvan mukaiset 13]]/Opv.kohd.[[#This Row],[Järjestämisluvan mukaiset 12]],0)</f>
        <v>0</v>
      </c>
      <c r="DB54" s="209">
        <f>IFERROR(Opv.kohd.[[#This Row],[Kohdentamat-tomat 13]]/Opv.kohd.[[#This Row],[Kohdentamat-tomat 12]],0)</f>
        <v>0</v>
      </c>
      <c r="DC54" s="209">
        <f>IFERROR(Opv.kohd.[[#This Row],[Työvoima-koulutus 13]]/Opv.kohd.[[#This Row],[Työvoima-koulutus 12]],0)</f>
        <v>0</v>
      </c>
      <c r="DD54" s="209">
        <f>IFERROR(Opv.kohd.[[#This Row],[Maahan-muuttajien koulutus 13]]/Opv.kohd.[[#This Row],[Maahan-muuttajien koulutus 12]],0)</f>
        <v>0</v>
      </c>
      <c r="DE54" s="209">
        <f>IFERROR(Opv.kohd.[[#This Row],[Nuorisotyöt. väh. ja osaamistarp. vast., muu kuin työvoima-koulutus 13]]/Opv.kohd.[[#This Row],[Nuorisotyöt. väh. ja osaamistarp. vast., muu kuin työvoima-koulutus 12]],0)</f>
        <v>0</v>
      </c>
      <c r="DF54" s="209">
        <f>IFERROR(Opv.kohd.[[#This Row],[Nuorisotyöt. väh. ja osaamistarp. vast., työvoima-koulutus 13]]/Opv.kohd.[[#This Row],[Nuorisotyöt. väh. ja osaamistarp. vast., työvoima-koulutus 12]],0)</f>
        <v>0</v>
      </c>
      <c r="DG54" s="209">
        <f>IFERROR(Opv.kohd.[[#This Row],[Yhteensä 13]]/Opv.kohd.[[#This Row],[Yhteensä 12]],0)</f>
        <v>0</v>
      </c>
      <c r="DH54" s="209">
        <f>IFERROR(Opv.kohd.[[#This Row],[Tavoitteelliset opiskelijavuodet yhteensä 13]]/Opv.kohd.[[#This Row],[Tavoitteelliset opiskelijavuodet yhteensä 12]],0)</f>
        <v>0</v>
      </c>
      <c r="DI54" s="207">
        <f>Opv.kohd.[[#This Row],[Järjestämisluvan mukaiset 12]]-Opv.kohd.[[#This Row],[Järjestämisluvan mukaiset 9]]</f>
        <v>-83</v>
      </c>
      <c r="DJ54" s="207">
        <f>Opv.kohd.[[#This Row],[Kohdentamat-tomat 12]]-Opv.kohd.[[#This Row],[Kohdentamat-tomat 9]]</f>
        <v>-6</v>
      </c>
      <c r="DK54" s="207">
        <f>Opv.kohd.[[#This Row],[Työvoima-koulutus 12]]-Opv.kohd.[[#This Row],[Työvoima-koulutus 9]]</f>
        <v>0</v>
      </c>
      <c r="DL54" s="207">
        <f>Opv.kohd.[[#This Row],[Maahan-muuttajien koulutus 12]]-Opv.kohd.[[#This Row],[Maahan-muuttajien koulutus 9]]</f>
        <v>0</v>
      </c>
      <c r="DM54" s="207">
        <f>Opv.kohd.[[#This Row],[Nuorisotyöt. väh. ja osaamistarp. vast., muu kuin työvoima-koulutus 12]]-Opv.kohd.[[#This Row],[Nuorisotyöt. väh. ja osaamistarp. vast., muu kuin työvoima-koulutus 9]]</f>
        <v>0</v>
      </c>
      <c r="DN54" s="207">
        <f>Opv.kohd.[[#This Row],[Nuorisotyöt. väh. ja osaamistarp. vast., työvoima-koulutus 12]]-Opv.kohd.[[#This Row],[Nuorisotyöt. väh. ja osaamistarp. vast., työvoima-koulutus 9]]</f>
        <v>0</v>
      </c>
      <c r="DO54" s="207">
        <f>Opv.kohd.[[#This Row],[Yhteensä 12]]-Opv.kohd.[[#This Row],[Yhteensä 9]]</f>
        <v>-6</v>
      </c>
      <c r="DP54" s="207">
        <f>Opv.kohd.[[#This Row],[Tavoitteelliset opiskelijavuodet yhteensä 12]]-Opv.kohd.[[#This Row],[Tavoitteelliset opiskelijavuodet yhteensä 9]]</f>
        <v>-89</v>
      </c>
      <c r="DQ54" s="209">
        <f>IFERROR(Opv.kohd.[[#This Row],[Järjestämisluvan mukaiset 15]]/Opv.kohd.[[#This Row],[Järjestämisluvan mukaiset 9]],0)</f>
        <v>-1</v>
      </c>
      <c r="DR54" s="209">
        <f t="shared" si="10"/>
        <v>0</v>
      </c>
      <c r="DS54" s="209">
        <f t="shared" si="11"/>
        <v>0</v>
      </c>
      <c r="DT54" s="209">
        <f t="shared" si="12"/>
        <v>0</v>
      </c>
      <c r="DU54" s="209">
        <f t="shared" si="13"/>
        <v>0</v>
      </c>
      <c r="DV54" s="209">
        <f t="shared" si="14"/>
        <v>0</v>
      </c>
      <c r="DW54" s="209">
        <f t="shared" si="15"/>
        <v>0</v>
      </c>
      <c r="DX54" s="209">
        <f t="shared" si="16"/>
        <v>0</v>
      </c>
    </row>
    <row r="55" spans="1:128" x14ac:dyDescent="0.25">
      <c r="A55" s="204" t="e">
        <f>IF(INDEX(#REF!,ROW(55:55)-1,1)=0,"",INDEX(#REF!,ROW(55:55)-1,1))</f>
        <v>#REF!</v>
      </c>
      <c r="B55" s="205" t="str">
        <f>IFERROR(VLOOKUP(Opv.kohd.[[#This Row],[Y-tunnus]],'0 Järjestäjätiedot'!$A:$H,2,FALSE),"")</f>
        <v/>
      </c>
      <c r="C55" s="204" t="str">
        <f>IFERROR(VLOOKUP(Opv.kohd.[[#This Row],[Y-tunnus]],'0 Järjestäjätiedot'!$A:$H,COLUMN('0 Järjestäjätiedot'!D:D),FALSE),"")</f>
        <v/>
      </c>
      <c r="D55" s="204" t="str">
        <f>IFERROR(VLOOKUP(Opv.kohd.[[#This Row],[Y-tunnus]],'0 Järjestäjätiedot'!$A:$H,COLUMN('0 Järjestäjätiedot'!H:H),FALSE),"")</f>
        <v/>
      </c>
      <c r="E55" s="204">
        <f>IFERROR(VLOOKUP(Opv.kohd.[[#This Row],[Y-tunnus]],#REF!,COLUMN(#REF!),FALSE),0)</f>
        <v>0</v>
      </c>
      <c r="F55" s="204">
        <f>IFERROR(VLOOKUP(Opv.kohd.[[#This Row],[Y-tunnus]],#REF!,COLUMN(#REF!),FALSE),0)</f>
        <v>0</v>
      </c>
      <c r="G55" s="204">
        <f>IFERROR(VLOOKUP(Opv.kohd.[[#This Row],[Y-tunnus]],#REF!,COLUMN(#REF!),FALSE),0)</f>
        <v>0</v>
      </c>
      <c r="H55" s="204">
        <f>IFERROR(VLOOKUP(Opv.kohd.[[#This Row],[Y-tunnus]],#REF!,COLUMN(#REF!),FALSE),0)</f>
        <v>0</v>
      </c>
      <c r="I55" s="204">
        <f>IFERROR(VLOOKUP(Opv.kohd.[[#This Row],[Y-tunnus]],#REF!,COLUMN(#REF!),FALSE),0)</f>
        <v>0</v>
      </c>
      <c r="J55" s="204">
        <f>IFERROR(VLOOKUP(Opv.kohd.[[#This Row],[Y-tunnus]],#REF!,COLUMN(#REF!),FALSE),0)</f>
        <v>0</v>
      </c>
      <c r="K5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55" s="204">
        <f>Opv.kohd.[[#This Row],[Järjestämisluvan mukaiset 1]]+Opv.kohd.[[#This Row],[Yhteensä  1]]</f>
        <v>0</v>
      </c>
      <c r="M55" s="204">
        <f>IFERROR(VLOOKUP(Opv.kohd.[[#This Row],[Y-tunnus]],#REF!,COLUMN(#REF!),FALSE),0)</f>
        <v>0</v>
      </c>
      <c r="N55" s="204">
        <f>IFERROR(VLOOKUP(Opv.kohd.[[#This Row],[Y-tunnus]],#REF!,COLUMN(#REF!),FALSE),0)</f>
        <v>0</v>
      </c>
      <c r="O55" s="204">
        <f>IFERROR(VLOOKUP(Opv.kohd.[[#This Row],[Y-tunnus]],#REF!,COLUMN(#REF!),FALSE)+VLOOKUP(Opv.kohd.[[#This Row],[Y-tunnus]],#REF!,COLUMN(#REF!),FALSE),0)</f>
        <v>0</v>
      </c>
      <c r="P55" s="204">
        <f>Opv.kohd.[[#This Row],[Talousarvion perusteella kohdentamattomat]]+Opv.kohd.[[#This Row],[Talousarvion perusteella työvoimakoulutus 1]]+Opv.kohd.[[#This Row],[Lisätalousarvioiden perusteella]]</f>
        <v>0</v>
      </c>
      <c r="Q55" s="204">
        <f>IFERROR(VLOOKUP(Opv.kohd.[[#This Row],[Y-tunnus]],#REF!,COLUMN(#REF!),FALSE),0)</f>
        <v>0</v>
      </c>
      <c r="R55" s="210">
        <f>IFERROR(VLOOKUP(Opv.kohd.[[#This Row],[Y-tunnus]],#REF!,COLUMN(#REF!),FALSE)-(Opv.kohd.[[#This Row],[Kohdentamaton työvoima-koulutus 2]]+Opv.kohd.[[#This Row],[Maahan-muuttajien koulutus 2]]+Opv.kohd.[[#This Row],[Lisätalousarvioiden perusteella jaetut 2]]),0)</f>
        <v>0</v>
      </c>
      <c r="S55" s="210">
        <f>IFERROR(VLOOKUP(Opv.kohd.[[#This Row],[Y-tunnus]],#REF!,COLUMN(#REF!),FALSE)+VLOOKUP(Opv.kohd.[[#This Row],[Y-tunnus]],#REF!,COLUMN(#REF!),FALSE),0)</f>
        <v>0</v>
      </c>
      <c r="T55" s="210">
        <f>IFERROR(VLOOKUP(Opv.kohd.[[#This Row],[Y-tunnus]],#REF!,COLUMN(#REF!),FALSE)+VLOOKUP(Opv.kohd.[[#This Row],[Y-tunnus]],#REF!,COLUMN(#REF!),FALSE),0)</f>
        <v>0</v>
      </c>
      <c r="U5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55" s="210">
        <f>Opv.kohd.[[#This Row],[Kohdentamat-tomat 2]]+Opv.kohd.[[#This Row],[Kohdentamaton työvoima-koulutus 2]]+Opv.kohd.[[#This Row],[Maahan-muuttajien koulutus 2]]+Opv.kohd.[[#This Row],[Lisätalousarvioiden perusteella jaetut 2]]</f>
        <v>0</v>
      </c>
      <c r="W55" s="210">
        <f>Opv.kohd.[[#This Row],[Kohdentamat-tomat 2]]-(Opv.kohd.[[#This Row],[Järjestämisluvan mukaiset 1]]+Opv.kohd.[[#This Row],[Kohdentamat-tomat 1]]+Opv.kohd.[[#This Row],[Nuorisotyöt. väh. ja osaamistarp. vast., muu kuin työvoima-koulutus 1]]+Opv.kohd.[[#This Row],[Talousarvion perusteella kohdentamattomat]])</f>
        <v>0</v>
      </c>
      <c r="X55" s="210">
        <f>Opv.kohd.[[#This Row],[Kohdentamaton työvoima-koulutus 2]]-(Opv.kohd.[[#This Row],[Työvoima-koulutus 1]]+Opv.kohd.[[#This Row],[Nuorisotyöt. väh. ja osaamistarp. vast., työvoima-koulutus 1]]+Opv.kohd.[[#This Row],[Talousarvion perusteella työvoimakoulutus 1]])</f>
        <v>0</v>
      </c>
      <c r="Y55" s="210">
        <f>Opv.kohd.[[#This Row],[Maahan-muuttajien koulutus 2]]-Opv.kohd.[[#This Row],[Maahan-muuttajien koulutus 1]]</f>
        <v>0</v>
      </c>
      <c r="Z55" s="210">
        <f>Opv.kohd.[[#This Row],[Lisätalousarvioiden perusteella jaetut 2]]-Opv.kohd.[[#This Row],[Lisätalousarvioiden perusteella]]</f>
        <v>0</v>
      </c>
      <c r="AA55" s="210">
        <f>Opv.kohd.[[#This Row],[Toteutuneet opiskelijavuodet yhteensä 2]]-Opv.kohd.[[#This Row],[Vuoden 2018 tavoitteelliset opiskelijavuodet yhteensä 1]]</f>
        <v>0</v>
      </c>
      <c r="AB55" s="207">
        <f>IFERROR(VLOOKUP(Opv.kohd.[[#This Row],[Y-tunnus]],#REF!,3,FALSE),0)</f>
        <v>0</v>
      </c>
      <c r="AC55" s="207">
        <f>IFERROR(VLOOKUP(Opv.kohd.[[#This Row],[Y-tunnus]],#REF!,4,FALSE),0)</f>
        <v>0</v>
      </c>
      <c r="AD55" s="207">
        <f>IFERROR(VLOOKUP(Opv.kohd.[[#This Row],[Y-tunnus]],#REF!,5,FALSE),0)</f>
        <v>0</v>
      </c>
      <c r="AE55" s="207">
        <f>IFERROR(VLOOKUP(Opv.kohd.[[#This Row],[Y-tunnus]],#REF!,6,FALSE),0)</f>
        <v>0</v>
      </c>
      <c r="AF55" s="207">
        <f>IFERROR(VLOOKUP(Opv.kohd.[[#This Row],[Y-tunnus]],#REF!,7,FALSE),0)</f>
        <v>0</v>
      </c>
      <c r="AG55" s="207">
        <f>IFERROR(VLOOKUP(Opv.kohd.[[#This Row],[Y-tunnus]],#REF!,8,FALSE),0)</f>
        <v>0</v>
      </c>
      <c r="AH55" s="207">
        <f>IFERROR(VLOOKUP(Opv.kohd.[[#This Row],[Y-tunnus]],#REF!,9,FALSE),0)</f>
        <v>0</v>
      </c>
      <c r="AI55" s="207">
        <f>IFERROR(VLOOKUP(Opv.kohd.[[#This Row],[Y-tunnus]],#REF!,10,FALSE),0)</f>
        <v>0</v>
      </c>
      <c r="AJ55" s="204">
        <f>Opv.kohd.[[#This Row],[Järjestämisluvan mukaiset 4]]-Opv.kohd.[[#This Row],[Järjestämisluvan mukaiset 1]]</f>
        <v>0</v>
      </c>
      <c r="AK55" s="204">
        <f>Opv.kohd.[[#This Row],[Kohdentamat-tomat 4]]-Opv.kohd.[[#This Row],[Kohdentamat-tomat 1]]</f>
        <v>0</v>
      </c>
      <c r="AL55" s="204">
        <f>Opv.kohd.[[#This Row],[Työvoima-koulutus 4]]-Opv.kohd.[[#This Row],[Työvoima-koulutus 1]]</f>
        <v>0</v>
      </c>
      <c r="AM55" s="204">
        <f>Opv.kohd.[[#This Row],[Maahan-muuttajien koulutus 4]]-Opv.kohd.[[#This Row],[Maahan-muuttajien koulutus 1]]</f>
        <v>0</v>
      </c>
      <c r="AN55" s="204">
        <f>Opv.kohd.[[#This Row],[Nuorisotyöt. väh. ja osaamistarp. vast., muu kuin työvoima-koulutus 4]]-Opv.kohd.[[#This Row],[Nuorisotyöt. väh. ja osaamistarp. vast., muu kuin työvoima-koulutus 1]]</f>
        <v>0</v>
      </c>
      <c r="AO55" s="204">
        <f>Opv.kohd.[[#This Row],[Nuorisotyöt. väh. ja osaamistarp. vast., työvoima-koulutus 4]]-Opv.kohd.[[#This Row],[Nuorisotyöt. väh. ja osaamistarp. vast., työvoima-koulutus 1]]</f>
        <v>0</v>
      </c>
      <c r="AP55" s="204">
        <f>Opv.kohd.[[#This Row],[Yhteensä 4]]-Opv.kohd.[[#This Row],[Yhteensä  1]]</f>
        <v>0</v>
      </c>
      <c r="AQ55" s="204">
        <f>Opv.kohd.[[#This Row],[Ensikertaisella suoritepäätöksellä jaetut tavoitteelliset opiskelijavuodet yhteensä 4]]-Opv.kohd.[[#This Row],[Ensikertaisella suoritepäätöksellä jaetut tavoitteelliset opiskelijavuodet yhteensä 1]]</f>
        <v>0</v>
      </c>
      <c r="AR55" s="208">
        <f>IFERROR(Opv.kohd.[[#This Row],[Järjestämisluvan mukaiset 5]]/Opv.kohd.[[#This Row],[Järjestämisluvan mukaiset 4]],0)</f>
        <v>0</v>
      </c>
      <c r="AS55" s="208">
        <f>IFERROR(Opv.kohd.[[#This Row],[Kohdentamat-tomat 5]]/Opv.kohd.[[#This Row],[Kohdentamat-tomat 4]],0)</f>
        <v>0</v>
      </c>
      <c r="AT55" s="208">
        <f>IFERROR(Opv.kohd.[[#This Row],[Työvoima-koulutus 5]]/Opv.kohd.[[#This Row],[Työvoima-koulutus 4]],0)</f>
        <v>0</v>
      </c>
      <c r="AU55" s="208">
        <f>IFERROR(Opv.kohd.[[#This Row],[Maahan-muuttajien koulutus 5]]/Opv.kohd.[[#This Row],[Maahan-muuttajien koulutus 4]],0)</f>
        <v>0</v>
      </c>
      <c r="AV55" s="208">
        <f>IFERROR(Opv.kohd.[[#This Row],[Nuorisotyöt. väh. ja osaamistarp. vast., muu kuin työvoima-koulutus 5]]/Opv.kohd.[[#This Row],[Nuorisotyöt. väh. ja osaamistarp. vast., muu kuin työvoima-koulutus 4]],0)</f>
        <v>0</v>
      </c>
      <c r="AW55" s="208">
        <f>IFERROR(Opv.kohd.[[#This Row],[Nuorisotyöt. väh. ja osaamistarp. vast., työvoima-koulutus 5]]/Opv.kohd.[[#This Row],[Nuorisotyöt. väh. ja osaamistarp. vast., työvoima-koulutus 4]],0)</f>
        <v>0</v>
      </c>
      <c r="AX55" s="208">
        <f>IFERROR(Opv.kohd.[[#This Row],[Yhteensä 5]]/Opv.kohd.[[#This Row],[Yhteensä 4]],0)</f>
        <v>0</v>
      </c>
      <c r="AY55" s="208">
        <f>IFERROR(Opv.kohd.[[#This Row],[Ensikertaisella suoritepäätöksellä jaetut tavoitteelliset opiskelijavuodet yhteensä 5]]/Opv.kohd.[[#This Row],[Ensikertaisella suoritepäätöksellä jaetut tavoitteelliset opiskelijavuodet yhteensä 4]],0)</f>
        <v>0</v>
      </c>
      <c r="AZ55" s="207">
        <f>Opv.kohd.[[#This Row],[Yhteensä 7a]]-Opv.kohd.[[#This Row],[Työvoima-koulutus 7a]]</f>
        <v>0</v>
      </c>
      <c r="BA55" s="207">
        <f>IFERROR(VLOOKUP(Opv.kohd.[[#This Row],[Y-tunnus]],#REF!,COLUMN(#REF!),FALSE),0)</f>
        <v>0</v>
      </c>
      <c r="BB55" s="207">
        <f>IFERROR(VLOOKUP(Opv.kohd.[[#This Row],[Y-tunnus]],#REF!,COLUMN(#REF!),FALSE),0)</f>
        <v>0</v>
      </c>
      <c r="BC55" s="207">
        <f>Opv.kohd.[[#This Row],[Muu kuin työvoima-koulutus 7c]]-Opv.kohd.[[#This Row],[Muu kuin työvoima-koulutus 7a]]</f>
        <v>0</v>
      </c>
      <c r="BD55" s="207">
        <f>Opv.kohd.[[#This Row],[Työvoima-koulutus 7c]]-Opv.kohd.[[#This Row],[Työvoima-koulutus 7a]]</f>
        <v>0</v>
      </c>
      <c r="BE55" s="207">
        <f>Opv.kohd.[[#This Row],[Yhteensä 7c]]-Opv.kohd.[[#This Row],[Yhteensä 7a]]</f>
        <v>0</v>
      </c>
      <c r="BF55" s="207">
        <f>Opv.kohd.[[#This Row],[Yhteensä 7c]]-Opv.kohd.[[#This Row],[Työvoima-koulutus 7c]]</f>
        <v>0</v>
      </c>
      <c r="BG55" s="207">
        <f>IFERROR(VLOOKUP(Opv.kohd.[[#This Row],[Y-tunnus]],#REF!,COLUMN(#REF!),FALSE),0)</f>
        <v>0</v>
      </c>
      <c r="BH55" s="207">
        <f>IFERROR(VLOOKUP(Opv.kohd.[[#This Row],[Y-tunnus]],#REF!,COLUMN(#REF!),FALSE),0)</f>
        <v>0</v>
      </c>
      <c r="BI55" s="207">
        <f>IFERROR(VLOOKUP(Opv.kohd.[[#This Row],[Y-tunnus]],#REF!,COLUMN(#REF!),FALSE),0)</f>
        <v>0</v>
      </c>
      <c r="BJ55" s="207">
        <f>IFERROR(VLOOKUP(Opv.kohd.[[#This Row],[Y-tunnus]],#REF!,COLUMN(#REF!),FALSE),0)</f>
        <v>0</v>
      </c>
      <c r="BK55" s="207">
        <f>Opv.kohd.[[#This Row],[Muu kuin työvoima-koulutus 7d]]+Opv.kohd.[[#This Row],[Työvoima-koulutus 7d]]</f>
        <v>0</v>
      </c>
      <c r="BL55" s="207">
        <f>Opv.kohd.[[#This Row],[Muu kuin työvoima-koulutus 7c]]-Opv.kohd.[[#This Row],[Muu kuin työvoima-koulutus 7d]]</f>
        <v>0</v>
      </c>
      <c r="BM55" s="207">
        <f>Opv.kohd.[[#This Row],[Työvoima-koulutus 7c]]-Opv.kohd.[[#This Row],[Työvoima-koulutus 7d]]</f>
        <v>0</v>
      </c>
      <c r="BN55" s="207">
        <f>Opv.kohd.[[#This Row],[Yhteensä 7c]]-Opv.kohd.[[#This Row],[Yhteensä 7d]]</f>
        <v>0</v>
      </c>
      <c r="BO55" s="207">
        <f>Opv.kohd.[[#This Row],[Muu kuin työvoima-koulutus 7e]]-(Opv.kohd.[[#This Row],[Järjestämisluvan mukaiset 4]]+Opv.kohd.[[#This Row],[Kohdentamat-tomat 4]]+Opv.kohd.[[#This Row],[Maahan-muuttajien koulutus 4]]+Opv.kohd.[[#This Row],[Nuorisotyöt. väh. ja osaamistarp. vast., muu kuin työvoima-koulutus 4]])</f>
        <v>0</v>
      </c>
      <c r="BP55" s="207">
        <f>Opv.kohd.[[#This Row],[Työvoima-koulutus 7e]]-(Opv.kohd.[[#This Row],[Työvoima-koulutus 4]]+Opv.kohd.[[#This Row],[Nuorisotyöt. väh. ja osaamistarp. vast., työvoima-koulutus 4]])</f>
        <v>0</v>
      </c>
      <c r="BQ55" s="207">
        <f>Opv.kohd.[[#This Row],[Yhteensä 7e]]-Opv.kohd.[[#This Row],[Ensikertaisella suoritepäätöksellä jaetut tavoitteelliset opiskelijavuodet yhteensä 4]]</f>
        <v>0</v>
      </c>
      <c r="BR55" s="263">
        <v>2434</v>
      </c>
      <c r="BS55" s="263">
        <v>80</v>
      </c>
      <c r="BT55" s="263">
        <v>166</v>
      </c>
      <c r="BU55" s="263">
        <v>14</v>
      </c>
      <c r="BV55" s="263">
        <v>0</v>
      </c>
      <c r="BW55" s="263">
        <v>0</v>
      </c>
      <c r="BX55" s="263">
        <v>260</v>
      </c>
      <c r="BY55" s="263">
        <v>2694</v>
      </c>
      <c r="BZ55" s="207">
        <f t="shared" si="2"/>
        <v>2434</v>
      </c>
      <c r="CA55" s="207">
        <f t="shared" si="3"/>
        <v>80</v>
      </c>
      <c r="CB55" s="207">
        <f t="shared" si="4"/>
        <v>166</v>
      </c>
      <c r="CC55" s="207">
        <f t="shared" si="5"/>
        <v>14</v>
      </c>
      <c r="CD55" s="207">
        <f t="shared" si="6"/>
        <v>0</v>
      </c>
      <c r="CE55" s="207">
        <f t="shared" si="7"/>
        <v>0</v>
      </c>
      <c r="CF55" s="207">
        <f t="shared" si="8"/>
        <v>260</v>
      </c>
      <c r="CG55" s="207">
        <f t="shared" si="9"/>
        <v>2694</v>
      </c>
      <c r="CH55" s="207">
        <f>Opv.kohd.[[#This Row],[Tavoitteelliset opiskelijavuodet yhteensä 9]]-Opv.kohd.[[#This Row],[Työvoima-koulutus 9]]-Opv.kohd.[[#This Row],[Nuorisotyöt. väh. ja osaamistarp. vast., työvoima-koulutus 9]]-Opv.kohd.[[#This Row],[Muu kuin työvoima-koulutus 7e]]</f>
        <v>2528</v>
      </c>
      <c r="CI55" s="207">
        <f>(Opv.kohd.[[#This Row],[Työvoima-koulutus 9]]+Opv.kohd.[[#This Row],[Nuorisotyöt. väh. ja osaamistarp. vast., työvoima-koulutus 9]])-Opv.kohd.[[#This Row],[Työvoima-koulutus 7e]]</f>
        <v>166</v>
      </c>
      <c r="CJ55" s="207">
        <f>Opv.kohd.[[#This Row],[Tavoitteelliset opiskelijavuodet yhteensä 9]]-Opv.kohd.[[#This Row],[Yhteensä 7e]]</f>
        <v>2694</v>
      </c>
      <c r="CK55" s="207">
        <f>Opv.kohd.[[#This Row],[Järjestämisluvan mukaiset 4]]+Opv.kohd.[[#This Row],[Järjestämisluvan mukaiset 13]]</f>
        <v>0</v>
      </c>
      <c r="CL55" s="207">
        <f>Opv.kohd.[[#This Row],[Kohdentamat-tomat 4]]+Opv.kohd.[[#This Row],[Kohdentamat-tomat 13]]</f>
        <v>0</v>
      </c>
      <c r="CM55" s="207">
        <f>Opv.kohd.[[#This Row],[Työvoima-koulutus 4]]+Opv.kohd.[[#This Row],[Työvoima-koulutus 13]]</f>
        <v>0</v>
      </c>
      <c r="CN55" s="207">
        <f>Opv.kohd.[[#This Row],[Maahan-muuttajien koulutus 4]]+Opv.kohd.[[#This Row],[Maahan-muuttajien koulutus 13]]</f>
        <v>0</v>
      </c>
      <c r="CO55" s="207">
        <f>Opv.kohd.[[#This Row],[Nuorisotyöt. väh. ja osaamistarp. vast., muu kuin työvoima-koulutus 4]]+Opv.kohd.[[#This Row],[Nuorisotyöt. väh. ja osaamistarp. vast., muu kuin työvoima-koulutus 13]]</f>
        <v>0</v>
      </c>
      <c r="CP55" s="207">
        <f>Opv.kohd.[[#This Row],[Nuorisotyöt. väh. ja osaamistarp. vast., työvoima-koulutus 4]]+Opv.kohd.[[#This Row],[Nuorisotyöt. väh. ja osaamistarp. vast., työvoima-koulutus 13]]</f>
        <v>0</v>
      </c>
      <c r="CQ55" s="207">
        <f>Opv.kohd.[[#This Row],[Yhteensä 4]]+Opv.kohd.[[#This Row],[Yhteensä 13]]</f>
        <v>0</v>
      </c>
      <c r="CR55" s="207">
        <f>Opv.kohd.[[#This Row],[Ensikertaisella suoritepäätöksellä jaetut tavoitteelliset opiskelijavuodet yhteensä 4]]+Opv.kohd.[[#This Row],[Tavoitteelliset opiskelijavuodet yhteensä 13]]</f>
        <v>0</v>
      </c>
      <c r="CS55" s="120">
        <v>0</v>
      </c>
      <c r="CT55" s="120">
        <v>0</v>
      </c>
      <c r="CU55" s="120">
        <v>0</v>
      </c>
      <c r="CV55" s="120">
        <v>0</v>
      </c>
      <c r="CW55" s="120">
        <v>0</v>
      </c>
      <c r="CX55" s="120">
        <v>0</v>
      </c>
      <c r="CY55" s="120">
        <v>0</v>
      </c>
      <c r="CZ55" s="120">
        <v>0</v>
      </c>
      <c r="DA55" s="209">
        <f>IFERROR(Opv.kohd.[[#This Row],[Järjestämisluvan mukaiset 13]]/Opv.kohd.[[#This Row],[Järjestämisluvan mukaiset 12]],0)</f>
        <v>0</v>
      </c>
      <c r="DB55" s="209">
        <f>IFERROR(Opv.kohd.[[#This Row],[Kohdentamat-tomat 13]]/Opv.kohd.[[#This Row],[Kohdentamat-tomat 12]],0)</f>
        <v>0</v>
      </c>
      <c r="DC55" s="209">
        <f>IFERROR(Opv.kohd.[[#This Row],[Työvoima-koulutus 13]]/Opv.kohd.[[#This Row],[Työvoima-koulutus 12]],0)</f>
        <v>0</v>
      </c>
      <c r="DD55" s="209">
        <f>IFERROR(Opv.kohd.[[#This Row],[Maahan-muuttajien koulutus 13]]/Opv.kohd.[[#This Row],[Maahan-muuttajien koulutus 12]],0)</f>
        <v>0</v>
      </c>
      <c r="DE55" s="209">
        <f>IFERROR(Opv.kohd.[[#This Row],[Nuorisotyöt. väh. ja osaamistarp. vast., muu kuin työvoima-koulutus 13]]/Opv.kohd.[[#This Row],[Nuorisotyöt. väh. ja osaamistarp. vast., muu kuin työvoima-koulutus 12]],0)</f>
        <v>0</v>
      </c>
      <c r="DF55" s="209">
        <f>IFERROR(Opv.kohd.[[#This Row],[Nuorisotyöt. väh. ja osaamistarp. vast., työvoima-koulutus 13]]/Opv.kohd.[[#This Row],[Nuorisotyöt. väh. ja osaamistarp. vast., työvoima-koulutus 12]],0)</f>
        <v>0</v>
      </c>
      <c r="DG55" s="209">
        <f>IFERROR(Opv.kohd.[[#This Row],[Yhteensä 13]]/Opv.kohd.[[#This Row],[Yhteensä 12]],0)</f>
        <v>0</v>
      </c>
      <c r="DH55" s="209">
        <f>IFERROR(Opv.kohd.[[#This Row],[Tavoitteelliset opiskelijavuodet yhteensä 13]]/Opv.kohd.[[#This Row],[Tavoitteelliset opiskelijavuodet yhteensä 12]],0)</f>
        <v>0</v>
      </c>
      <c r="DI55" s="207">
        <f>Opv.kohd.[[#This Row],[Järjestämisluvan mukaiset 12]]-Opv.kohd.[[#This Row],[Järjestämisluvan mukaiset 9]]</f>
        <v>-2434</v>
      </c>
      <c r="DJ55" s="207">
        <f>Opv.kohd.[[#This Row],[Kohdentamat-tomat 12]]-Opv.kohd.[[#This Row],[Kohdentamat-tomat 9]]</f>
        <v>-80</v>
      </c>
      <c r="DK55" s="207">
        <f>Opv.kohd.[[#This Row],[Työvoima-koulutus 12]]-Opv.kohd.[[#This Row],[Työvoima-koulutus 9]]</f>
        <v>-166</v>
      </c>
      <c r="DL55" s="207">
        <f>Opv.kohd.[[#This Row],[Maahan-muuttajien koulutus 12]]-Opv.kohd.[[#This Row],[Maahan-muuttajien koulutus 9]]</f>
        <v>-14</v>
      </c>
      <c r="DM55" s="207">
        <f>Opv.kohd.[[#This Row],[Nuorisotyöt. väh. ja osaamistarp. vast., muu kuin työvoima-koulutus 12]]-Opv.kohd.[[#This Row],[Nuorisotyöt. väh. ja osaamistarp. vast., muu kuin työvoima-koulutus 9]]</f>
        <v>0</v>
      </c>
      <c r="DN55" s="207">
        <f>Opv.kohd.[[#This Row],[Nuorisotyöt. väh. ja osaamistarp. vast., työvoima-koulutus 12]]-Opv.kohd.[[#This Row],[Nuorisotyöt. väh. ja osaamistarp. vast., työvoima-koulutus 9]]</f>
        <v>0</v>
      </c>
      <c r="DO55" s="207">
        <f>Opv.kohd.[[#This Row],[Yhteensä 12]]-Opv.kohd.[[#This Row],[Yhteensä 9]]</f>
        <v>-260</v>
      </c>
      <c r="DP55" s="207">
        <f>Opv.kohd.[[#This Row],[Tavoitteelliset opiskelijavuodet yhteensä 12]]-Opv.kohd.[[#This Row],[Tavoitteelliset opiskelijavuodet yhteensä 9]]</f>
        <v>-2694</v>
      </c>
      <c r="DQ55" s="209">
        <f>IFERROR(Opv.kohd.[[#This Row],[Järjestämisluvan mukaiset 15]]/Opv.kohd.[[#This Row],[Järjestämisluvan mukaiset 9]],0)</f>
        <v>-1</v>
      </c>
      <c r="DR55" s="209">
        <f t="shared" si="10"/>
        <v>0</v>
      </c>
      <c r="DS55" s="209">
        <f t="shared" si="11"/>
        <v>0</v>
      </c>
      <c r="DT55" s="209">
        <f t="shared" si="12"/>
        <v>0</v>
      </c>
      <c r="DU55" s="209">
        <f t="shared" si="13"/>
        <v>0</v>
      </c>
      <c r="DV55" s="209">
        <f t="shared" si="14"/>
        <v>0</v>
      </c>
      <c r="DW55" s="209">
        <f t="shared" si="15"/>
        <v>0</v>
      </c>
      <c r="DX55" s="209">
        <f t="shared" si="16"/>
        <v>0</v>
      </c>
    </row>
    <row r="56" spans="1:128" x14ac:dyDescent="0.25">
      <c r="A56" s="204" t="e">
        <f>IF(INDEX(#REF!,ROW(56:56)-1,1)=0,"",INDEX(#REF!,ROW(56:56)-1,1))</f>
        <v>#REF!</v>
      </c>
      <c r="B56" s="205" t="str">
        <f>IFERROR(VLOOKUP(Opv.kohd.[[#This Row],[Y-tunnus]],'0 Järjestäjätiedot'!$A:$H,2,FALSE),"")</f>
        <v/>
      </c>
      <c r="C56" s="204" t="str">
        <f>IFERROR(VLOOKUP(Opv.kohd.[[#This Row],[Y-tunnus]],'0 Järjestäjätiedot'!$A:$H,COLUMN('0 Järjestäjätiedot'!D:D),FALSE),"")</f>
        <v/>
      </c>
      <c r="D56" s="204" t="str">
        <f>IFERROR(VLOOKUP(Opv.kohd.[[#This Row],[Y-tunnus]],'0 Järjestäjätiedot'!$A:$H,COLUMN('0 Järjestäjätiedot'!H:H),FALSE),"")</f>
        <v/>
      </c>
      <c r="E56" s="204">
        <f>IFERROR(VLOOKUP(Opv.kohd.[[#This Row],[Y-tunnus]],#REF!,COLUMN(#REF!),FALSE),0)</f>
        <v>0</v>
      </c>
      <c r="F56" s="204">
        <f>IFERROR(VLOOKUP(Opv.kohd.[[#This Row],[Y-tunnus]],#REF!,COLUMN(#REF!),FALSE),0)</f>
        <v>0</v>
      </c>
      <c r="G56" s="204">
        <f>IFERROR(VLOOKUP(Opv.kohd.[[#This Row],[Y-tunnus]],#REF!,COLUMN(#REF!),FALSE),0)</f>
        <v>0</v>
      </c>
      <c r="H56" s="204">
        <f>IFERROR(VLOOKUP(Opv.kohd.[[#This Row],[Y-tunnus]],#REF!,COLUMN(#REF!),FALSE),0)</f>
        <v>0</v>
      </c>
      <c r="I56" s="204">
        <f>IFERROR(VLOOKUP(Opv.kohd.[[#This Row],[Y-tunnus]],#REF!,COLUMN(#REF!),FALSE),0)</f>
        <v>0</v>
      </c>
      <c r="J56" s="204">
        <f>IFERROR(VLOOKUP(Opv.kohd.[[#This Row],[Y-tunnus]],#REF!,COLUMN(#REF!),FALSE),0)</f>
        <v>0</v>
      </c>
      <c r="K5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56" s="204">
        <f>Opv.kohd.[[#This Row],[Järjestämisluvan mukaiset 1]]+Opv.kohd.[[#This Row],[Yhteensä  1]]</f>
        <v>0</v>
      </c>
      <c r="M56" s="204">
        <f>IFERROR(VLOOKUP(Opv.kohd.[[#This Row],[Y-tunnus]],#REF!,COLUMN(#REF!),FALSE),0)</f>
        <v>0</v>
      </c>
      <c r="N56" s="204">
        <f>IFERROR(VLOOKUP(Opv.kohd.[[#This Row],[Y-tunnus]],#REF!,COLUMN(#REF!),FALSE),0)</f>
        <v>0</v>
      </c>
      <c r="O56" s="204">
        <f>IFERROR(VLOOKUP(Opv.kohd.[[#This Row],[Y-tunnus]],#REF!,COLUMN(#REF!),FALSE)+VLOOKUP(Opv.kohd.[[#This Row],[Y-tunnus]],#REF!,COLUMN(#REF!),FALSE),0)</f>
        <v>0</v>
      </c>
      <c r="P56" s="204">
        <f>Opv.kohd.[[#This Row],[Talousarvion perusteella kohdentamattomat]]+Opv.kohd.[[#This Row],[Talousarvion perusteella työvoimakoulutus 1]]+Opv.kohd.[[#This Row],[Lisätalousarvioiden perusteella]]</f>
        <v>0</v>
      </c>
      <c r="Q56" s="204">
        <f>IFERROR(VLOOKUP(Opv.kohd.[[#This Row],[Y-tunnus]],#REF!,COLUMN(#REF!),FALSE),0)</f>
        <v>0</v>
      </c>
      <c r="R56" s="210">
        <f>IFERROR(VLOOKUP(Opv.kohd.[[#This Row],[Y-tunnus]],#REF!,COLUMN(#REF!),FALSE)-(Opv.kohd.[[#This Row],[Kohdentamaton työvoima-koulutus 2]]+Opv.kohd.[[#This Row],[Maahan-muuttajien koulutus 2]]+Opv.kohd.[[#This Row],[Lisätalousarvioiden perusteella jaetut 2]]),0)</f>
        <v>0</v>
      </c>
      <c r="S56" s="210">
        <f>IFERROR(VLOOKUP(Opv.kohd.[[#This Row],[Y-tunnus]],#REF!,COLUMN(#REF!),FALSE)+VLOOKUP(Opv.kohd.[[#This Row],[Y-tunnus]],#REF!,COLUMN(#REF!),FALSE),0)</f>
        <v>0</v>
      </c>
      <c r="T56" s="210">
        <f>IFERROR(VLOOKUP(Opv.kohd.[[#This Row],[Y-tunnus]],#REF!,COLUMN(#REF!),FALSE)+VLOOKUP(Opv.kohd.[[#This Row],[Y-tunnus]],#REF!,COLUMN(#REF!),FALSE),0)</f>
        <v>0</v>
      </c>
      <c r="U5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56" s="210">
        <f>Opv.kohd.[[#This Row],[Kohdentamat-tomat 2]]+Opv.kohd.[[#This Row],[Kohdentamaton työvoima-koulutus 2]]+Opv.kohd.[[#This Row],[Maahan-muuttajien koulutus 2]]+Opv.kohd.[[#This Row],[Lisätalousarvioiden perusteella jaetut 2]]</f>
        <v>0</v>
      </c>
      <c r="W56" s="210">
        <f>Opv.kohd.[[#This Row],[Kohdentamat-tomat 2]]-(Opv.kohd.[[#This Row],[Järjestämisluvan mukaiset 1]]+Opv.kohd.[[#This Row],[Kohdentamat-tomat 1]]+Opv.kohd.[[#This Row],[Nuorisotyöt. väh. ja osaamistarp. vast., muu kuin työvoima-koulutus 1]]+Opv.kohd.[[#This Row],[Talousarvion perusteella kohdentamattomat]])</f>
        <v>0</v>
      </c>
      <c r="X56" s="210">
        <f>Opv.kohd.[[#This Row],[Kohdentamaton työvoima-koulutus 2]]-(Opv.kohd.[[#This Row],[Työvoima-koulutus 1]]+Opv.kohd.[[#This Row],[Nuorisotyöt. väh. ja osaamistarp. vast., työvoima-koulutus 1]]+Opv.kohd.[[#This Row],[Talousarvion perusteella työvoimakoulutus 1]])</f>
        <v>0</v>
      </c>
      <c r="Y56" s="210">
        <f>Opv.kohd.[[#This Row],[Maahan-muuttajien koulutus 2]]-Opv.kohd.[[#This Row],[Maahan-muuttajien koulutus 1]]</f>
        <v>0</v>
      </c>
      <c r="Z56" s="210">
        <f>Opv.kohd.[[#This Row],[Lisätalousarvioiden perusteella jaetut 2]]-Opv.kohd.[[#This Row],[Lisätalousarvioiden perusteella]]</f>
        <v>0</v>
      </c>
      <c r="AA56" s="210">
        <f>Opv.kohd.[[#This Row],[Toteutuneet opiskelijavuodet yhteensä 2]]-Opv.kohd.[[#This Row],[Vuoden 2018 tavoitteelliset opiskelijavuodet yhteensä 1]]</f>
        <v>0</v>
      </c>
      <c r="AB56" s="207">
        <f>IFERROR(VLOOKUP(Opv.kohd.[[#This Row],[Y-tunnus]],#REF!,3,FALSE),0)</f>
        <v>0</v>
      </c>
      <c r="AC56" s="207">
        <f>IFERROR(VLOOKUP(Opv.kohd.[[#This Row],[Y-tunnus]],#REF!,4,FALSE),0)</f>
        <v>0</v>
      </c>
      <c r="AD56" s="207">
        <f>IFERROR(VLOOKUP(Opv.kohd.[[#This Row],[Y-tunnus]],#REF!,5,FALSE),0)</f>
        <v>0</v>
      </c>
      <c r="AE56" s="207">
        <f>IFERROR(VLOOKUP(Opv.kohd.[[#This Row],[Y-tunnus]],#REF!,6,FALSE),0)</f>
        <v>0</v>
      </c>
      <c r="AF56" s="207">
        <f>IFERROR(VLOOKUP(Opv.kohd.[[#This Row],[Y-tunnus]],#REF!,7,FALSE),0)</f>
        <v>0</v>
      </c>
      <c r="AG56" s="207">
        <f>IFERROR(VLOOKUP(Opv.kohd.[[#This Row],[Y-tunnus]],#REF!,8,FALSE),0)</f>
        <v>0</v>
      </c>
      <c r="AH56" s="207">
        <f>IFERROR(VLOOKUP(Opv.kohd.[[#This Row],[Y-tunnus]],#REF!,9,FALSE),0)</f>
        <v>0</v>
      </c>
      <c r="AI56" s="207">
        <f>IFERROR(VLOOKUP(Opv.kohd.[[#This Row],[Y-tunnus]],#REF!,10,FALSE),0)</f>
        <v>0</v>
      </c>
      <c r="AJ56" s="204">
        <f>Opv.kohd.[[#This Row],[Järjestämisluvan mukaiset 4]]-Opv.kohd.[[#This Row],[Järjestämisluvan mukaiset 1]]</f>
        <v>0</v>
      </c>
      <c r="AK56" s="204">
        <f>Opv.kohd.[[#This Row],[Kohdentamat-tomat 4]]-Opv.kohd.[[#This Row],[Kohdentamat-tomat 1]]</f>
        <v>0</v>
      </c>
      <c r="AL56" s="204">
        <f>Opv.kohd.[[#This Row],[Työvoima-koulutus 4]]-Opv.kohd.[[#This Row],[Työvoima-koulutus 1]]</f>
        <v>0</v>
      </c>
      <c r="AM56" s="204">
        <f>Opv.kohd.[[#This Row],[Maahan-muuttajien koulutus 4]]-Opv.kohd.[[#This Row],[Maahan-muuttajien koulutus 1]]</f>
        <v>0</v>
      </c>
      <c r="AN56" s="204">
        <f>Opv.kohd.[[#This Row],[Nuorisotyöt. väh. ja osaamistarp. vast., muu kuin työvoima-koulutus 4]]-Opv.kohd.[[#This Row],[Nuorisotyöt. väh. ja osaamistarp. vast., muu kuin työvoima-koulutus 1]]</f>
        <v>0</v>
      </c>
      <c r="AO56" s="204">
        <f>Opv.kohd.[[#This Row],[Nuorisotyöt. väh. ja osaamistarp. vast., työvoima-koulutus 4]]-Opv.kohd.[[#This Row],[Nuorisotyöt. väh. ja osaamistarp. vast., työvoima-koulutus 1]]</f>
        <v>0</v>
      </c>
      <c r="AP56" s="204">
        <f>Opv.kohd.[[#This Row],[Yhteensä 4]]-Opv.kohd.[[#This Row],[Yhteensä  1]]</f>
        <v>0</v>
      </c>
      <c r="AQ56" s="204">
        <f>Opv.kohd.[[#This Row],[Ensikertaisella suoritepäätöksellä jaetut tavoitteelliset opiskelijavuodet yhteensä 4]]-Opv.kohd.[[#This Row],[Ensikertaisella suoritepäätöksellä jaetut tavoitteelliset opiskelijavuodet yhteensä 1]]</f>
        <v>0</v>
      </c>
      <c r="AR56" s="208">
        <f>IFERROR(Opv.kohd.[[#This Row],[Järjestämisluvan mukaiset 5]]/Opv.kohd.[[#This Row],[Järjestämisluvan mukaiset 4]],0)</f>
        <v>0</v>
      </c>
      <c r="AS56" s="208">
        <f>IFERROR(Opv.kohd.[[#This Row],[Kohdentamat-tomat 5]]/Opv.kohd.[[#This Row],[Kohdentamat-tomat 4]],0)</f>
        <v>0</v>
      </c>
      <c r="AT56" s="208">
        <f>IFERROR(Opv.kohd.[[#This Row],[Työvoima-koulutus 5]]/Opv.kohd.[[#This Row],[Työvoima-koulutus 4]],0)</f>
        <v>0</v>
      </c>
      <c r="AU56" s="208">
        <f>IFERROR(Opv.kohd.[[#This Row],[Maahan-muuttajien koulutus 5]]/Opv.kohd.[[#This Row],[Maahan-muuttajien koulutus 4]],0)</f>
        <v>0</v>
      </c>
      <c r="AV56" s="208">
        <f>IFERROR(Opv.kohd.[[#This Row],[Nuorisotyöt. väh. ja osaamistarp. vast., muu kuin työvoima-koulutus 5]]/Opv.kohd.[[#This Row],[Nuorisotyöt. väh. ja osaamistarp. vast., muu kuin työvoima-koulutus 4]],0)</f>
        <v>0</v>
      </c>
      <c r="AW56" s="208">
        <f>IFERROR(Opv.kohd.[[#This Row],[Nuorisotyöt. väh. ja osaamistarp. vast., työvoima-koulutus 5]]/Opv.kohd.[[#This Row],[Nuorisotyöt. väh. ja osaamistarp. vast., työvoima-koulutus 4]],0)</f>
        <v>0</v>
      </c>
      <c r="AX56" s="208">
        <f>IFERROR(Opv.kohd.[[#This Row],[Yhteensä 5]]/Opv.kohd.[[#This Row],[Yhteensä 4]],0)</f>
        <v>0</v>
      </c>
      <c r="AY56" s="208">
        <f>IFERROR(Opv.kohd.[[#This Row],[Ensikertaisella suoritepäätöksellä jaetut tavoitteelliset opiskelijavuodet yhteensä 5]]/Opv.kohd.[[#This Row],[Ensikertaisella suoritepäätöksellä jaetut tavoitteelliset opiskelijavuodet yhteensä 4]],0)</f>
        <v>0</v>
      </c>
      <c r="AZ56" s="207">
        <f>Opv.kohd.[[#This Row],[Yhteensä 7a]]-Opv.kohd.[[#This Row],[Työvoima-koulutus 7a]]</f>
        <v>0</v>
      </c>
      <c r="BA56" s="207">
        <f>IFERROR(VLOOKUP(Opv.kohd.[[#This Row],[Y-tunnus]],#REF!,COLUMN(#REF!),FALSE),0)</f>
        <v>0</v>
      </c>
      <c r="BB56" s="207">
        <f>IFERROR(VLOOKUP(Opv.kohd.[[#This Row],[Y-tunnus]],#REF!,COLUMN(#REF!),FALSE),0)</f>
        <v>0</v>
      </c>
      <c r="BC56" s="207">
        <f>Opv.kohd.[[#This Row],[Muu kuin työvoima-koulutus 7c]]-Opv.kohd.[[#This Row],[Muu kuin työvoima-koulutus 7a]]</f>
        <v>0</v>
      </c>
      <c r="BD56" s="207">
        <f>Opv.kohd.[[#This Row],[Työvoima-koulutus 7c]]-Opv.kohd.[[#This Row],[Työvoima-koulutus 7a]]</f>
        <v>0</v>
      </c>
      <c r="BE56" s="207">
        <f>Opv.kohd.[[#This Row],[Yhteensä 7c]]-Opv.kohd.[[#This Row],[Yhteensä 7a]]</f>
        <v>0</v>
      </c>
      <c r="BF56" s="207">
        <f>Opv.kohd.[[#This Row],[Yhteensä 7c]]-Opv.kohd.[[#This Row],[Työvoima-koulutus 7c]]</f>
        <v>0</v>
      </c>
      <c r="BG56" s="207">
        <f>IFERROR(VLOOKUP(Opv.kohd.[[#This Row],[Y-tunnus]],#REF!,COLUMN(#REF!),FALSE),0)</f>
        <v>0</v>
      </c>
      <c r="BH56" s="207">
        <f>IFERROR(VLOOKUP(Opv.kohd.[[#This Row],[Y-tunnus]],#REF!,COLUMN(#REF!),FALSE),0)</f>
        <v>0</v>
      </c>
      <c r="BI56" s="207">
        <f>IFERROR(VLOOKUP(Opv.kohd.[[#This Row],[Y-tunnus]],#REF!,COLUMN(#REF!),FALSE),0)</f>
        <v>0</v>
      </c>
      <c r="BJ56" s="207">
        <f>IFERROR(VLOOKUP(Opv.kohd.[[#This Row],[Y-tunnus]],#REF!,COLUMN(#REF!),FALSE),0)</f>
        <v>0</v>
      </c>
      <c r="BK56" s="207">
        <f>Opv.kohd.[[#This Row],[Muu kuin työvoima-koulutus 7d]]+Opv.kohd.[[#This Row],[Työvoima-koulutus 7d]]</f>
        <v>0</v>
      </c>
      <c r="BL56" s="207">
        <f>Opv.kohd.[[#This Row],[Muu kuin työvoima-koulutus 7c]]-Opv.kohd.[[#This Row],[Muu kuin työvoima-koulutus 7d]]</f>
        <v>0</v>
      </c>
      <c r="BM56" s="207">
        <f>Opv.kohd.[[#This Row],[Työvoima-koulutus 7c]]-Opv.kohd.[[#This Row],[Työvoima-koulutus 7d]]</f>
        <v>0</v>
      </c>
      <c r="BN56" s="207">
        <f>Opv.kohd.[[#This Row],[Yhteensä 7c]]-Opv.kohd.[[#This Row],[Yhteensä 7d]]</f>
        <v>0</v>
      </c>
      <c r="BO56" s="207">
        <f>Opv.kohd.[[#This Row],[Muu kuin työvoima-koulutus 7e]]-(Opv.kohd.[[#This Row],[Järjestämisluvan mukaiset 4]]+Opv.kohd.[[#This Row],[Kohdentamat-tomat 4]]+Opv.kohd.[[#This Row],[Maahan-muuttajien koulutus 4]]+Opv.kohd.[[#This Row],[Nuorisotyöt. väh. ja osaamistarp. vast., muu kuin työvoima-koulutus 4]])</f>
        <v>0</v>
      </c>
      <c r="BP56" s="207">
        <f>Opv.kohd.[[#This Row],[Työvoima-koulutus 7e]]-(Opv.kohd.[[#This Row],[Työvoima-koulutus 4]]+Opv.kohd.[[#This Row],[Nuorisotyöt. väh. ja osaamistarp. vast., työvoima-koulutus 4]])</f>
        <v>0</v>
      </c>
      <c r="BQ56" s="207">
        <f>Opv.kohd.[[#This Row],[Yhteensä 7e]]-Opv.kohd.[[#This Row],[Ensikertaisella suoritepäätöksellä jaetut tavoitteelliset opiskelijavuodet yhteensä 4]]</f>
        <v>0</v>
      </c>
      <c r="BR56" s="263">
        <v>43</v>
      </c>
      <c r="BS56" s="263">
        <v>17</v>
      </c>
      <c r="BT56" s="263">
        <v>0</v>
      </c>
      <c r="BU56" s="263">
        <v>0</v>
      </c>
      <c r="BV56" s="263">
        <v>0</v>
      </c>
      <c r="BW56" s="263">
        <v>0</v>
      </c>
      <c r="BX56" s="263">
        <v>17</v>
      </c>
      <c r="BY56" s="263">
        <v>60</v>
      </c>
      <c r="BZ56" s="207">
        <f t="shared" si="2"/>
        <v>43</v>
      </c>
      <c r="CA56" s="207">
        <f t="shared" si="3"/>
        <v>17</v>
      </c>
      <c r="CB56" s="207">
        <f t="shared" si="4"/>
        <v>0</v>
      </c>
      <c r="CC56" s="207">
        <f t="shared" si="5"/>
        <v>0</v>
      </c>
      <c r="CD56" s="207">
        <f t="shared" si="6"/>
        <v>0</v>
      </c>
      <c r="CE56" s="207">
        <f t="shared" si="7"/>
        <v>0</v>
      </c>
      <c r="CF56" s="207">
        <f t="shared" si="8"/>
        <v>17</v>
      </c>
      <c r="CG56" s="207">
        <f t="shared" si="9"/>
        <v>60</v>
      </c>
      <c r="CH56" s="207">
        <f>Opv.kohd.[[#This Row],[Tavoitteelliset opiskelijavuodet yhteensä 9]]-Opv.kohd.[[#This Row],[Työvoima-koulutus 9]]-Opv.kohd.[[#This Row],[Nuorisotyöt. väh. ja osaamistarp. vast., työvoima-koulutus 9]]-Opv.kohd.[[#This Row],[Muu kuin työvoima-koulutus 7e]]</f>
        <v>60</v>
      </c>
      <c r="CI56" s="207">
        <f>(Opv.kohd.[[#This Row],[Työvoima-koulutus 9]]+Opv.kohd.[[#This Row],[Nuorisotyöt. väh. ja osaamistarp. vast., työvoima-koulutus 9]])-Opv.kohd.[[#This Row],[Työvoima-koulutus 7e]]</f>
        <v>0</v>
      </c>
      <c r="CJ56" s="207">
        <f>Opv.kohd.[[#This Row],[Tavoitteelliset opiskelijavuodet yhteensä 9]]-Opv.kohd.[[#This Row],[Yhteensä 7e]]</f>
        <v>60</v>
      </c>
      <c r="CK56" s="207">
        <f>Opv.kohd.[[#This Row],[Järjestämisluvan mukaiset 4]]+Opv.kohd.[[#This Row],[Järjestämisluvan mukaiset 13]]</f>
        <v>0</v>
      </c>
      <c r="CL56" s="207">
        <f>Opv.kohd.[[#This Row],[Kohdentamat-tomat 4]]+Opv.kohd.[[#This Row],[Kohdentamat-tomat 13]]</f>
        <v>0</v>
      </c>
      <c r="CM56" s="207">
        <f>Opv.kohd.[[#This Row],[Työvoima-koulutus 4]]+Opv.kohd.[[#This Row],[Työvoima-koulutus 13]]</f>
        <v>0</v>
      </c>
      <c r="CN56" s="207">
        <f>Opv.kohd.[[#This Row],[Maahan-muuttajien koulutus 4]]+Opv.kohd.[[#This Row],[Maahan-muuttajien koulutus 13]]</f>
        <v>0</v>
      </c>
      <c r="CO56" s="207">
        <f>Opv.kohd.[[#This Row],[Nuorisotyöt. väh. ja osaamistarp. vast., muu kuin työvoima-koulutus 4]]+Opv.kohd.[[#This Row],[Nuorisotyöt. väh. ja osaamistarp. vast., muu kuin työvoima-koulutus 13]]</f>
        <v>0</v>
      </c>
      <c r="CP56" s="207">
        <f>Opv.kohd.[[#This Row],[Nuorisotyöt. väh. ja osaamistarp. vast., työvoima-koulutus 4]]+Opv.kohd.[[#This Row],[Nuorisotyöt. väh. ja osaamistarp. vast., työvoima-koulutus 13]]</f>
        <v>0</v>
      </c>
      <c r="CQ56" s="207">
        <f>Opv.kohd.[[#This Row],[Yhteensä 4]]+Opv.kohd.[[#This Row],[Yhteensä 13]]</f>
        <v>0</v>
      </c>
      <c r="CR56" s="207">
        <f>Opv.kohd.[[#This Row],[Ensikertaisella suoritepäätöksellä jaetut tavoitteelliset opiskelijavuodet yhteensä 4]]+Opv.kohd.[[#This Row],[Tavoitteelliset opiskelijavuodet yhteensä 13]]</f>
        <v>0</v>
      </c>
      <c r="CS56" s="120">
        <v>0</v>
      </c>
      <c r="CT56" s="120">
        <v>0</v>
      </c>
      <c r="CU56" s="120">
        <v>0</v>
      </c>
      <c r="CV56" s="120">
        <v>0</v>
      </c>
      <c r="CW56" s="120">
        <v>0</v>
      </c>
      <c r="CX56" s="120">
        <v>0</v>
      </c>
      <c r="CY56" s="120">
        <v>0</v>
      </c>
      <c r="CZ56" s="120">
        <v>0</v>
      </c>
      <c r="DA56" s="209">
        <f>IFERROR(Opv.kohd.[[#This Row],[Järjestämisluvan mukaiset 13]]/Opv.kohd.[[#This Row],[Järjestämisluvan mukaiset 12]],0)</f>
        <v>0</v>
      </c>
      <c r="DB56" s="209">
        <f>IFERROR(Opv.kohd.[[#This Row],[Kohdentamat-tomat 13]]/Opv.kohd.[[#This Row],[Kohdentamat-tomat 12]],0)</f>
        <v>0</v>
      </c>
      <c r="DC56" s="209">
        <f>IFERROR(Opv.kohd.[[#This Row],[Työvoima-koulutus 13]]/Opv.kohd.[[#This Row],[Työvoima-koulutus 12]],0)</f>
        <v>0</v>
      </c>
      <c r="DD56" s="209">
        <f>IFERROR(Opv.kohd.[[#This Row],[Maahan-muuttajien koulutus 13]]/Opv.kohd.[[#This Row],[Maahan-muuttajien koulutus 12]],0)</f>
        <v>0</v>
      </c>
      <c r="DE56" s="209">
        <f>IFERROR(Opv.kohd.[[#This Row],[Nuorisotyöt. väh. ja osaamistarp. vast., muu kuin työvoima-koulutus 13]]/Opv.kohd.[[#This Row],[Nuorisotyöt. väh. ja osaamistarp. vast., muu kuin työvoima-koulutus 12]],0)</f>
        <v>0</v>
      </c>
      <c r="DF56" s="209">
        <f>IFERROR(Opv.kohd.[[#This Row],[Nuorisotyöt. väh. ja osaamistarp. vast., työvoima-koulutus 13]]/Opv.kohd.[[#This Row],[Nuorisotyöt. väh. ja osaamistarp. vast., työvoima-koulutus 12]],0)</f>
        <v>0</v>
      </c>
      <c r="DG56" s="209">
        <f>IFERROR(Opv.kohd.[[#This Row],[Yhteensä 13]]/Opv.kohd.[[#This Row],[Yhteensä 12]],0)</f>
        <v>0</v>
      </c>
      <c r="DH56" s="209">
        <f>IFERROR(Opv.kohd.[[#This Row],[Tavoitteelliset opiskelijavuodet yhteensä 13]]/Opv.kohd.[[#This Row],[Tavoitteelliset opiskelijavuodet yhteensä 12]],0)</f>
        <v>0</v>
      </c>
      <c r="DI56" s="207">
        <f>Opv.kohd.[[#This Row],[Järjestämisluvan mukaiset 12]]-Opv.kohd.[[#This Row],[Järjestämisluvan mukaiset 9]]</f>
        <v>-43</v>
      </c>
      <c r="DJ56" s="207">
        <f>Opv.kohd.[[#This Row],[Kohdentamat-tomat 12]]-Opv.kohd.[[#This Row],[Kohdentamat-tomat 9]]</f>
        <v>-17</v>
      </c>
      <c r="DK56" s="207">
        <f>Opv.kohd.[[#This Row],[Työvoima-koulutus 12]]-Opv.kohd.[[#This Row],[Työvoima-koulutus 9]]</f>
        <v>0</v>
      </c>
      <c r="DL56" s="207">
        <f>Opv.kohd.[[#This Row],[Maahan-muuttajien koulutus 12]]-Opv.kohd.[[#This Row],[Maahan-muuttajien koulutus 9]]</f>
        <v>0</v>
      </c>
      <c r="DM56" s="207">
        <f>Opv.kohd.[[#This Row],[Nuorisotyöt. väh. ja osaamistarp. vast., muu kuin työvoima-koulutus 12]]-Opv.kohd.[[#This Row],[Nuorisotyöt. väh. ja osaamistarp. vast., muu kuin työvoima-koulutus 9]]</f>
        <v>0</v>
      </c>
      <c r="DN56" s="207">
        <f>Opv.kohd.[[#This Row],[Nuorisotyöt. väh. ja osaamistarp. vast., työvoima-koulutus 12]]-Opv.kohd.[[#This Row],[Nuorisotyöt. väh. ja osaamistarp. vast., työvoima-koulutus 9]]</f>
        <v>0</v>
      </c>
      <c r="DO56" s="207">
        <f>Opv.kohd.[[#This Row],[Yhteensä 12]]-Opv.kohd.[[#This Row],[Yhteensä 9]]</f>
        <v>-17</v>
      </c>
      <c r="DP56" s="207">
        <f>Opv.kohd.[[#This Row],[Tavoitteelliset opiskelijavuodet yhteensä 12]]-Opv.kohd.[[#This Row],[Tavoitteelliset opiskelijavuodet yhteensä 9]]</f>
        <v>-60</v>
      </c>
      <c r="DQ56" s="209">
        <f>IFERROR(Opv.kohd.[[#This Row],[Järjestämisluvan mukaiset 15]]/Opv.kohd.[[#This Row],[Järjestämisluvan mukaiset 9]],0)</f>
        <v>-1</v>
      </c>
      <c r="DR56" s="209">
        <f t="shared" si="10"/>
        <v>0</v>
      </c>
      <c r="DS56" s="209">
        <f t="shared" si="11"/>
        <v>0</v>
      </c>
      <c r="DT56" s="209">
        <f t="shared" si="12"/>
        <v>0</v>
      </c>
      <c r="DU56" s="209">
        <f t="shared" si="13"/>
        <v>0</v>
      </c>
      <c r="DV56" s="209">
        <f t="shared" si="14"/>
        <v>0</v>
      </c>
      <c r="DW56" s="209">
        <f t="shared" si="15"/>
        <v>0</v>
      </c>
      <c r="DX56" s="209">
        <f t="shared" si="16"/>
        <v>0</v>
      </c>
    </row>
    <row r="57" spans="1:128" x14ac:dyDescent="0.25">
      <c r="A57" s="204" t="e">
        <f>IF(INDEX(#REF!,ROW(57:57)-1,1)=0,"",INDEX(#REF!,ROW(57:57)-1,1))</f>
        <v>#REF!</v>
      </c>
      <c r="B57" s="205" t="str">
        <f>IFERROR(VLOOKUP(Opv.kohd.[[#This Row],[Y-tunnus]],'0 Järjestäjätiedot'!$A:$H,2,FALSE),"")</f>
        <v/>
      </c>
      <c r="C57" s="204" t="str">
        <f>IFERROR(VLOOKUP(Opv.kohd.[[#This Row],[Y-tunnus]],'0 Järjestäjätiedot'!$A:$H,COLUMN('0 Järjestäjätiedot'!D:D),FALSE),"")</f>
        <v/>
      </c>
      <c r="D57" s="204" t="str">
        <f>IFERROR(VLOOKUP(Opv.kohd.[[#This Row],[Y-tunnus]],'0 Järjestäjätiedot'!$A:$H,COLUMN('0 Järjestäjätiedot'!H:H),FALSE),"")</f>
        <v/>
      </c>
      <c r="E57" s="204">
        <f>IFERROR(VLOOKUP(Opv.kohd.[[#This Row],[Y-tunnus]],#REF!,COLUMN(#REF!),FALSE),0)</f>
        <v>0</v>
      </c>
      <c r="F57" s="204">
        <f>IFERROR(VLOOKUP(Opv.kohd.[[#This Row],[Y-tunnus]],#REF!,COLUMN(#REF!),FALSE),0)</f>
        <v>0</v>
      </c>
      <c r="G57" s="204">
        <f>IFERROR(VLOOKUP(Opv.kohd.[[#This Row],[Y-tunnus]],#REF!,COLUMN(#REF!),FALSE),0)</f>
        <v>0</v>
      </c>
      <c r="H57" s="204">
        <f>IFERROR(VLOOKUP(Opv.kohd.[[#This Row],[Y-tunnus]],#REF!,COLUMN(#REF!),FALSE),0)</f>
        <v>0</v>
      </c>
      <c r="I57" s="204">
        <f>IFERROR(VLOOKUP(Opv.kohd.[[#This Row],[Y-tunnus]],#REF!,COLUMN(#REF!),FALSE),0)</f>
        <v>0</v>
      </c>
      <c r="J57" s="204">
        <f>IFERROR(VLOOKUP(Opv.kohd.[[#This Row],[Y-tunnus]],#REF!,COLUMN(#REF!),FALSE),0)</f>
        <v>0</v>
      </c>
      <c r="K5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57" s="204">
        <f>Opv.kohd.[[#This Row],[Järjestämisluvan mukaiset 1]]+Opv.kohd.[[#This Row],[Yhteensä  1]]</f>
        <v>0</v>
      </c>
      <c r="M57" s="204">
        <f>IFERROR(VLOOKUP(Opv.kohd.[[#This Row],[Y-tunnus]],#REF!,COLUMN(#REF!),FALSE),0)</f>
        <v>0</v>
      </c>
      <c r="N57" s="204">
        <f>IFERROR(VLOOKUP(Opv.kohd.[[#This Row],[Y-tunnus]],#REF!,COLUMN(#REF!),FALSE),0)</f>
        <v>0</v>
      </c>
      <c r="O57" s="204">
        <f>IFERROR(VLOOKUP(Opv.kohd.[[#This Row],[Y-tunnus]],#REF!,COLUMN(#REF!),FALSE)+VLOOKUP(Opv.kohd.[[#This Row],[Y-tunnus]],#REF!,COLUMN(#REF!),FALSE),0)</f>
        <v>0</v>
      </c>
      <c r="P57" s="204">
        <f>Opv.kohd.[[#This Row],[Talousarvion perusteella kohdentamattomat]]+Opv.kohd.[[#This Row],[Talousarvion perusteella työvoimakoulutus 1]]+Opv.kohd.[[#This Row],[Lisätalousarvioiden perusteella]]</f>
        <v>0</v>
      </c>
      <c r="Q57" s="204">
        <f>IFERROR(VLOOKUP(Opv.kohd.[[#This Row],[Y-tunnus]],#REF!,COLUMN(#REF!),FALSE),0)</f>
        <v>0</v>
      </c>
      <c r="R57" s="210">
        <f>IFERROR(VLOOKUP(Opv.kohd.[[#This Row],[Y-tunnus]],#REF!,COLUMN(#REF!),FALSE)-(Opv.kohd.[[#This Row],[Kohdentamaton työvoima-koulutus 2]]+Opv.kohd.[[#This Row],[Maahan-muuttajien koulutus 2]]+Opv.kohd.[[#This Row],[Lisätalousarvioiden perusteella jaetut 2]]),0)</f>
        <v>0</v>
      </c>
      <c r="S57" s="210">
        <f>IFERROR(VLOOKUP(Opv.kohd.[[#This Row],[Y-tunnus]],#REF!,COLUMN(#REF!),FALSE)+VLOOKUP(Opv.kohd.[[#This Row],[Y-tunnus]],#REF!,COLUMN(#REF!),FALSE),0)</f>
        <v>0</v>
      </c>
      <c r="T57" s="210">
        <f>IFERROR(VLOOKUP(Opv.kohd.[[#This Row],[Y-tunnus]],#REF!,COLUMN(#REF!),FALSE)+VLOOKUP(Opv.kohd.[[#This Row],[Y-tunnus]],#REF!,COLUMN(#REF!),FALSE),0)</f>
        <v>0</v>
      </c>
      <c r="U5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57" s="210">
        <f>Opv.kohd.[[#This Row],[Kohdentamat-tomat 2]]+Opv.kohd.[[#This Row],[Kohdentamaton työvoima-koulutus 2]]+Opv.kohd.[[#This Row],[Maahan-muuttajien koulutus 2]]+Opv.kohd.[[#This Row],[Lisätalousarvioiden perusteella jaetut 2]]</f>
        <v>0</v>
      </c>
      <c r="W57" s="210">
        <f>Opv.kohd.[[#This Row],[Kohdentamat-tomat 2]]-(Opv.kohd.[[#This Row],[Järjestämisluvan mukaiset 1]]+Opv.kohd.[[#This Row],[Kohdentamat-tomat 1]]+Opv.kohd.[[#This Row],[Nuorisotyöt. väh. ja osaamistarp. vast., muu kuin työvoima-koulutus 1]]+Opv.kohd.[[#This Row],[Talousarvion perusteella kohdentamattomat]])</f>
        <v>0</v>
      </c>
      <c r="X57" s="210">
        <f>Opv.kohd.[[#This Row],[Kohdentamaton työvoima-koulutus 2]]-(Opv.kohd.[[#This Row],[Työvoima-koulutus 1]]+Opv.kohd.[[#This Row],[Nuorisotyöt. väh. ja osaamistarp. vast., työvoima-koulutus 1]]+Opv.kohd.[[#This Row],[Talousarvion perusteella työvoimakoulutus 1]])</f>
        <v>0</v>
      </c>
      <c r="Y57" s="210">
        <f>Opv.kohd.[[#This Row],[Maahan-muuttajien koulutus 2]]-Opv.kohd.[[#This Row],[Maahan-muuttajien koulutus 1]]</f>
        <v>0</v>
      </c>
      <c r="Z57" s="210">
        <f>Opv.kohd.[[#This Row],[Lisätalousarvioiden perusteella jaetut 2]]-Opv.kohd.[[#This Row],[Lisätalousarvioiden perusteella]]</f>
        <v>0</v>
      </c>
      <c r="AA57" s="210">
        <f>Opv.kohd.[[#This Row],[Toteutuneet opiskelijavuodet yhteensä 2]]-Opv.kohd.[[#This Row],[Vuoden 2018 tavoitteelliset opiskelijavuodet yhteensä 1]]</f>
        <v>0</v>
      </c>
      <c r="AB57" s="207">
        <f>IFERROR(VLOOKUP(Opv.kohd.[[#This Row],[Y-tunnus]],#REF!,3,FALSE),0)</f>
        <v>0</v>
      </c>
      <c r="AC57" s="207">
        <f>IFERROR(VLOOKUP(Opv.kohd.[[#This Row],[Y-tunnus]],#REF!,4,FALSE),0)</f>
        <v>0</v>
      </c>
      <c r="AD57" s="207">
        <f>IFERROR(VLOOKUP(Opv.kohd.[[#This Row],[Y-tunnus]],#REF!,5,FALSE),0)</f>
        <v>0</v>
      </c>
      <c r="AE57" s="207">
        <f>IFERROR(VLOOKUP(Opv.kohd.[[#This Row],[Y-tunnus]],#REF!,6,FALSE),0)</f>
        <v>0</v>
      </c>
      <c r="AF57" s="207">
        <f>IFERROR(VLOOKUP(Opv.kohd.[[#This Row],[Y-tunnus]],#REF!,7,FALSE),0)</f>
        <v>0</v>
      </c>
      <c r="AG57" s="207">
        <f>IFERROR(VLOOKUP(Opv.kohd.[[#This Row],[Y-tunnus]],#REF!,8,FALSE),0)</f>
        <v>0</v>
      </c>
      <c r="AH57" s="207">
        <f>IFERROR(VLOOKUP(Opv.kohd.[[#This Row],[Y-tunnus]],#REF!,9,FALSE),0)</f>
        <v>0</v>
      </c>
      <c r="AI57" s="207">
        <f>IFERROR(VLOOKUP(Opv.kohd.[[#This Row],[Y-tunnus]],#REF!,10,FALSE),0)</f>
        <v>0</v>
      </c>
      <c r="AJ57" s="204">
        <f>Opv.kohd.[[#This Row],[Järjestämisluvan mukaiset 4]]-Opv.kohd.[[#This Row],[Järjestämisluvan mukaiset 1]]</f>
        <v>0</v>
      </c>
      <c r="AK57" s="204">
        <f>Opv.kohd.[[#This Row],[Kohdentamat-tomat 4]]-Opv.kohd.[[#This Row],[Kohdentamat-tomat 1]]</f>
        <v>0</v>
      </c>
      <c r="AL57" s="204">
        <f>Opv.kohd.[[#This Row],[Työvoima-koulutus 4]]-Opv.kohd.[[#This Row],[Työvoima-koulutus 1]]</f>
        <v>0</v>
      </c>
      <c r="AM57" s="204">
        <f>Opv.kohd.[[#This Row],[Maahan-muuttajien koulutus 4]]-Opv.kohd.[[#This Row],[Maahan-muuttajien koulutus 1]]</f>
        <v>0</v>
      </c>
      <c r="AN57" s="204">
        <f>Opv.kohd.[[#This Row],[Nuorisotyöt. väh. ja osaamistarp. vast., muu kuin työvoima-koulutus 4]]-Opv.kohd.[[#This Row],[Nuorisotyöt. väh. ja osaamistarp. vast., muu kuin työvoima-koulutus 1]]</f>
        <v>0</v>
      </c>
      <c r="AO57" s="204">
        <f>Opv.kohd.[[#This Row],[Nuorisotyöt. väh. ja osaamistarp. vast., työvoima-koulutus 4]]-Opv.kohd.[[#This Row],[Nuorisotyöt. väh. ja osaamistarp. vast., työvoima-koulutus 1]]</f>
        <v>0</v>
      </c>
      <c r="AP57" s="204">
        <f>Opv.kohd.[[#This Row],[Yhteensä 4]]-Opv.kohd.[[#This Row],[Yhteensä  1]]</f>
        <v>0</v>
      </c>
      <c r="AQ57" s="204">
        <f>Opv.kohd.[[#This Row],[Ensikertaisella suoritepäätöksellä jaetut tavoitteelliset opiskelijavuodet yhteensä 4]]-Opv.kohd.[[#This Row],[Ensikertaisella suoritepäätöksellä jaetut tavoitteelliset opiskelijavuodet yhteensä 1]]</f>
        <v>0</v>
      </c>
      <c r="AR57" s="208">
        <f>IFERROR(Opv.kohd.[[#This Row],[Järjestämisluvan mukaiset 5]]/Opv.kohd.[[#This Row],[Järjestämisluvan mukaiset 4]],0)</f>
        <v>0</v>
      </c>
      <c r="AS57" s="208">
        <f>IFERROR(Opv.kohd.[[#This Row],[Kohdentamat-tomat 5]]/Opv.kohd.[[#This Row],[Kohdentamat-tomat 4]],0)</f>
        <v>0</v>
      </c>
      <c r="AT57" s="208">
        <f>IFERROR(Opv.kohd.[[#This Row],[Työvoima-koulutus 5]]/Opv.kohd.[[#This Row],[Työvoima-koulutus 4]],0)</f>
        <v>0</v>
      </c>
      <c r="AU57" s="208">
        <f>IFERROR(Opv.kohd.[[#This Row],[Maahan-muuttajien koulutus 5]]/Opv.kohd.[[#This Row],[Maahan-muuttajien koulutus 4]],0)</f>
        <v>0</v>
      </c>
      <c r="AV57" s="208">
        <f>IFERROR(Opv.kohd.[[#This Row],[Nuorisotyöt. väh. ja osaamistarp. vast., muu kuin työvoima-koulutus 5]]/Opv.kohd.[[#This Row],[Nuorisotyöt. väh. ja osaamistarp. vast., muu kuin työvoima-koulutus 4]],0)</f>
        <v>0</v>
      </c>
      <c r="AW57" s="208">
        <f>IFERROR(Opv.kohd.[[#This Row],[Nuorisotyöt. väh. ja osaamistarp. vast., työvoima-koulutus 5]]/Opv.kohd.[[#This Row],[Nuorisotyöt. väh. ja osaamistarp. vast., työvoima-koulutus 4]],0)</f>
        <v>0</v>
      </c>
      <c r="AX57" s="208">
        <f>IFERROR(Opv.kohd.[[#This Row],[Yhteensä 5]]/Opv.kohd.[[#This Row],[Yhteensä 4]],0)</f>
        <v>0</v>
      </c>
      <c r="AY57" s="208">
        <f>IFERROR(Opv.kohd.[[#This Row],[Ensikertaisella suoritepäätöksellä jaetut tavoitteelliset opiskelijavuodet yhteensä 5]]/Opv.kohd.[[#This Row],[Ensikertaisella suoritepäätöksellä jaetut tavoitteelliset opiskelijavuodet yhteensä 4]],0)</f>
        <v>0</v>
      </c>
      <c r="AZ57" s="207">
        <f>Opv.kohd.[[#This Row],[Yhteensä 7a]]-Opv.kohd.[[#This Row],[Työvoima-koulutus 7a]]</f>
        <v>0</v>
      </c>
      <c r="BA57" s="207">
        <f>IFERROR(VLOOKUP(Opv.kohd.[[#This Row],[Y-tunnus]],#REF!,COLUMN(#REF!),FALSE),0)</f>
        <v>0</v>
      </c>
      <c r="BB57" s="207">
        <f>IFERROR(VLOOKUP(Opv.kohd.[[#This Row],[Y-tunnus]],#REF!,COLUMN(#REF!),FALSE),0)</f>
        <v>0</v>
      </c>
      <c r="BC57" s="207">
        <f>Opv.kohd.[[#This Row],[Muu kuin työvoima-koulutus 7c]]-Opv.kohd.[[#This Row],[Muu kuin työvoima-koulutus 7a]]</f>
        <v>0</v>
      </c>
      <c r="BD57" s="207">
        <f>Opv.kohd.[[#This Row],[Työvoima-koulutus 7c]]-Opv.kohd.[[#This Row],[Työvoima-koulutus 7a]]</f>
        <v>0</v>
      </c>
      <c r="BE57" s="207">
        <f>Opv.kohd.[[#This Row],[Yhteensä 7c]]-Opv.kohd.[[#This Row],[Yhteensä 7a]]</f>
        <v>0</v>
      </c>
      <c r="BF57" s="207">
        <f>Opv.kohd.[[#This Row],[Yhteensä 7c]]-Opv.kohd.[[#This Row],[Työvoima-koulutus 7c]]</f>
        <v>0</v>
      </c>
      <c r="BG57" s="207">
        <f>IFERROR(VLOOKUP(Opv.kohd.[[#This Row],[Y-tunnus]],#REF!,COLUMN(#REF!),FALSE),0)</f>
        <v>0</v>
      </c>
      <c r="BH57" s="207">
        <f>IFERROR(VLOOKUP(Opv.kohd.[[#This Row],[Y-tunnus]],#REF!,COLUMN(#REF!),FALSE),0)</f>
        <v>0</v>
      </c>
      <c r="BI57" s="207">
        <f>IFERROR(VLOOKUP(Opv.kohd.[[#This Row],[Y-tunnus]],#REF!,COLUMN(#REF!),FALSE),0)</f>
        <v>0</v>
      </c>
      <c r="BJ57" s="207">
        <f>IFERROR(VLOOKUP(Opv.kohd.[[#This Row],[Y-tunnus]],#REF!,COLUMN(#REF!),FALSE),0)</f>
        <v>0</v>
      </c>
      <c r="BK57" s="207">
        <f>Opv.kohd.[[#This Row],[Muu kuin työvoima-koulutus 7d]]+Opv.kohd.[[#This Row],[Työvoima-koulutus 7d]]</f>
        <v>0</v>
      </c>
      <c r="BL57" s="207">
        <f>Opv.kohd.[[#This Row],[Muu kuin työvoima-koulutus 7c]]-Opv.kohd.[[#This Row],[Muu kuin työvoima-koulutus 7d]]</f>
        <v>0</v>
      </c>
      <c r="BM57" s="207">
        <f>Opv.kohd.[[#This Row],[Työvoima-koulutus 7c]]-Opv.kohd.[[#This Row],[Työvoima-koulutus 7d]]</f>
        <v>0</v>
      </c>
      <c r="BN57" s="207">
        <f>Opv.kohd.[[#This Row],[Yhteensä 7c]]-Opv.kohd.[[#This Row],[Yhteensä 7d]]</f>
        <v>0</v>
      </c>
      <c r="BO57" s="207">
        <f>Opv.kohd.[[#This Row],[Muu kuin työvoima-koulutus 7e]]-(Opv.kohd.[[#This Row],[Järjestämisluvan mukaiset 4]]+Opv.kohd.[[#This Row],[Kohdentamat-tomat 4]]+Opv.kohd.[[#This Row],[Maahan-muuttajien koulutus 4]]+Opv.kohd.[[#This Row],[Nuorisotyöt. väh. ja osaamistarp. vast., muu kuin työvoima-koulutus 4]])</f>
        <v>0</v>
      </c>
      <c r="BP57" s="207">
        <f>Opv.kohd.[[#This Row],[Työvoima-koulutus 7e]]-(Opv.kohd.[[#This Row],[Työvoima-koulutus 4]]+Opv.kohd.[[#This Row],[Nuorisotyöt. väh. ja osaamistarp. vast., työvoima-koulutus 4]])</f>
        <v>0</v>
      </c>
      <c r="BQ57" s="207">
        <f>Opv.kohd.[[#This Row],[Yhteensä 7e]]-Opv.kohd.[[#This Row],[Ensikertaisella suoritepäätöksellä jaetut tavoitteelliset opiskelijavuodet yhteensä 4]]</f>
        <v>0</v>
      </c>
      <c r="BR57" s="263">
        <v>2572</v>
      </c>
      <c r="BS57" s="263">
        <v>78</v>
      </c>
      <c r="BT57" s="263">
        <v>105</v>
      </c>
      <c r="BU57" s="263">
        <v>12</v>
      </c>
      <c r="BV57" s="263">
        <v>0</v>
      </c>
      <c r="BW57" s="263">
        <v>0</v>
      </c>
      <c r="BX57" s="263">
        <v>195</v>
      </c>
      <c r="BY57" s="263">
        <v>2767</v>
      </c>
      <c r="BZ57" s="207">
        <f t="shared" si="2"/>
        <v>2572</v>
      </c>
      <c r="CA57" s="207">
        <f t="shared" si="3"/>
        <v>78</v>
      </c>
      <c r="CB57" s="207">
        <f t="shared" si="4"/>
        <v>105</v>
      </c>
      <c r="CC57" s="207">
        <f t="shared" si="5"/>
        <v>12</v>
      </c>
      <c r="CD57" s="207">
        <f t="shared" si="6"/>
        <v>0</v>
      </c>
      <c r="CE57" s="207">
        <f t="shared" si="7"/>
        <v>0</v>
      </c>
      <c r="CF57" s="207">
        <f t="shared" si="8"/>
        <v>195</v>
      </c>
      <c r="CG57" s="207">
        <f t="shared" si="9"/>
        <v>2767</v>
      </c>
      <c r="CH57" s="207">
        <f>Opv.kohd.[[#This Row],[Tavoitteelliset opiskelijavuodet yhteensä 9]]-Opv.kohd.[[#This Row],[Työvoima-koulutus 9]]-Opv.kohd.[[#This Row],[Nuorisotyöt. väh. ja osaamistarp. vast., työvoima-koulutus 9]]-Opv.kohd.[[#This Row],[Muu kuin työvoima-koulutus 7e]]</f>
        <v>2662</v>
      </c>
      <c r="CI57" s="207">
        <f>(Opv.kohd.[[#This Row],[Työvoima-koulutus 9]]+Opv.kohd.[[#This Row],[Nuorisotyöt. väh. ja osaamistarp. vast., työvoima-koulutus 9]])-Opv.kohd.[[#This Row],[Työvoima-koulutus 7e]]</f>
        <v>105</v>
      </c>
      <c r="CJ57" s="207">
        <f>Opv.kohd.[[#This Row],[Tavoitteelliset opiskelijavuodet yhteensä 9]]-Opv.kohd.[[#This Row],[Yhteensä 7e]]</f>
        <v>2767</v>
      </c>
      <c r="CK57" s="207">
        <f>Opv.kohd.[[#This Row],[Järjestämisluvan mukaiset 4]]+Opv.kohd.[[#This Row],[Järjestämisluvan mukaiset 13]]</f>
        <v>0</v>
      </c>
      <c r="CL57" s="207">
        <f>Opv.kohd.[[#This Row],[Kohdentamat-tomat 4]]+Opv.kohd.[[#This Row],[Kohdentamat-tomat 13]]</f>
        <v>0</v>
      </c>
      <c r="CM57" s="207">
        <f>Opv.kohd.[[#This Row],[Työvoima-koulutus 4]]+Opv.kohd.[[#This Row],[Työvoima-koulutus 13]]</f>
        <v>0</v>
      </c>
      <c r="CN57" s="207">
        <f>Opv.kohd.[[#This Row],[Maahan-muuttajien koulutus 4]]+Opv.kohd.[[#This Row],[Maahan-muuttajien koulutus 13]]</f>
        <v>0</v>
      </c>
      <c r="CO57" s="207">
        <f>Opv.kohd.[[#This Row],[Nuorisotyöt. väh. ja osaamistarp. vast., muu kuin työvoima-koulutus 4]]+Opv.kohd.[[#This Row],[Nuorisotyöt. väh. ja osaamistarp. vast., muu kuin työvoima-koulutus 13]]</f>
        <v>0</v>
      </c>
      <c r="CP57" s="207">
        <f>Opv.kohd.[[#This Row],[Nuorisotyöt. väh. ja osaamistarp. vast., työvoima-koulutus 4]]+Opv.kohd.[[#This Row],[Nuorisotyöt. väh. ja osaamistarp. vast., työvoima-koulutus 13]]</f>
        <v>0</v>
      </c>
      <c r="CQ57" s="207">
        <f>Opv.kohd.[[#This Row],[Yhteensä 4]]+Opv.kohd.[[#This Row],[Yhteensä 13]]</f>
        <v>0</v>
      </c>
      <c r="CR57" s="207">
        <f>Opv.kohd.[[#This Row],[Ensikertaisella suoritepäätöksellä jaetut tavoitteelliset opiskelijavuodet yhteensä 4]]+Opv.kohd.[[#This Row],[Tavoitteelliset opiskelijavuodet yhteensä 13]]</f>
        <v>0</v>
      </c>
      <c r="CS57" s="120">
        <v>0</v>
      </c>
      <c r="CT57" s="120">
        <v>0</v>
      </c>
      <c r="CU57" s="120">
        <v>0</v>
      </c>
      <c r="CV57" s="120">
        <v>0</v>
      </c>
      <c r="CW57" s="120">
        <v>0</v>
      </c>
      <c r="CX57" s="120">
        <v>0</v>
      </c>
      <c r="CY57" s="120">
        <v>0</v>
      </c>
      <c r="CZ57" s="120">
        <v>0</v>
      </c>
      <c r="DA57" s="209">
        <f>IFERROR(Opv.kohd.[[#This Row],[Järjestämisluvan mukaiset 13]]/Opv.kohd.[[#This Row],[Järjestämisluvan mukaiset 12]],0)</f>
        <v>0</v>
      </c>
      <c r="DB57" s="209">
        <f>IFERROR(Opv.kohd.[[#This Row],[Kohdentamat-tomat 13]]/Opv.kohd.[[#This Row],[Kohdentamat-tomat 12]],0)</f>
        <v>0</v>
      </c>
      <c r="DC57" s="209">
        <f>IFERROR(Opv.kohd.[[#This Row],[Työvoima-koulutus 13]]/Opv.kohd.[[#This Row],[Työvoima-koulutus 12]],0)</f>
        <v>0</v>
      </c>
      <c r="DD57" s="209">
        <f>IFERROR(Opv.kohd.[[#This Row],[Maahan-muuttajien koulutus 13]]/Opv.kohd.[[#This Row],[Maahan-muuttajien koulutus 12]],0)</f>
        <v>0</v>
      </c>
      <c r="DE57" s="209">
        <f>IFERROR(Opv.kohd.[[#This Row],[Nuorisotyöt. väh. ja osaamistarp. vast., muu kuin työvoima-koulutus 13]]/Opv.kohd.[[#This Row],[Nuorisotyöt. väh. ja osaamistarp. vast., muu kuin työvoima-koulutus 12]],0)</f>
        <v>0</v>
      </c>
      <c r="DF57" s="209">
        <f>IFERROR(Opv.kohd.[[#This Row],[Nuorisotyöt. väh. ja osaamistarp. vast., työvoima-koulutus 13]]/Opv.kohd.[[#This Row],[Nuorisotyöt. väh. ja osaamistarp. vast., työvoima-koulutus 12]],0)</f>
        <v>0</v>
      </c>
      <c r="DG57" s="209">
        <f>IFERROR(Opv.kohd.[[#This Row],[Yhteensä 13]]/Opv.kohd.[[#This Row],[Yhteensä 12]],0)</f>
        <v>0</v>
      </c>
      <c r="DH57" s="209">
        <f>IFERROR(Opv.kohd.[[#This Row],[Tavoitteelliset opiskelijavuodet yhteensä 13]]/Opv.kohd.[[#This Row],[Tavoitteelliset opiskelijavuodet yhteensä 12]],0)</f>
        <v>0</v>
      </c>
      <c r="DI57" s="207">
        <f>Opv.kohd.[[#This Row],[Järjestämisluvan mukaiset 12]]-Opv.kohd.[[#This Row],[Järjestämisluvan mukaiset 9]]</f>
        <v>-2572</v>
      </c>
      <c r="DJ57" s="207">
        <f>Opv.kohd.[[#This Row],[Kohdentamat-tomat 12]]-Opv.kohd.[[#This Row],[Kohdentamat-tomat 9]]</f>
        <v>-78</v>
      </c>
      <c r="DK57" s="207">
        <f>Opv.kohd.[[#This Row],[Työvoima-koulutus 12]]-Opv.kohd.[[#This Row],[Työvoima-koulutus 9]]</f>
        <v>-105</v>
      </c>
      <c r="DL57" s="207">
        <f>Opv.kohd.[[#This Row],[Maahan-muuttajien koulutus 12]]-Opv.kohd.[[#This Row],[Maahan-muuttajien koulutus 9]]</f>
        <v>-12</v>
      </c>
      <c r="DM57" s="207">
        <f>Opv.kohd.[[#This Row],[Nuorisotyöt. väh. ja osaamistarp. vast., muu kuin työvoima-koulutus 12]]-Opv.kohd.[[#This Row],[Nuorisotyöt. väh. ja osaamistarp. vast., muu kuin työvoima-koulutus 9]]</f>
        <v>0</v>
      </c>
      <c r="DN57" s="207">
        <f>Opv.kohd.[[#This Row],[Nuorisotyöt. väh. ja osaamistarp. vast., työvoima-koulutus 12]]-Opv.kohd.[[#This Row],[Nuorisotyöt. väh. ja osaamistarp. vast., työvoima-koulutus 9]]</f>
        <v>0</v>
      </c>
      <c r="DO57" s="207">
        <f>Opv.kohd.[[#This Row],[Yhteensä 12]]-Opv.kohd.[[#This Row],[Yhteensä 9]]</f>
        <v>-195</v>
      </c>
      <c r="DP57" s="207">
        <f>Opv.kohd.[[#This Row],[Tavoitteelliset opiskelijavuodet yhteensä 12]]-Opv.kohd.[[#This Row],[Tavoitteelliset opiskelijavuodet yhteensä 9]]</f>
        <v>-2767</v>
      </c>
      <c r="DQ57" s="209">
        <f>IFERROR(Opv.kohd.[[#This Row],[Järjestämisluvan mukaiset 15]]/Opv.kohd.[[#This Row],[Järjestämisluvan mukaiset 9]],0)</f>
        <v>-1</v>
      </c>
      <c r="DR57" s="209">
        <f t="shared" si="10"/>
        <v>0</v>
      </c>
      <c r="DS57" s="209">
        <f t="shared" si="11"/>
        <v>0</v>
      </c>
      <c r="DT57" s="209">
        <f t="shared" si="12"/>
        <v>0</v>
      </c>
      <c r="DU57" s="209">
        <f t="shared" si="13"/>
        <v>0</v>
      </c>
      <c r="DV57" s="209">
        <f t="shared" si="14"/>
        <v>0</v>
      </c>
      <c r="DW57" s="209">
        <f t="shared" si="15"/>
        <v>0</v>
      </c>
      <c r="DX57" s="209">
        <f t="shared" si="16"/>
        <v>0</v>
      </c>
    </row>
    <row r="58" spans="1:128" x14ac:dyDescent="0.25">
      <c r="A58" s="204" t="e">
        <f>IF(INDEX(#REF!,ROW(58:58)-1,1)=0,"",INDEX(#REF!,ROW(58:58)-1,1))</f>
        <v>#REF!</v>
      </c>
      <c r="B58" s="205" t="str">
        <f>IFERROR(VLOOKUP(Opv.kohd.[[#This Row],[Y-tunnus]],'0 Järjestäjätiedot'!$A:$H,2,FALSE),"")</f>
        <v/>
      </c>
      <c r="C58" s="204" t="str">
        <f>IFERROR(VLOOKUP(Opv.kohd.[[#This Row],[Y-tunnus]],'0 Järjestäjätiedot'!$A:$H,COLUMN('0 Järjestäjätiedot'!D:D),FALSE),"")</f>
        <v/>
      </c>
      <c r="D58" s="204" t="str">
        <f>IFERROR(VLOOKUP(Opv.kohd.[[#This Row],[Y-tunnus]],'0 Järjestäjätiedot'!$A:$H,COLUMN('0 Järjestäjätiedot'!H:H),FALSE),"")</f>
        <v/>
      </c>
      <c r="E58" s="204">
        <f>IFERROR(VLOOKUP(Opv.kohd.[[#This Row],[Y-tunnus]],#REF!,COLUMN(#REF!),FALSE),0)</f>
        <v>0</v>
      </c>
      <c r="F58" s="204">
        <f>IFERROR(VLOOKUP(Opv.kohd.[[#This Row],[Y-tunnus]],#REF!,COLUMN(#REF!),FALSE),0)</f>
        <v>0</v>
      </c>
      <c r="G58" s="204">
        <f>IFERROR(VLOOKUP(Opv.kohd.[[#This Row],[Y-tunnus]],#REF!,COLUMN(#REF!),FALSE),0)</f>
        <v>0</v>
      </c>
      <c r="H58" s="204">
        <f>IFERROR(VLOOKUP(Opv.kohd.[[#This Row],[Y-tunnus]],#REF!,COLUMN(#REF!),FALSE),0)</f>
        <v>0</v>
      </c>
      <c r="I58" s="204">
        <f>IFERROR(VLOOKUP(Opv.kohd.[[#This Row],[Y-tunnus]],#REF!,COLUMN(#REF!),FALSE),0)</f>
        <v>0</v>
      </c>
      <c r="J58" s="204">
        <f>IFERROR(VLOOKUP(Opv.kohd.[[#This Row],[Y-tunnus]],#REF!,COLUMN(#REF!),FALSE),0)</f>
        <v>0</v>
      </c>
      <c r="K5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58" s="204">
        <f>Opv.kohd.[[#This Row],[Järjestämisluvan mukaiset 1]]+Opv.kohd.[[#This Row],[Yhteensä  1]]</f>
        <v>0</v>
      </c>
      <c r="M58" s="204">
        <f>IFERROR(VLOOKUP(Opv.kohd.[[#This Row],[Y-tunnus]],#REF!,COLUMN(#REF!),FALSE),0)</f>
        <v>0</v>
      </c>
      <c r="N58" s="204">
        <f>IFERROR(VLOOKUP(Opv.kohd.[[#This Row],[Y-tunnus]],#REF!,COLUMN(#REF!),FALSE),0)</f>
        <v>0</v>
      </c>
      <c r="O58" s="204">
        <f>IFERROR(VLOOKUP(Opv.kohd.[[#This Row],[Y-tunnus]],#REF!,COLUMN(#REF!),FALSE)+VLOOKUP(Opv.kohd.[[#This Row],[Y-tunnus]],#REF!,COLUMN(#REF!),FALSE),0)</f>
        <v>0</v>
      </c>
      <c r="P58" s="204">
        <f>Opv.kohd.[[#This Row],[Talousarvion perusteella kohdentamattomat]]+Opv.kohd.[[#This Row],[Talousarvion perusteella työvoimakoulutus 1]]+Opv.kohd.[[#This Row],[Lisätalousarvioiden perusteella]]</f>
        <v>0</v>
      </c>
      <c r="Q58" s="204">
        <f>IFERROR(VLOOKUP(Opv.kohd.[[#This Row],[Y-tunnus]],#REF!,COLUMN(#REF!),FALSE),0)</f>
        <v>0</v>
      </c>
      <c r="R58" s="210">
        <f>IFERROR(VLOOKUP(Opv.kohd.[[#This Row],[Y-tunnus]],#REF!,COLUMN(#REF!),FALSE)-(Opv.kohd.[[#This Row],[Kohdentamaton työvoima-koulutus 2]]+Opv.kohd.[[#This Row],[Maahan-muuttajien koulutus 2]]+Opv.kohd.[[#This Row],[Lisätalousarvioiden perusteella jaetut 2]]),0)</f>
        <v>0</v>
      </c>
      <c r="S58" s="210">
        <f>IFERROR(VLOOKUP(Opv.kohd.[[#This Row],[Y-tunnus]],#REF!,COLUMN(#REF!),FALSE)+VLOOKUP(Opv.kohd.[[#This Row],[Y-tunnus]],#REF!,COLUMN(#REF!),FALSE),0)</f>
        <v>0</v>
      </c>
      <c r="T58" s="210">
        <f>IFERROR(VLOOKUP(Opv.kohd.[[#This Row],[Y-tunnus]],#REF!,COLUMN(#REF!),FALSE)+VLOOKUP(Opv.kohd.[[#This Row],[Y-tunnus]],#REF!,COLUMN(#REF!),FALSE),0)</f>
        <v>0</v>
      </c>
      <c r="U5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58" s="210">
        <f>Opv.kohd.[[#This Row],[Kohdentamat-tomat 2]]+Opv.kohd.[[#This Row],[Kohdentamaton työvoima-koulutus 2]]+Opv.kohd.[[#This Row],[Maahan-muuttajien koulutus 2]]+Opv.kohd.[[#This Row],[Lisätalousarvioiden perusteella jaetut 2]]</f>
        <v>0</v>
      </c>
      <c r="W58" s="210">
        <f>Opv.kohd.[[#This Row],[Kohdentamat-tomat 2]]-(Opv.kohd.[[#This Row],[Järjestämisluvan mukaiset 1]]+Opv.kohd.[[#This Row],[Kohdentamat-tomat 1]]+Opv.kohd.[[#This Row],[Nuorisotyöt. väh. ja osaamistarp. vast., muu kuin työvoima-koulutus 1]]+Opv.kohd.[[#This Row],[Talousarvion perusteella kohdentamattomat]])</f>
        <v>0</v>
      </c>
      <c r="X58" s="210">
        <f>Opv.kohd.[[#This Row],[Kohdentamaton työvoima-koulutus 2]]-(Opv.kohd.[[#This Row],[Työvoima-koulutus 1]]+Opv.kohd.[[#This Row],[Nuorisotyöt. väh. ja osaamistarp. vast., työvoima-koulutus 1]]+Opv.kohd.[[#This Row],[Talousarvion perusteella työvoimakoulutus 1]])</f>
        <v>0</v>
      </c>
      <c r="Y58" s="210">
        <f>Opv.kohd.[[#This Row],[Maahan-muuttajien koulutus 2]]-Opv.kohd.[[#This Row],[Maahan-muuttajien koulutus 1]]</f>
        <v>0</v>
      </c>
      <c r="Z58" s="210">
        <f>Opv.kohd.[[#This Row],[Lisätalousarvioiden perusteella jaetut 2]]-Opv.kohd.[[#This Row],[Lisätalousarvioiden perusteella]]</f>
        <v>0</v>
      </c>
      <c r="AA58" s="210">
        <f>Opv.kohd.[[#This Row],[Toteutuneet opiskelijavuodet yhteensä 2]]-Opv.kohd.[[#This Row],[Vuoden 2018 tavoitteelliset opiskelijavuodet yhteensä 1]]</f>
        <v>0</v>
      </c>
      <c r="AB58" s="207">
        <f>IFERROR(VLOOKUP(Opv.kohd.[[#This Row],[Y-tunnus]],#REF!,3,FALSE),0)</f>
        <v>0</v>
      </c>
      <c r="AC58" s="207">
        <f>IFERROR(VLOOKUP(Opv.kohd.[[#This Row],[Y-tunnus]],#REF!,4,FALSE),0)</f>
        <v>0</v>
      </c>
      <c r="AD58" s="207">
        <f>IFERROR(VLOOKUP(Opv.kohd.[[#This Row],[Y-tunnus]],#REF!,5,FALSE),0)</f>
        <v>0</v>
      </c>
      <c r="AE58" s="207">
        <f>IFERROR(VLOOKUP(Opv.kohd.[[#This Row],[Y-tunnus]],#REF!,6,FALSE),0)</f>
        <v>0</v>
      </c>
      <c r="AF58" s="207">
        <f>IFERROR(VLOOKUP(Opv.kohd.[[#This Row],[Y-tunnus]],#REF!,7,FALSE),0)</f>
        <v>0</v>
      </c>
      <c r="AG58" s="207">
        <f>IFERROR(VLOOKUP(Opv.kohd.[[#This Row],[Y-tunnus]],#REF!,8,FALSE),0)</f>
        <v>0</v>
      </c>
      <c r="AH58" s="207">
        <f>IFERROR(VLOOKUP(Opv.kohd.[[#This Row],[Y-tunnus]],#REF!,9,FALSE),0)</f>
        <v>0</v>
      </c>
      <c r="AI58" s="207">
        <f>IFERROR(VLOOKUP(Opv.kohd.[[#This Row],[Y-tunnus]],#REF!,10,FALSE),0)</f>
        <v>0</v>
      </c>
      <c r="AJ58" s="204">
        <f>Opv.kohd.[[#This Row],[Järjestämisluvan mukaiset 4]]-Opv.kohd.[[#This Row],[Järjestämisluvan mukaiset 1]]</f>
        <v>0</v>
      </c>
      <c r="AK58" s="204">
        <f>Opv.kohd.[[#This Row],[Kohdentamat-tomat 4]]-Opv.kohd.[[#This Row],[Kohdentamat-tomat 1]]</f>
        <v>0</v>
      </c>
      <c r="AL58" s="204">
        <f>Opv.kohd.[[#This Row],[Työvoima-koulutus 4]]-Opv.kohd.[[#This Row],[Työvoima-koulutus 1]]</f>
        <v>0</v>
      </c>
      <c r="AM58" s="204">
        <f>Opv.kohd.[[#This Row],[Maahan-muuttajien koulutus 4]]-Opv.kohd.[[#This Row],[Maahan-muuttajien koulutus 1]]</f>
        <v>0</v>
      </c>
      <c r="AN58" s="204">
        <f>Opv.kohd.[[#This Row],[Nuorisotyöt. väh. ja osaamistarp. vast., muu kuin työvoima-koulutus 4]]-Opv.kohd.[[#This Row],[Nuorisotyöt. väh. ja osaamistarp. vast., muu kuin työvoima-koulutus 1]]</f>
        <v>0</v>
      </c>
      <c r="AO58" s="204">
        <f>Opv.kohd.[[#This Row],[Nuorisotyöt. väh. ja osaamistarp. vast., työvoima-koulutus 4]]-Opv.kohd.[[#This Row],[Nuorisotyöt. väh. ja osaamistarp. vast., työvoima-koulutus 1]]</f>
        <v>0</v>
      </c>
      <c r="AP58" s="204">
        <f>Opv.kohd.[[#This Row],[Yhteensä 4]]-Opv.kohd.[[#This Row],[Yhteensä  1]]</f>
        <v>0</v>
      </c>
      <c r="AQ58" s="204">
        <f>Opv.kohd.[[#This Row],[Ensikertaisella suoritepäätöksellä jaetut tavoitteelliset opiskelijavuodet yhteensä 4]]-Opv.kohd.[[#This Row],[Ensikertaisella suoritepäätöksellä jaetut tavoitteelliset opiskelijavuodet yhteensä 1]]</f>
        <v>0</v>
      </c>
      <c r="AR58" s="208">
        <f>IFERROR(Opv.kohd.[[#This Row],[Järjestämisluvan mukaiset 5]]/Opv.kohd.[[#This Row],[Järjestämisluvan mukaiset 4]],0)</f>
        <v>0</v>
      </c>
      <c r="AS58" s="208">
        <f>IFERROR(Opv.kohd.[[#This Row],[Kohdentamat-tomat 5]]/Opv.kohd.[[#This Row],[Kohdentamat-tomat 4]],0)</f>
        <v>0</v>
      </c>
      <c r="AT58" s="208">
        <f>IFERROR(Opv.kohd.[[#This Row],[Työvoima-koulutus 5]]/Opv.kohd.[[#This Row],[Työvoima-koulutus 4]],0)</f>
        <v>0</v>
      </c>
      <c r="AU58" s="208">
        <f>IFERROR(Opv.kohd.[[#This Row],[Maahan-muuttajien koulutus 5]]/Opv.kohd.[[#This Row],[Maahan-muuttajien koulutus 4]],0)</f>
        <v>0</v>
      </c>
      <c r="AV58" s="208">
        <f>IFERROR(Opv.kohd.[[#This Row],[Nuorisotyöt. väh. ja osaamistarp. vast., muu kuin työvoima-koulutus 5]]/Opv.kohd.[[#This Row],[Nuorisotyöt. väh. ja osaamistarp. vast., muu kuin työvoima-koulutus 4]],0)</f>
        <v>0</v>
      </c>
      <c r="AW58" s="208">
        <f>IFERROR(Opv.kohd.[[#This Row],[Nuorisotyöt. väh. ja osaamistarp. vast., työvoima-koulutus 5]]/Opv.kohd.[[#This Row],[Nuorisotyöt. väh. ja osaamistarp. vast., työvoima-koulutus 4]],0)</f>
        <v>0</v>
      </c>
      <c r="AX58" s="208">
        <f>IFERROR(Opv.kohd.[[#This Row],[Yhteensä 5]]/Opv.kohd.[[#This Row],[Yhteensä 4]],0)</f>
        <v>0</v>
      </c>
      <c r="AY58" s="208">
        <f>IFERROR(Opv.kohd.[[#This Row],[Ensikertaisella suoritepäätöksellä jaetut tavoitteelliset opiskelijavuodet yhteensä 5]]/Opv.kohd.[[#This Row],[Ensikertaisella suoritepäätöksellä jaetut tavoitteelliset opiskelijavuodet yhteensä 4]],0)</f>
        <v>0</v>
      </c>
      <c r="AZ58" s="207">
        <f>Opv.kohd.[[#This Row],[Yhteensä 7a]]-Opv.kohd.[[#This Row],[Työvoima-koulutus 7a]]</f>
        <v>0</v>
      </c>
      <c r="BA58" s="207">
        <f>IFERROR(VLOOKUP(Opv.kohd.[[#This Row],[Y-tunnus]],#REF!,COLUMN(#REF!),FALSE),0)</f>
        <v>0</v>
      </c>
      <c r="BB58" s="207">
        <f>IFERROR(VLOOKUP(Opv.kohd.[[#This Row],[Y-tunnus]],#REF!,COLUMN(#REF!),FALSE),0)</f>
        <v>0</v>
      </c>
      <c r="BC58" s="207">
        <f>Opv.kohd.[[#This Row],[Muu kuin työvoima-koulutus 7c]]-Opv.kohd.[[#This Row],[Muu kuin työvoima-koulutus 7a]]</f>
        <v>0</v>
      </c>
      <c r="BD58" s="207">
        <f>Opv.kohd.[[#This Row],[Työvoima-koulutus 7c]]-Opv.kohd.[[#This Row],[Työvoima-koulutus 7a]]</f>
        <v>0</v>
      </c>
      <c r="BE58" s="207">
        <f>Opv.kohd.[[#This Row],[Yhteensä 7c]]-Opv.kohd.[[#This Row],[Yhteensä 7a]]</f>
        <v>0</v>
      </c>
      <c r="BF58" s="207">
        <f>Opv.kohd.[[#This Row],[Yhteensä 7c]]-Opv.kohd.[[#This Row],[Työvoima-koulutus 7c]]</f>
        <v>0</v>
      </c>
      <c r="BG58" s="207">
        <f>IFERROR(VLOOKUP(Opv.kohd.[[#This Row],[Y-tunnus]],#REF!,COLUMN(#REF!),FALSE),0)</f>
        <v>0</v>
      </c>
      <c r="BH58" s="207">
        <f>IFERROR(VLOOKUP(Opv.kohd.[[#This Row],[Y-tunnus]],#REF!,COLUMN(#REF!),FALSE),0)</f>
        <v>0</v>
      </c>
      <c r="BI58" s="207">
        <f>IFERROR(VLOOKUP(Opv.kohd.[[#This Row],[Y-tunnus]],#REF!,COLUMN(#REF!),FALSE),0)</f>
        <v>0</v>
      </c>
      <c r="BJ58" s="207">
        <f>IFERROR(VLOOKUP(Opv.kohd.[[#This Row],[Y-tunnus]],#REF!,COLUMN(#REF!),FALSE),0)</f>
        <v>0</v>
      </c>
      <c r="BK58" s="207">
        <f>Opv.kohd.[[#This Row],[Muu kuin työvoima-koulutus 7d]]+Opv.kohd.[[#This Row],[Työvoima-koulutus 7d]]</f>
        <v>0</v>
      </c>
      <c r="BL58" s="207">
        <f>Opv.kohd.[[#This Row],[Muu kuin työvoima-koulutus 7c]]-Opv.kohd.[[#This Row],[Muu kuin työvoima-koulutus 7d]]</f>
        <v>0</v>
      </c>
      <c r="BM58" s="207">
        <f>Opv.kohd.[[#This Row],[Työvoima-koulutus 7c]]-Opv.kohd.[[#This Row],[Työvoima-koulutus 7d]]</f>
        <v>0</v>
      </c>
      <c r="BN58" s="207">
        <f>Opv.kohd.[[#This Row],[Yhteensä 7c]]-Opv.kohd.[[#This Row],[Yhteensä 7d]]</f>
        <v>0</v>
      </c>
      <c r="BO58" s="207">
        <f>Opv.kohd.[[#This Row],[Muu kuin työvoima-koulutus 7e]]-(Opv.kohd.[[#This Row],[Järjestämisluvan mukaiset 4]]+Opv.kohd.[[#This Row],[Kohdentamat-tomat 4]]+Opv.kohd.[[#This Row],[Maahan-muuttajien koulutus 4]]+Opv.kohd.[[#This Row],[Nuorisotyöt. väh. ja osaamistarp. vast., muu kuin työvoima-koulutus 4]])</f>
        <v>0</v>
      </c>
      <c r="BP58" s="207">
        <f>Opv.kohd.[[#This Row],[Työvoima-koulutus 7e]]-(Opv.kohd.[[#This Row],[Työvoima-koulutus 4]]+Opv.kohd.[[#This Row],[Nuorisotyöt. väh. ja osaamistarp. vast., työvoima-koulutus 4]])</f>
        <v>0</v>
      </c>
      <c r="BQ58" s="207">
        <f>Opv.kohd.[[#This Row],[Yhteensä 7e]]-Opv.kohd.[[#This Row],[Ensikertaisella suoritepäätöksellä jaetut tavoitteelliset opiskelijavuodet yhteensä 4]]</f>
        <v>0</v>
      </c>
      <c r="BR58" s="263">
        <v>5059</v>
      </c>
      <c r="BS58" s="263">
        <v>829</v>
      </c>
      <c r="BT58" s="263">
        <v>169</v>
      </c>
      <c r="BU58" s="263">
        <v>80</v>
      </c>
      <c r="BV58" s="263">
        <v>8</v>
      </c>
      <c r="BW58" s="263">
        <v>30</v>
      </c>
      <c r="BX58" s="263">
        <v>1116</v>
      </c>
      <c r="BY58" s="263">
        <v>6175</v>
      </c>
      <c r="BZ58" s="207">
        <f t="shared" si="2"/>
        <v>5059</v>
      </c>
      <c r="CA58" s="207">
        <f t="shared" si="3"/>
        <v>829</v>
      </c>
      <c r="CB58" s="207">
        <f t="shared" si="4"/>
        <v>169</v>
      </c>
      <c r="CC58" s="207">
        <f t="shared" si="5"/>
        <v>80</v>
      </c>
      <c r="CD58" s="207">
        <f t="shared" si="6"/>
        <v>8</v>
      </c>
      <c r="CE58" s="207">
        <f t="shared" si="7"/>
        <v>30</v>
      </c>
      <c r="CF58" s="207">
        <f t="shared" si="8"/>
        <v>1116</v>
      </c>
      <c r="CG58" s="207">
        <f t="shared" si="9"/>
        <v>6175</v>
      </c>
      <c r="CH58" s="207">
        <f>Opv.kohd.[[#This Row],[Tavoitteelliset opiskelijavuodet yhteensä 9]]-Opv.kohd.[[#This Row],[Työvoima-koulutus 9]]-Opv.kohd.[[#This Row],[Nuorisotyöt. väh. ja osaamistarp. vast., työvoima-koulutus 9]]-Opv.kohd.[[#This Row],[Muu kuin työvoima-koulutus 7e]]</f>
        <v>5976</v>
      </c>
      <c r="CI58" s="207">
        <f>(Opv.kohd.[[#This Row],[Työvoima-koulutus 9]]+Opv.kohd.[[#This Row],[Nuorisotyöt. väh. ja osaamistarp. vast., työvoima-koulutus 9]])-Opv.kohd.[[#This Row],[Työvoima-koulutus 7e]]</f>
        <v>199</v>
      </c>
      <c r="CJ58" s="207">
        <f>Opv.kohd.[[#This Row],[Tavoitteelliset opiskelijavuodet yhteensä 9]]-Opv.kohd.[[#This Row],[Yhteensä 7e]]</f>
        <v>6175</v>
      </c>
      <c r="CK58" s="207">
        <f>Opv.kohd.[[#This Row],[Järjestämisluvan mukaiset 4]]+Opv.kohd.[[#This Row],[Järjestämisluvan mukaiset 13]]</f>
        <v>0</v>
      </c>
      <c r="CL58" s="207">
        <f>Opv.kohd.[[#This Row],[Kohdentamat-tomat 4]]+Opv.kohd.[[#This Row],[Kohdentamat-tomat 13]]</f>
        <v>0</v>
      </c>
      <c r="CM58" s="207">
        <f>Opv.kohd.[[#This Row],[Työvoima-koulutus 4]]+Opv.kohd.[[#This Row],[Työvoima-koulutus 13]]</f>
        <v>0</v>
      </c>
      <c r="CN58" s="207">
        <f>Opv.kohd.[[#This Row],[Maahan-muuttajien koulutus 4]]+Opv.kohd.[[#This Row],[Maahan-muuttajien koulutus 13]]</f>
        <v>0</v>
      </c>
      <c r="CO58" s="207">
        <f>Opv.kohd.[[#This Row],[Nuorisotyöt. väh. ja osaamistarp. vast., muu kuin työvoima-koulutus 4]]+Opv.kohd.[[#This Row],[Nuorisotyöt. väh. ja osaamistarp. vast., muu kuin työvoima-koulutus 13]]</f>
        <v>0</v>
      </c>
      <c r="CP58" s="207">
        <f>Opv.kohd.[[#This Row],[Nuorisotyöt. väh. ja osaamistarp. vast., työvoima-koulutus 4]]+Opv.kohd.[[#This Row],[Nuorisotyöt. väh. ja osaamistarp. vast., työvoima-koulutus 13]]</f>
        <v>0</v>
      </c>
      <c r="CQ58" s="207">
        <f>Opv.kohd.[[#This Row],[Yhteensä 4]]+Opv.kohd.[[#This Row],[Yhteensä 13]]</f>
        <v>0</v>
      </c>
      <c r="CR58" s="207">
        <f>Opv.kohd.[[#This Row],[Ensikertaisella suoritepäätöksellä jaetut tavoitteelliset opiskelijavuodet yhteensä 4]]+Opv.kohd.[[#This Row],[Tavoitteelliset opiskelijavuodet yhteensä 13]]</f>
        <v>0</v>
      </c>
      <c r="CS58" s="120">
        <v>0</v>
      </c>
      <c r="CT58" s="120">
        <v>0</v>
      </c>
      <c r="CU58" s="120">
        <v>0</v>
      </c>
      <c r="CV58" s="120">
        <v>0</v>
      </c>
      <c r="CW58" s="120">
        <v>0</v>
      </c>
      <c r="CX58" s="120">
        <v>0</v>
      </c>
      <c r="CY58" s="120">
        <v>0</v>
      </c>
      <c r="CZ58" s="120">
        <v>0</v>
      </c>
      <c r="DA58" s="209">
        <f>IFERROR(Opv.kohd.[[#This Row],[Järjestämisluvan mukaiset 13]]/Opv.kohd.[[#This Row],[Järjestämisluvan mukaiset 12]],0)</f>
        <v>0</v>
      </c>
      <c r="DB58" s="209">
        <f>IFERROR(Opv.kohd.[[#This Row],[Kohdentamat-tomat 13]]/Opv.kohd.[[#This Row],[Kohdentamat-tomat 12]],0)</f>
        <v>0</v>
      </c>
      <c r="DC58" s="209">
        <f>IFERROR(Opv.kohd.[[#This Row],[Työvoima-koulutus 13]]/Opv.kohd.[[#This Row],[Työvoima-koulutus 12]],0)</f>
        <v>0</v>
      </c>
      <c r="DD58" s="209">
        <f>IFERROR(Opv.kohd.[[#This Row],[Maahan-muuttajien koulutus 13]]/Opv.kohd.[[#This Row],[Maahan-muuttajien koulutus 12]],0)</f>
        <v>0</v>
      </c>
      <c r="DE58" s="209">
        <f>IFERROR(Opv.kohd.[[#This Row],[Nuorisotyöt. väh. ja osaamistarp. vast., muu kuin työvoima-koulutus 13]]/Opv.kohd.[[#This Row],[Nuorisotyöt. väh. ja osaamistarp. vast., muu kuin työvoima-koulutus 12]],0)</f>
        <v>0</v>
      </c>
      <c r="DF58" s="209">
        <f>IFERROR(Opv.kohd.[[#This Row],[Nuorisotyöt. väh. ja osaamistarp. vast., työvoima-koulutus 13]]/Opv.kohd.[[#This Row],[Nuorisotyöt. väh. ja osaamistarp. vast., työvoima-koulutus 12]],0)</f>
        <v>0</v>
      </c>
      <c r="DG58" s="209">
        <f>IFERROR(Opv.kohd.[[#This Row],[Yhteensä 13]]/Opv.kohd.[[#This Row],[Yhteensä 12]],0)</f>
        <v>0</v>
      </c>
      <c r="DH58" s="209">
        <f>IFERROR(Opv.kohd.[[#This Row],[Tavoitteelliset opiskelijavuodet yhteensä 13]]/Opv.kohd.[[#This Row],[Tavoitteelliset opiskelijavuodet yhteensä 12]],0)</f>
        <v>0</v>
      </c>
      <c r="DI58" s="207">
        <f>Opv.kohd.[[#This Row],[Järjestämisluvan mukaiset 12]]-Opv.kohd.[[#This Row],[Järjestämisluvan mukaiset 9]]</f>
        <v>-5059</v>
      </c>
      <c r="DJ58" s="207">
        <f>Opv.kohd.[[#This Row],[Kohdentamat-tomat 12]]-Opv.kohd.[[#This Row],[Kohdentamat-tomat 9]]</f>
        <v>-829</v>
      </c>
      <c r="DK58" s="207">
        <f>Opv.kohd.[[#This Row],[Työvoima-koulutus 12]]-Opv.kohd.[[#This Row],[Työvoima-koulutus 9]]</f>
        <v>-169</v>
      </c>
      <c r="DL58" s="207">
        <f>Opv.kohd.[[#This Row],[Maahan-muuttajien koulutus 12]]-Opv.kohd.[[#This Row],[Maahan-muuttajien koulutus 9]]</f>
        <v>-80</v>
      </c>
      <c r="DM58" s="207">
        <f>Opv.kohd.[[#This Row],[Nuorisotyöt. väh. ja osaamistarp. vast., muu kuin työvoima-koulutus 12]]-Opv.kohd.[[#This Row],[Nuorisotyöt. väh. ja osaamistarp. vast., muu kuin työvoima-koulutus 9]]</f>
        <v>-8</v>
      </c>
      <c r="DN58" s="207">
        <f>Opv.kohd.[[#This Row],[Nuorisotyöt. väh. ja osaamistarp. vast., työvoima-koulutus 12]]-Opv.kohd.[[#This Row],[Nuorisotyöt. väh. ja osaamistarp. vast., työvoima-koulutus 9]]</f>
        <v>-30</v>
      </c>
      <c r="DO58" s="207">
        <f>Opv.kohd.[[#This Row],[Yhteensä 12]]-Opv.kohd.[[#This Row],[Yhteensä 9]]</f>
        <v>-1116</v>
      </c>
      <c r="DP58" s="207">
        <f>Opv.kohd.[[#This Row],[Tavoitteelliset opiskelijavuodet yhteensä 12]]-Opv.kohd.[[#This Row],[Tavoitteelliset opiskelijavuodet yhteensä 9]]</f>
        <v>-6175</v>
      </c>
      <c r="DQ58" s="209">
        <f>IFERROR(Opv.kohd.[[#This Row],[Järjestämisluvan mukaiset 15]]/Opv.kohd.[[#This Row],[Järjestämisluvan mukaiset 9]],0)</f>
        <v>-1</v>
      </c>
      <c r="DR58" s="209">
        <f t="shared" si="10"/>
        <v>0</v>
      </c>
      <c r="DS58" s="209">
        <f t="shared" si="11"/>
        <v>0</v>
      </c>
      <c r="DT58" s="209">
        <f t="shared" si="12"/>
        <v>0</v>
      </c>
      <c r="DU58" s="209">
        <f t="shared" si="13"/>
        <v>0</v>
      </c>
      <c r="DV58" s="209">
        <f t="shared" si="14"/>
        <v>0</v>
      </c>
      <c r="DW58" s="209">
        <f t="shared" si="15"/>
        <v>0</v>
      </c>
      <c r="DX58" s="209">
        <f t="shared" si="16"/>
        <v>0</v>
      </c>
    </row>
    <row r="59" spans="1:128" x14ac:dyDescent="0.25">
      <c r="A59" s="204" t="e">
        <f>IF(INDEX(#REF!,ROW(59:59)-1,1)=0,"",INDEX(#REF!,ROW(59:59)-1,1))</f>
        <v>#REF!</v>
      </c>
      <c r="B59" s="205" t="str">
        <f>IFERROR(VLOOKUP(Opv.kohd.[[#This Row],[Y-tunnus]],'0 Järjestäjätiedot'!$A:$H,2,FALSE),"")</f>
        <v/>
      </c>
      <c r="C59" s="204" t="str">
        <f>IFERROR(VLOOKUP(Opv.kohd.[[#This Row],[Y-tunnus]],'0 Järjestäjätiedot'!$A:$H,COLUMN('0 Järjestäjätiedot'!D:D),FALSE),"")</f>
        <v/>
      </c>
      <c r="D59" s="204" t="str">
        <f>IFERROR(VLOOKUP(Opv.kohd.[[#This Row],[Y-tunnus]],'0 Järjestäjätiedot'!$A:$H,COLUMN('0 Järjestäjätiedot'!H:H),FALSE),"")</f>
        <v/>
      </c>
      <c r="E59" s="204">
        <f>IFERROR(VLOOKUP(Opv.kohd.[[#This Row],[Y-tunnus]],#REF!,COLUMN(#REF!),FALSE),0)</f>
        <v>0</v>
      </c>
      <c r="F59" s="204">
        <f>IFERROR(VLOOKUP(Opv.kohd.[[#This Row],[Y-tunnus]],#REF!,COLUMN(#REF!),FALSE),0)</f>
        <v>0</v>
      </c>
      <c r="G59" s="204">
        <f>IFERROR(VLOOKUP(Opv.kohd.[[#This Row],[Y-tunnus]],#REF!,COLUMN(#REF!),FALSE),0)</f>
        <v>0</v>
      </c>
      <c r="H59" s="204">
        <f>IFERROR(VLOOKUP(Opv.kohd.[[#This Row],[Y-tunnus]],#REF!,COLUMN(#REF!),FALSE),0)</f>
        <v>0</v>
      </c>
      <c r="I59" s="204">
        <f>IFERROR(VLOOKUP(Opv.kohd.[[#This Row],[Y-tunnus]],#REF!,COLUMN(#REF!),FALSE),0)</f>
        <v>0</v>
      </c>
      <c r="J59" s="204">
        <f>IFERROR(VLOOKUP(Opv.kohd.[[#This Row],[Y-tunnus]],#REF!,COLUMN(#REF!),FALSE),0)</f>
        <v>0</v>
      </c>
      <c r="K5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59" s="204">
        <f>Opv.kohd.[[#This Row],[Järjestämisluvan mukaiset 1]]+Opv.kohd.[[#This Row],[Yhteensä  1]]</f>
        <v>0</v>
      </c>
      <c r="M59" s="204">
        <f>IFERROR(VLOOKUP(Opv.kohd.[[#This Row],[Y-tunnus]],#REF!,COLUMN(#REF!),FALSE),0)</f>
        <v>0</v>
      </c>
      <c r="N59" s="204">
        <f>IFERROR(VLOOKUP(Opv.kohd.[[#This Row],[Y-tunnus]],#REF!,COLUMN(#REF!),FALSE),0)</f>
        <v>0</v>
      </c>
      <c r="O59" s="204">
        <f>IFERROR(VLOOKUP(Opv.kohd.[[#This Row],[Y-tunnus]],#REF!,COLUMN(#REF!),FALSE)+VLOOKUP(Opv.kohd.[[#This Row],[Y-tunnus]],#REF!,COLUMN(#REF!),FALSE),0)</f>
        <v>0</v>
      </c>
      <c r="P59" s="204">
        <f>Opv.kohd.[[#This Row],[Talousarvion perusteella kohdentamattomat]]+Opv.kohd.[[#This Row],[Talousarvion perusteella työvoimakoulutus 1]]+Opv.kohd.[[#This Row],[Lisätalousarvioiden perusteella]]</f>
        <v>0</v>
      </c>
      <c r="Q59" s="204">
        <f>IFERROR(VLOOKUP(Opv.kohd.[[#This Row],[Y-tunnus]],#REF!,COLUMN(#REF!),FALSE),0)</f>
        <v>0</v>
      </c>
      <c r="R59" s="210">
        <f>IFERROR(VLOOKUP(Opv.kohd.[[#This Row],[Y-tunnus]],#REF!,COLUMN(#REF!),FALSE)-(Opv.kohd.[[#This Row],[Kohdentamaton työvoima-koulutus 2]]+Opv.kohd.[[#This Row],[Maahan-muuttajien koulutus 2]]+Opv.kohd.[[#This Row],[Lisätalousarvioiden perusteella jaetut 2]]),0)</f>
        <v>0</v>
      </c>
      <c r="S59" s="210">
        <f>IFERROR(VLOOKUP(Opv.kohd.[[#This Row],[Y-tunnus]],#REF!,COLUMN(#REF!),FALSE)+VLOOKUP(Opv.kohd.[[#This Row],[Y-tunnus]],#REF!,COLUMN(#REF!),FALSE),0)</f>
        <v>0</v>
      </c>
      <c r="T59" s="210">
        <f>IFERROR(VLOOKUP(Opv.kohd.[[#This Row],[Y-tunnus]],#REF!,COLUMN(#REF!),FALSE)+VLOOKUP(Opv.kohd.[[#This Row],[Y-tunnus]],#REF!,COLUMN(#REF!),FALSE),0)</f>
        <v>0</v>
      </c>
      <c r="U5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59" s="210">
        <f>Opv.kohd.[[#This Row],[Kohdentamat-tomat 2]]+Opv.kohd.[[#This Row],[Kohdentamaton työvoima-koulutus 2]]+Opv.kohd.[[#This Row],[Maahan-muuttajien koulutus 2]]+Opv.kohd.[[#This Row],[Lisätalousarvioiden perusteella jaetut 2]]</f>
        <v>0</v>
      </c>
      <c r="W59" s="210">
        <f>Opv.kohd.[[#This Row],[Kohdentamat-tomat 2]]-(Opv.kohd.[[#This Row],[Järjestämisluvan mukaiset 1]]+Opv.kohd.[[#This Row],[Kohdentamat-tomat 1]]+Opv.kohd.[[#This Row],[Nuorisotyöt. väh. ja osaamistarp. vast., muu kuin työvoima-koulutus 1]]+Opv.kohd.[[#This Row],[Talousarvion perusteella kohdentamattomat]])</f>
        <v>0</v>
      </c>
      <c r="X59" s="210">
        <f>Opv.kohd.[[#This Row],[Kohdentamaton työvoima-koulutus 2]]-(Opv.kohd.[[#This Row],[Työvoima-koulutus 1]]+Opv.kohd.[[#This Row],[Nuorisotyöt. väh. ja osaamistarp. vast., työvoima-koulutus 1]]+Opv.kohd.[[#This Row],[Talousarvion perusteella työvoimakoulutus 1]])</f>
        <v>0</v>
      </c>
      <c r="Y59" s="210">
        <f>Opv.kohd.[[#This Row],[Maahan-muuttajien koulutus 2]]-Opv.kohd.[[#This Row],[Maahan-muuttajien koulutus 1]]</f>
        <v>0</v>
      </c>
      <c r="Z59" s="210">
        <f>Opv.kohd.[[#This Row],[Lisätalousarvioiden perusteella jaetut 2]]-Opv.kohd.[[#This Row],[Lisätalousarvioiden perusteella]]</f>
        <v>0</v>
      </c>
      <c r="AA59" s="210">
        <f>Opv.kohd.[[#This Row],[Toteutuneet opiskelijavuodet yhteensä 2]]-Opv.kohd.[[#This Row],[Vuoden 2018 tavoitteelliset opiskelijavuodet yhteensä 1]]</f>
        <v>0</v>
      </c>
      <c r="AB59" s="207">
        <f>IFERROR(VLOOKUP(Opv.kohd.[[#This Row],[Y-tunnus]],#REF!,3,FALSE),0)</f>
        <v>0</v>
      </c>
      <c r="AC59" s="207">
        <f>IFERROR(VLOOKUP(Opv.kohd.[[#This Row],[Y-tunnus]],#REF!,4,FALSE),0)</f>
        <v>0</v>
      </c>
      <c r="AD59" s="207">
        <f>IFERROR(VLOOKUP(Opv.kohd.[[#This Row],[Y-tunnus]],#REF!,5,FALSE),0)</f>
        <v>0</v>
      </c>
      <c r="AE59" s="207">
        <f>IFERROR(VLOOKUP(Opv.kohd.[[#This Row],[Y-tunnus]],#REF!,6,FALSE),0)</f>
        <v>0</v>
      </c>
      <c r="AF59" s="207">
        <f>IFERROR(VLOOKUP(Opv.kohd.[[#This Row],[Y-tunnus]],#REF!,7,FALSE),0)</f>
        <v>0</v>
      </c>
      <c r="AG59" s="207">
        <f>IFERROR(VLOOKUP(Opv.kohd.[[#This Row],[Y-tunnus]],#REF!,8,FALSE),0)</f>
        <v>0</v>
      </c>
      <c r="AH59" s="207">
        <f>IFERROR(VLOOKUP(Opv.kohd.[[#This Row],[Y-tunnus]],#REF!,9,FALSE),0)</f>
        <v>0</v>
      </c>
      <c r="AI59" s="207">
        <f>IFERROR(VLOOKUP(Opv.kohd.[[#This Row],[Y-tunnus]],#REF!,10,FALSE),0)</f>
        <v>0</v>
      </c>
      <c r="AJ59" s="204">
        <f>Opv.kohd.[[#This Row],[Järjestämisluvan mukaiset 4]]-Opv.kohd.[[#This Row],[Järjestämisluvan mukaiset 1]]</f>
        <v>0</v>
      </c>
      <c r="AK59" s="204">
        <f>Opv.kohd.[[#This Row],[Kohdentamat-tomat 4]]-Opv.kohd.[[#This Row],[Kohdentamat-tomat 1]]</f>
        <v>0</v>
      </c>
      <c r="AL59" s="204">
        <f>Opv.kohd.[[#This Row],[Työvoima-koulutus 4]]-Opv.kohd.[[#This Row],[Työvoima-koulutus 1]]</f>
        <v>0</v>
      </c>
      <c r="AM59" s="204">
        <f>Opv.kohd.[[#This Row],[Maahan-muuttajien koulutus 4]]-Opv.kohd.[[#This Row],[Maahan-muuttajien koulutus 1]]</f>
        <v>0</v>
      </c>
      <c r="AN59" s="204">
        <f>Opv.kohd.[[#This Row],[Nuorisotyöt. väh. ja osaamistarp. vast., muu kuin työvoima-koulutus 4]]-Opv.kohd.[[#This Row],[Nuorisotyöt. väh. ja osaamistarp. vast., muu kuin työvoima-koulutus 1]]</f>
        <v>0</v>
      </c>
      <c r="AO59" s="204">
        <f>Opv.kohd.[[#This Row],[Nuorisotyöt. väh. ja osaamistarp. vast., työvoima-koulutus 4]]-Opv.kohd.[[#This Row],[Nuorisotyöt. väh. ja osaamistarp. vast., työvoima-koulutus 1]]</f>
        <v>0</v>
      </c>
      <c r="AP59" s="204">
        <f>Opv.kohd.[[#This Row],[Yhteensä 4]]-Opv.kohd.[[#This Row],[Yhteensä  1]]</f>
        <v>0</v>
      </c>
      <c r="AQ59" s="204">
        <f>Opv.kohd.[[#This Row],[Ensikertaisella suoritepäätöksellä jaetut tavoitteelliset opiskelijavuodet yhteensä 4]]-Opv.kohd.[[#This Row],[Ensikertaisella suoritepäätöksellä jaetut tavoitteelliset opiskelijavuodet yhteensä 1]]</f>
        <v>0</v>
      </c>
      <c r="AR59" s="208">
        <f>IFERROR(Opv.kohd.[[#This Row],[Järjestämisluvan mukaiset 5]]/Opv.kohd.[[#This Row],[Järjestämisluvan mukaiset 4]],0)</f>
        <v>0</v>
      </c>
      <c r="AS59" s="208">
        <f>IFERROR(Opv.kohd.[[#This Row],[Kohdentamat-tomat 5]]/Opv.kohd.[[#This Row],[Kohdentamat-tomat 4]],0)</f>
        <v>0</v>
      </c>
      <c r="AT59" s="208">
        <f>IFERROR(Opv.kohd.[[#This Row],[Työvoima-koulutus 5]]/Opv.kohd.[[#This Row],[Työvoima-koulutus 4]],0)</f>
        <v>0</v>
      </c>
      <c r="AU59" s="208">
        <f>IFERROR(Opv.kohd.[[#This Row],[Maahan-muuttajien koulutus 5]]/Opv.kohd.[[#This Row],[Maahan-muuttajien koulutus 4]],0)</f>
        <v>0</v>
      </c>
      <c r="AV59" s="208">
        <f>IFERROR(Opv.kohd.[[#This Row],[Nuorisotyöt. väh. ja osaamistarp. vast., muu kuin työvoima-koulutus 5]]/Opv.kohd.[[#This Row],[Nuorisotyöt. väh. ja osaamistarp. vast., muu kuin työvoima-koulutus 4]],0)</f>
        <v>0</v>
      </c>
      <c r="AW59" s="208">
        <f>IFERROR(Opv.kohd.[[#This Row],[Nuorisotyöt. väh. ja osaamistarp. vast., työvoima-koulutus 5]]/Opv.kohd.[[#This Row],[Nuorisotyöt. väh. ja osaamistarp. vast., työvoima-koulutus 4]],0)</f>
        <v>0</v>
      </c>
      <c r="AX59" s="208">
        <f>IFERROR(Opv.kohd.[[#This Row],[Yhteensä 5]]/Opv.kohd.[[#This Row],[Yhteensä 4]],0)</f>
        <v>0</v>
      </c>
      <c r="AY59" s="208">
        <f>IFERROR(Opv.kohd.[[#This Row],[Ensikertaisella suoritepäätöksellä jaetut tavoitteelliset opiskelijavuodet yhteensä 5]]/Opv.kohd.[[#This Row],[Ensikertaisella suoritepäätöksellä jaetut tavoitteelliset opiskelijavuodet yhteensä 4]],0)</f>
        <v>0</v>
      </c>
      <c r="AZ59" s="207">
        <f>Opv.kohd.[[#This Row],[Yhteensä 7a]]-Opv.kohd.[[#This Row],[Työvoima-koulutus 7a]]</f>
        <v>0</v>
      </c>
      <c r="BA59" s="207">
        <f>IFERROR(VLOOKUP(Opv.kohd.[[#This Row],[Y-tunnus]],#REF!,COLUMN(#REF!),FALSE),0)</f>
        <v>0</v>
      </c>
      <c r="BB59" s="207">
        <f>IFERROR(VLOOKUP(Opv.kohd.[[#This Row],[Y-tunnus]],#REF!,COLUMN(#REF!),FALSE),0)</f>
        <v>0</v>
      </c>
      <c r="BC59" s="207">
        <f>Opv.kohd.[[#This Row],[Muu kuin työvoima-koulutus 7c]]-Opv.kohd.[[#This Row],[Muu kuin työvoima-koulutus 7a]]</f>
        <v>0</v>
      </c>
      <c r="BD59" s="207">
        <f>Opv.kohd.[[#This Row],[Työvoima-koulutus 7c]]-Opv.kohd.[[#This Row],[Työvoima-koulutus 7a]]</f>
        <v>0</v>
      </c>
      <c r="BE59" s="207">
        <f>Opv.kohd.[[#This Row],[Yhteensä 7c]]-Opv.kohd.[[#This Row],[Yhteensä 7a]]</f>
        <v>0</v>
      </c>
      <c r="BF59" s="207">
        <f>Opv.kohd.[[#This Row],[Yhteensä 7c]]-Opv.kohd.[[#This Row],[Työvoima-koulutus 7c]]</f>
        <v>0</v>
      </c>
      <c r="BG59" s="207">
        <f>IFERROR(VLOOKUP(Opv.kohd.[[#This Row],[Y-tunnus]],#REF!,COLUMN(#REF!),FALSE),0)</f>
        <v>0</v>
      </c>
      <c r="BH59" s="207">
        <f>IFERROR(VLOOKUP(Opv.kohd.[[#This Row],[Y-tunnus]],#REF!,COLUMN(#REF!),FALSE),0)</f>
        <v>0</v>
      </c>
      <c r="BI59" s="207">
        <f>IFERROR(VLOOKUP(Opv.kohd.[[#This Row],[Y-tunnus]],#REF!,COLUMN(#REF!),FALSE),0)</f>
        <v>0</v>
      </c>
      <c r="BJ59" s="207">
        <f>IFERROR(VLOOKUP(Opv.kohd.[[#This Row],[Y-tunnus]],#REF!,COLUMN(#REF!),FALSE),0)</f>
        <v>0</v>
      </c>
      <c r="BK59" s="207">
        <f>Opv.kohd.[[#This Row],[Muu kuin työvoima-koulutus 7d]]+Opv.kohd.[[#This Row],[Työvoima-koulutus 7d]]</f>
        <v>0</v>
      </c>
      <c r="BL59" s="207">
        <f>Opv.kohd.[[#This Row],[Muu kuin työvoima-koulutus 7c]]-Opv.kohd.[[#This Row],[Muu kuin työvoima-koulutus 7d]]</f>
        <v>0</v>
      </c>
      <c r="BM59" s="207">
        <f>Opv.kohd.[[#This Row],[Työvoima-koulutus 7c]]-Opv.kohd.[[#This Row],[Työvoima-koulutus 7d]]</f>
        <v>0</v>
      </c>
      <c r="BN59" s="207">
        <f>Opv.kohd.[[#This Row],[Yhteensä 7c]]-Opv.kohd.[[#This Row],[Yhteensä 7d]]</f>
        <v>0</v>
      </c>
      <c r="BO59" s="207">
        <f>Opv.kohd.[[#This Row],[Muu kuin työvoima-koulutus 7e]]-(Opv.kohd.[[#This Row],[Järjestämisluvan mukaiset 4]]+Opv.kohd.[[#This Row],[Kohdentamat-tomat 4]]+Opv.kohd.[[#This Row],[Maahan-muuttajien koulutus 4]]+Opv.kohd.[[#This Row],[Nuorisotyöt. väh. ja osaamistarp. vast., muu kuin työvoima-koulutus 4]])</f>
        <v>0</v>
      </c>
      <c r="BP59" s="207">
        <f>Opv.kohd.[[#This Row],[Työvoima-koulutus 7e]]-(Opv.kohd.[[#This Row],[Työvoima-koulutus 4]]+Opv.kohd.[[#This Row],[Nuorisotyöt. väh. ja osaamistarp. vast., työvoima-koulutus 4]])</f>
        <v>0</v>
      </c>
      <c r="BQ59" s="207">
        <f>Opv.kohd.[[#This Row],[Yhteensä 7e]]-Opv.kohd.[[#This Row],[Ensikertaisella suoritepäätöksellä jaetut tavoitteelliset opiskelijavuodet yhteensä 4]]</f>
        <v>0</v>
      </c>
      <c r="BR59" s="263">
        <v>332</v>
      </c>
      <c r="BS59" s="263">
        <v>23</v>
      </c>
      <c r="BT59" s="263">
        <v>0</v>
      </c>
      <c r="BU59" s="263">
        <v>0</v>
      </c>
      <c r="BV59" s="263">
        <v>0</v>
      </c>
      <c r="BW59" s="263">
        <v>0</v>
      </c>
      <c r="BX59" s="263">
        <v>23</v>
      </c>
      <c r="BY59" s="263">
        <v>355</v>
      </c>
      <c r="BZ59" s="207">
        <f t="shared" si="2"/>
        <v>332</v>
      </c>
      <c r="CA59" s="207">
        <f t="shared" si="3"/>
        <v>23</v>
      </c>
      <c r="CB59" s="207">
        <f t="shared" si="4"/>
        <v>0</v>
      </c>
      <c r="CC59" s="207">
        <f t="shared" si="5"/>
        <v>0</v>
      </c>
      <c r="CD59" s="207">
        <f t="shared" si="6"/>
        <v>0</v>
      </c>
      <c r="CE59" s="207">
        <f t="shared" si="7"/>
        <v>0</v>
      </c>
      <c r="CF59" s="207">
        <f t="shared" si="8"/>
        <v>23</v>
      </c>
      <c r="CG59" s="207">
        <f t="shared" si="9"/>
        <v>355</v>
      </c>
      <c r="CH59" s="207">
        <f>Opv.kohd.[[#This Row],[Tavoitteelliset opiskelijavuodet yhteensä 9]]-Opv.kohd.[[#This Row],[Työvoima-koulutus 9]]-Opv.kohd.[[#This Row],[Nuorisotyöt. väh. ja osaamistarp. vast., työvoima-koulutus 9]]-Opv.kohd.[[#This Row],[Muu kuin työvoima-koulutus 7e]]</f>
        <v>355</v>
      </c>
      <c r="CI59" s="207">
        <f>(Opv.kohd.[[#This Row],[Työvoima-koulutus 9]]+Opv.kohd.[[#This Row],[Nuorisotyöt. väh. ja osaamistarp. vast., työvoima-koulutus 9]])-Opv.kohd.[[#This Row],[Työvoima-koulutus 7e]]</f>
        <v>0</v>
      </c>
      <c r="CJ59" s="207">
        <f>Opv.kohd.[[#This Row],[Tavoitteelliset opiskelijavuodet yhteensä 9]]-Opv.kohd.[[#This Row],[Yhteensä 7e]]</f>
        <v>355</v>
      </c>
      <c r="CK59" s="207">
        <f>Opv.kohd.[[#This Row],[Järjestämisluvan mukaiset 4]]+Opv.kohd.[[#This Row],[Järjestämisluvan mukaiset 13]]</f>
        <v>0</v>
      </c>
      <c r="CL59" s="207">
        <f>Opv.kohd.[[#This Row],[Kohdentamat-tomat 4]]+Opv.kohd.[[#This Row],[Kohdentamat-tomat 13]]</f>
        <v>0</v>
      </c>
      <c r="CM59" s="207">
        <f>Opv.kohd.[[#This Row],[Työvoima-koulutus 4]]+Opv.kohd.[[#This Row],[Työvoima-koulutus 13]]</f>
        <v>0</v>
      </c>
      <c r="CN59" s="207">
        <f>Opv.kohd.[[#This Row],[Maahan-muuttajien koulutus 4]]+Opv.kohd.[[#This Row],[Maahan-muuttajien koulutus 13]]</f>
        <v>0</v>
      </c>
      <c r="CO59" s="207">
        <f>Opv.kohd.[[#This Row],[Nuorisotyöt. väh. ja osaamistarp. vast., muu kuin työvoima-koulutus 4]]+Opv.kohd.[[#This Row],[Nuorisotyöt. väh. ja osaamistarp. vast., muu kuin työvoima-koulutus 13]]</f>
        <v>0</v>
      </c>
      <c r="CP59" s="207">
        <f>Opv.kohd.[[#This Row],[Nuorisotyöt. väh. ja osaamistarp. vast., työvoima-koulutus 4]]+Opv.kohd.[[#This Row],[Nuorisotyöt. väh. ja osaamistarp. vast., työvoima-koulutus 13]]</f>
        <v>0</v>
      </c>
      <c r="CQ59" s="207">
        <f>Opv.kohd.[[#This Row],[Yhteensä 4]]+Opv.kohd.[[#This Row],[Yhteensä 13]]</f>
        <v>0</v>
      </c>
      <c r="CR59" s="207">
        <f>Opv.kohd.[[#This Row],[Ensikertaisella suoritepäätöksellä jaetut tavoitteelliset opiskelijavuodet yhteensä 4]]+Opv.kohd.[[#This Row],[Tavoitteelliset opiskelijavuodet yhteensä 13]]</f>
        <v>0</v>
      </c>
      <c r="CS59" s="120">
        <v>0</v>
      </c>
      <c r="CT59" s="120">
        <v>0</v>
      </c>
      <c r="CU59" s="120">
        <v>0</v>
      </c>
      <c r="CV59" s="120">
        <v>0</v>
      </c>
      <c r="CW59" s="120">
        <v>0</v>
      </c>
      <c r="CX59" s="120">
        <v>0</v>
      </c>
      <c r="CY59" s="120">
        <v>0</v>
      </c>
      <c r="CZ59" s="120">
        <v>0</v>
      </c>
      <c r="DA59" s="209">
        <f>IFERROR(Opv.kohd.[[#This Row],[Järjestämisluvan mukaiset 13]]/Opv.kohd.[[#This Row],[Järjestämisluvan mukaiset 12]],0)</f>
        <v>0</v>
      </c>
      <c r="DB59" s="209">
        <f>IFERROR(Opv.kohd.[[#This Row],[Kohdentamat-tomat 13]]/Opv.kohd.[[#This Row],[Kohdentamat-tomat 12]],0)</f>
        <v>0</v>
      </c>
      <c r="DC59" s="209">
        <f>IFERROR(Opv.kohd.[[#This Row],[Työvoima-koulutus 13]]/Opv.kohd.[[#This Row],[Työvoima-koulutus 12]],0)</f>
        <v>0</v>
      </c>
      <c r="DD59" s="209">
        <f>IFERROR(Opv.kohd.[[#This Row],[Maahan-muuttajien koulutus 13]]/Opv.kohd.[[#This Row],[Maahan-muuttajien koulutus 12]],0)</f>
        <v>0</v>
      </c>
      <c r="DE59" s="209">
        <f>IFERROR(Opv.kohd.[[#This Row],[Nuorisotyöt. väh. ja osaamistarp. vast., muu kuin työvoima-koulutus 13]]/Opv.kohd.[[#This Row],[Nuorisotyöt. väh. ja osaamistarp. vast., muu kuin työvoima-koulutus 12]],0)</f>
        <v>0</v>
      </c>
      <c r="DF59" s="209">
        <f>IFERROR(Opv.kohd.[[#This Row],[Nuorisotyöt. väh. ja osaamistarp. vast., työvoima-koulutus 13]]/Opv.kohd.[[#This Row],[Nuorisotyöt. väh. ja osaamistarp. vast., työvoima-koulutus 12]],0)</f>
        <v>0</v>
      </c>
      <c r="DG59" s="209">
        <f>IFERROR(Opv.kohd.[[#This Row],[Yhteensä 13]]/Opv.kohd.[[#This Row],[Yhteensä 12]],0)</f>
        <v>0</v>
      </c>
      <c r="DH59" s="209">
        <f>IFERROR(Opv.kohd.[[#This Row],[Tavoitteelliset opiskelijavuodet yhteensä 13]]/Opv.kohd.[[#This Row],[Tavoitteelliset opiskelijavuodet yhteensä 12]],0)</f>
        <v>0</v>
      </c>
      <c r="DI59" s="207">
        <f>Opv.kohd.[[#This Row],[Järjestämisluvan mukaiset 12]]-Opv.kohd.[[#This Row],[Järjestämisluvan mukaiset 9]]</f>
        <v>-332</v>
      </c>
      <c r="DJ59" s="207">
        <f>Opv.kohd.[[#This Row],[Kohdentamat-tomat 12]]-Opv.kohd.[[#This Row],[Kohdentamat-tomat 9]]</f>
        <v>-23</v>
      </c>
      <c r="DK59" s="207">
        <f>Opv.kohd.[[#This Row],[Työvoima-koulutus 12]]-Opv.kohd.[[#This Row],[Työvoima-koulutus 9]]</f>
        <v>0</v>
      </c>
      <c r="DL59" s="207">
        <f>Opv.kohd.[[#This Row],[Maahan-muuttajien koulutus 12]]-Opv.kohd.[[#This Row],[Maahan-muuttajien koulutus 9]]</f>
        <v>0</v>
      </c>
      <c r="DM59" s="207">
        <f>Opv.kohd.[[#This Row],[Nuorisotyöt. väh. ja osaamistarp. vast., muu kuin työvoima-koulutus 12]]-Opv.kohd.[[#This Row],[Nuorisotyöt. väh. ja osaamistarp. vast., muu kuin työvoima-koulutus 9]]</f>
        <v>0</v>
      </c>
      <c r="DN59" s="207">
        <f>Opv.kohd.[[#This Row],[Nuorisotyöt. väh. ja osaamistarp. vast., työvoima-koulutus 12]]-Opv.kohd.[[#This Row],[Nuorisotyöt. väh. ja osaamistarp. vast., työvoima-koulutus 9]]</f>
        <v>0</v>
      </c>
      <c r="DO59" s="207">
        <f>Opv.kohd.[[#This Row],[Yhteensä 12]]-Opv.kohd.[[#This Row],[Yhteensä 9]]</f>
        <v>-23</v>
      </c>
      <c r="DP59" s="207">
        <f>Opv.kohd.[[#This Row],[Tavoitteelliset opiskelijavuodet yhteensä 12]]-Opv.kohd.[[#This Row],[Tavoitteelliset opiskelijavuodet yhteensä 9]]</f>
        <v>-355</v>
      </c>
      <c r="DQ59" s="209">
        <f>IFERROR(Opv.kohd.[[#This Row],[Järjestämisluvan mukaiset 15]]/Opv.kohd.[[#This Row],[Järjestämisluvan mukaiset 9]],0)</f>
        <v>-1</v>
      </c>
      <c r="DR59" s="209">
        <f t="shared" si="10"/>
        <v>0</v>
      </c>
      <c r="DS59" s="209">
        <f t="shared" si="11"/>
        <v>0</v>
      </c>
      <c r="DT59" s="209">
        <f t="shared" si="12"/>
        <v>0</v>
      </c>
      <c r="DU59" s="209">
        <f t="shared" si="13"/>
        <v>0</v>
      </c>
      <c r="DV59" s="209">
        <f t="shared" si="14"/>
        <v>0</v>
      </c>
      <c r="DW59" s="209">
        <f t="shared" si="15"/>
        <v>0</v>
      </c>
      <c r="DX59" s="209">
        <f t="shared" si="16"/>
        <v>0</v>
      </c>
    </row>
    <row r="60" spans="1:128" x14ac:dyDescent="0.25">
      <c r="A60" s="204" t="e">
        <f>IF(INDEX(#REF!,ROW(60:60)-1,1)=0,"",INDEX(#REF!,ROW(60:60)-1,1))</f>
        <v>#REF!</v>
      </c>
      <c r="B60" s="205" t="str">
        <f>IFERROR(VLOOKUP(Opv.kohd.[[#This Row],[Y-tunnus]],'0 Järjestäjätiedot'!$A:$H,2,FALSE),"")</f>
        <v/>
      </c>
      <c r="C60" s="204" t="str">
        <f>IFERROR(VLOOKUP(Opv.kohd.[[#This Row],[Y-tunnus]],'0 Järjestäjätiedot'!$A:$H,COLUMN('0 Järjestäjätiedot'!D:D),FALSE),"")</f>
        <v/>
      </c>
      <c r="D60" s="204" t="str">
        <f>IFERROR(VLOOKUP(Opv.kohd.[[#This Row],[Y-tunnus]],'0 Järjestäjätiedot'!$A:$H,COLUMN('0 Järjestäjätiedot'!H:H),FALSE),"")</f>
        <v/>
      </c>
      <c r="E60" s="204">
        <f>IFERROR(VLOOKUP(Opv.kohd.[[#This Row],[Y-tunnus]],#REF!,COLUMN(#REF!),FALSE),0)</f>
        <v>0</v>
      </c>
      <c r="F60" s="204">
        <f>IFERROR(VLOOKUP(Opv.kohd.[[#This Row],[Y-tunnus]],#REF!,COLUMN(#REF!),FALSE),0)</f>
        <v>0</v>
      </c>
      <c r="G60" s="204">
        <f>IFERROR(VLOOKUP(Opv.kohd.[[#This Row],[Y-tunnus]],#REF!,COLUMN(#REF!),FALSE),0)</f>
        <v>0</v>
      </c>
      <c r="H60" s="204">
        <f>IFERROR(VLOOKUP(Opv.kohd.[[#This Row],[Y-tunnus]],#REF!,COLUMN(#REF!),FALSE),0)</f>
        <v>0</v>
      </c>
      <c r="I60" s="204">
        <f>IFERROR(VLOOKUP(Opv.kohd.[[#This Row],[Y-tunnus]],#REF!,COLUMN(#REF!),FALSE),0)</f>
        <v>0</v>
      </c>
      <c r="J60" s="204">
        <f>IFERROR(VLOOKUP(Opv.kohd.[[#This Row],[Y-tunnus]],#REF!,COLUMN(#REF!),FALSE),0)</f>
        <v>0</v>
      </c>
      <c r="K6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60" s="204">
        <f>Opv.kohd.[[#This Row],[Järjestämisluvan mukaiset 1]]+Opv.kohd.[[#This Row],[Yhteensä  1]]</f>
        <v>0</v>
      </c>
      <c r="M60" s="204">
        <f>IFERROR(VLOOKUP(Opv.kohd.[[#This Row],[Y-tunnus]],#REF!,COLUMN(#REF!),FALSE),0)</f>
        <v>0</v>
      </c>
      <c r="N60" s="204">
        <f>IFERROR(VLOOKUP(Opv.kohd.[[#This Row],[Y-tunnus]],#REF!,COLUMN(#REF!),FALSE),0)</f>
        <v>0</v>
      </c>
      <c r="O60" s="204">
        <f>IFERROR(VLOOKUP(Opv.kohd.[[#This Row],[Y-tunnus]],#REF!,COLUMN(#REF!),FALSE)+VLOOKUP(Opv.kohd.[[#This Row],[Y-tunnus]],#REF!,COLUMN(#REF!),FALSE),0)</f>
        <v>0</v>
      </c>
      <c r="P60" s="204">
        <f>Opv.kohd.[[#This Row],[Talousarvion perusteella kohdentamattomat]]+Opv.kohd.[[#This Row],[Talousarvion perusteella työvoimakoulutus 1]]+Opv.kohd.[[#This Row],[Lisätalousarvioiden perusteella]]</f>
        <v>0</v>
      </c>
      <c r="Q60" s="204">
        <f>IFERROR(VLOOKUP(Opv.kohd.[[#This Row],[Y-tunnus]],#REF!,COLUMN(#REF!),FALSE),0)</f>
        <v>0</v>
      </c>
      <c r="R60" s="210">
        <f>IFERROR(VLOOKUP(Opv.kohd.[[#This Row],[Y-tunnus]],#REF!,COLUMN(#REF!),FALSE)-(Opv.kohd.[[#This Row],[Kohdentamaton työvoima-koulutus 2]]+Opv.kohd.[[#This Row],[Maahan-muuttajien koulutus 2]]+Opv.kohd.[[#This Row],[Lisätalousarvioiden perusteella jaetut 2]]),0)</f>
        <v>0</v>
      </c>
      <c r="S60" s="210">
        <f>IFERROR(VLOOKUP(Opv.kohd.[[#This Row],[Y-tunnus]],#REF!,COLUMN(#REF!),FALSE)+VLOOKUP(Opv.kohd.[[#This Row],[Y-tunnus]],#REF!,COLUMN(#REF!),FALSE),0)</f>
        <v>0</v>
      </c>
      <c r="T60" s="210">
        <f>IFERROR(VLOOKUP(Opv.kohd.[[#This Row],[Y-tunnus]],#REF!,COLUMN(#REF!),FALSE)+VLOOKUP(Opv.kohd.[[#This Row],[Y-tunnus]],#REF!,COLUMN(#REF!),FALSE),0)</f>
        <v>0</v>
      </c>
      <c r="U6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60" s="210">
        <f>Opv.kohd.[[#This Row],[Kohdentamat-tomat 2]]+Opv.kohd.[[#This Row],[Kohdentamaton työvoima-koulutus 2]]+Opv.kohd.[[#This Row],[Maahan-muuttajien koulutus 2]]+Opv.kohd.[[#This Row],[Lisätalousarvioiden perusteella jaetut 2]]</f>
        <v>0</v>
      </c>
      <c r="W60" s="210">
        <f>Opv.kohd.[[#This Row],[Kohdentamat-tomat 2]]-(Opv.kohd.[[#This Row],[Järjestämisluvan mukaiset 1]]+Opv.kohd.[[#This Row],[Kohdentamat-tomat 1]]+Opv.kohd.[[#This Row],[Nuorisotyöt. väh. ja osaamistarp. vast., muu kuin työvoima-koulutus 1]]+Opv.kohd.[[#This Row],[Talousarvion perusteella kohdentamattomat]])</f>
        <v>0</v>
      </c>
      <c r="X60" s="210">
        <f>Opv.kohd.[[#This Row],[Kohdentamaton työvoima-koulutus 2]]-(Opv.kohd.[[#This Row],[Työvoima-koulutus 1]]+Opv.kohd.[[#This Row],[Nuorisotyöt. väh. ja osaamistarp. vast., työvoima-koulutus 1]]+Opv.kohd.[[#This Row],[Talousarvion perusteella työvoimakoulutus 1]])</f>
        <v>0</v>
      </c>
      <c r="Y60" s="210">
        <f>Opv.kohd.[[#This Row],[Maahan-muuttajien koulutus 2]]-Opv.kohd.[[#This Row],[Maahan-muuttajien koulutus 1]]</f>
        <v>0</v>
      </c>
      <c r="Z60" s="210">
        <f>Opv.kohd.[[#This Row],[Lisätalousarvioiden perusteella jaetut 2]]-Opv.kohd.[[#This Row],[Lisätalousarvioiden perusteella]]</f>
        <v>0</v>
      </c>
      <c r="AA60" s="210">
        <f>Opv.kohd.[[#This Row],[Toteutuneet opiskelijavuodet yhteensä 2]]-Opv.kohd.[[#This Row],[Vuoden 2018 tavoitteelliset opiskelijavuodet yhteensä 1]]</f>
        <v>0</v>
      </c>
      <c r="AB60" s="207">
        <f>IFERROR(VLOOKUP(Opv.kohd.[[#This Row],[Y-tunnus]],#REF!,3,FALSE),0)</f>
        <v>0</v>
      </c>
      <c r="AC60" s="207">
        <f>IFERROR(VLOOKUP(Opv.kohd.[[#This Row],[Y-tunnus]],#REF!,4,FALSE),0)</f>
        <v>0</v>
      </c>
      <c r="AD60" s="207">
        <f>IFERROR(VLOOKUP(Opv.kohd.[[#This Row],[Y-tunnus]],#REF!,5,FALSE),0)</f>
        <v>0</v>
      </c>
      <c r="AE60" s="207">
        <f>IFERROR(VLOOKUP(Opv.kohd.[[#This Row],[Y-tunnus]],#REF!,6,FALSE),0)</f>
        <v>0</v>
      </c>
      <c r="AF60" s="207">
        <f>IFERROR(VLOOKUP(Opv.kohd.[[#This Row],[Y-tunnus]],#REF!,7,FALSE),0)</f>
        <v>0</v>
      </c>
      <c r="AG60" s="207">
        <f>IFERROR(VLOOKUP(Opv.kohd.[[#This Row],[Y-tunnus]],#REF!,8,FALSE),0)</f>
        <v>0</v>
      </c>
      <c r="AH60" s="207">
        <f>IFERROR(VLOOKUP(Opv.kohd.[[#This Row],[Y-tunnus]],#REF!,9,FALSE),0)</f>
        <v>0</v>
      </c>
      <c r="AI60" s="207">
        <f>IFERROR(VLOOKUP(Opv.kohd.[[#This Row],[Y-tunnus]],#REF!,10,FALSE),0)</f>
        <v>0</v>
      </c>
      <c r="AJ60" s="204">
        <f>Opv.kohd.[[#This Row],[Järjestämisluvan mukaiset 4]]-Opv.kohd.[[#This Row],[Järjestämisluvan mukaiset 1]]</f>
        <v>0</v>
      </c>
      <c r="AK60" s="204">
        <f>Opv.kohd.[[#This Row],[Kohdentamat-tomat 4]]-Opv.kohd.[[#This Row],[Kohdentamat-tomat 1]]</f>
        <v>0</v>
      </c>
      <c r="AL60" s="204">
        <f>Opv.kohd.[[#This Row],[Työvoima-koulutus 4]]-Opv.kohd.[[#This Row],[Työvoima-koulutus 1]]</f>
        <v>0</v>
      </c>
      <c r="AM60" s="204">
        <f>Opv.kohd.[[#This Row],[Maahan-muuttajien koulutus 4]]-Opv.kohd.[[#This Row],[Maahan-muuttajien koulutus 1]]</f>
        <v>0</v>
      </c>
      <c r="AN60" s="204">
        <f>Opv.kohd.[[#This Row],[Nuorisotyöt. väh. ja osaamistarp. vast., muu kuin työvoima-koulutus 4]]-Opv.kohd.[[#This Row],[Nuorisotyöt. väh. ja osaamistarp. vast., muu kuin työvoima-koulutus 1]]</f>
        <v>0</v>
      </c>
      <c r="AO60" s="204">
        <f>Opv.kohd.[[#This Row],[Nuorisotyöt. väh. ja osaamistarp. vast., työvoima-koulutus 4]]-Opv.kohd.[[#This Row],[Nuorisotyöt. väh. ja osaamistarp. vast., työvoima-koulutus 1]]</f>
        <v>0</v>
      </c>
      <c r="AP60" s="204">
        <f>Opv.kohd.[[#This Row],[Yhteensä 4]]-Opv.kohd.[[#This Row],[Yhteensä  1]]</f>
        <v>0</v>
      </c>
      <c r="AQ60" s="204">
        <f>Opv.kohd.[[#This Row],[Ensikertaisella suoritepäätöksellä jaetut tavoitteelliset opiskelijavuodet yhteensä 4]]-Opv.kohd.[[#This Row],[Ensikertaisella suoritepäätöksellä jaetut tavoitteelliset opiskelijavuodet yhteensä 1]]</f>
        <v>0</v>
      </c>
      <c r="AR60" s="208">
        <f>IFERROR(Opv.kohd.[[#This Row],[Järjestämisluvan mukaiset 5]]/Opv.kohd.[[#This Row],[Järjestämisluvan mukaiset 4]],0)</f>
        <v>0</v>
      </c>
      <c r="AS60" s="208">
        <f>IFERROR(Opv.kohd.[[#This Row],[Kohdentamat-tomat 5]]/Opv.kohd.[[#This Row],[Kohdentamat-tomat 4]],0)</f>
        <v>0</v>
      </c>
      <c r="AT60" s="208">
        <f>IFERROR(Opv.kohd.[[#This Row],[Työvoima-koulutus 5]]/Opv.kohd.[[#This Row],[Työvoima-koulutus 4]],0)</f>
        <v>0</v>
      </c>
      <c r="AU60" s="208">
        <f>IFERROR(Opv.kohd.[[#This Row],[Maahan-muuttajien koulutus 5]]/Opv.kohd.[[#This Row],[Maahan-muuttajien koulutus 4]],0)</f>
        <v>0</v>
      </c>
      <c r="AV60" s="208">
        <f>IFERROR(Opv.kohd.[[#This Row],[Nuorisotyöt. väh. ja osaamistarp. vast., muu kuin työvoima-koulutus 5]]/Opv.kohd.[[#This Row],[Nuorisotyöt. väh. ja osaamistarp. vast., muu kuin työvoima-koulutus 4]],0)</f>
        <v>0</v>
      </c>
      <c r="AW60" s="208">
        <f>IFERROR(Opv.kohd.[[#This Row],[Nuorisotyöt. väh. ja osaamistarp. vast., työvoima-koulutus 5]]/Opv.kohd.[[#This Row],[Nuorisotyöt. väh. ja osaamistarp. vast., työvoima-koulutus 4]],0)</f>
        <v>0</v>
      </c>
      <c r="AX60" s="208">
        <f>IFERROR(Opv.kohd.[[#This Row],[Yhteensä 5]]/Opv.kohd.[[#This Row],[Yhteensä 4]],0)</f>
        <v>0</v>
      </c>
      <c r="AY60" s="208">
        <f>IFERROR(Opv.kohd.[[#This Row],[Ensikertaisella suoritepäätöksellä jaetut tavoitteelliset opiskelijavuodet yhteensä 5]]/Opv.kohd.[[#This Row],[Ensikertaisella suoritepäätöksellä jaetut tavoitteelliset opiskelijavuodet yhteensä 4]],0)</f>
        <v>0</v>
      </c>
      <c r="AZ60" s="207">
        <f>Opv.kohd.[[#This Row],[Yhteensä 7a]]-Opv.kohd.[[#This Row],[Työvoima-koulutus 7a]]</f>
        <v>0</v>
      </c>
      <c r="BA60" s="207">
        <f>IFERROR(VLOOKUP(Opv.kohd.[[#This Row],[Y-tunnus]],#REF!,COLUMN(#REF!),FALSE),0)</f>
        <v>0</v>
      </c>
      <c r="BB60" s="207">
        <f>IFERROR(VLOOKUP(Opv.kohd.[[#This Row],[Y-tunnus]],#REF!,COLUMN(#REF!),FALSE),0)</f>
        <v>0</v>
      </c>
      <c r="BC60" s="207">
        <f>Opv.kohd.[[#This Row],[Muu kuin työvoima-koulutus 7c]]-Opv.kohd.[[#This Row],[Muu kuin työvoima-koulutus 7a]]</f>
        <v>0</v>
      </c>
      <c r="BD60" s="207">
        <f>Opv.kohd.[[#This Row],[Työvoima-koulutus 7c]]-Opv.kohd.[[#This Row],[Työvoima-koulutus 7a]]</f>
        <v>0</v>
      </c>
      <c r="BE60" s="207">
        <f>Opv.kohd.[[#This Row],[Yhteensä 7c]]-Opv.kohd.[[#This Row],[Yhteensä 7a]]</f>
        <v>0</v>
      </c>
      <c r="BF60" s="207">
        <f>Opv.kohd.[[#This Row],[Yhteensä 7c]]-Opv.kohd.[[#This Row],[Työvoima-koulutus 7c]]</f>
        <v>0</v>
      </c>
      <c r="BG60" s="207">
        <f>IFERROR(VLOOKUP(Opv.kohd.[[#This Row],[Y-tunnus]],#REF!,COLUMN(#REF!),FALSE),0)</f>
        <v>0</v>
      </c>
      <c r="BH60" s="207">
        <f>IFERROR(VLOOKUP(Opv.kohd.[[#This Row],[Y-tunnus]],#REF!,COLUMN(#REF!),FALSE),0)</f>
        <v>0</v>
      </c>
      <c r="BI60" s="207">
        <f>IFERROR(VLOOKUP(Opv.kohd.[[#This Row],[Y-tunnus]],#REF!,COLUMN(#REF!),FALSE),0)</f>
        <v>0</v>
      </c>
      <c r="BJ60" s="207">
        <f>IFERROR(VLOOKUP(Opv.kohd.[[#This Row],[Y-tunnus]],#REF!,COLUMN(#REF!),FALSE),0)</f>
        <v>0</v>
      </c>
      <c r="BK60" s="207">
        <f>Opv.kohd.[[#This Row],[Muu kuin työvoima-koulutus 7d]]+Opv.kohd.[[#This Row],[Työvoima-koulutus 7d]]</f>
        <v>0</v>
      </c>
      <c r="BL60" s="207">
        <f>Opv.kohd.[[#This Row],[Muu kuin työvoima-koulutus 7c]]-Opv.kohd.[[#This Row],[Muu kuin työvoima-koulutus 7d]]</f>
        <v>0</v>
      </c>
      <c r="BM60" s="207">
        <f>Opv.kohd.[[#This Row],[Työvoima-koulutus 7c]]-Opv.kohd.[[#This Row],[Työvoima-koulutus 7d]]</f>
        <v>0</v>
      </c>
      <c r="BN60" s="207">
        <f>Opv.kohd.[[#This Row],[Yhteensä 7c]]-Opv.kohd.[[#This Row],[Yhteensä 7d]]</f>
        <v>0</v>
      </c>
      <c r="BO60" s="207">
        <f>Opv.kohd.[[#This Row],[Muu kuin työvoima-koulutus 7e]]-(Opv.kohd.[[#This Row],[Järjestämisluvan mukaiset 4]]+Opv.kohd.[[#This Row],[Kohdentamat-tomat 4]]+Opv.kohd.[[#This Row],[Maahan-muuttajien koulutus 4]]+Opv.kohd.[[#This Row],[Nuorisotyöt. väh. ja osaamistarp. vast., muu kuin työvoima-koulutus 4]])</f>
        <v>0</v>
      </c>
      <c r="BP60" s="207">
        <f>Opv.kohd.[[#This Row],[Työvoima-koulutus 7e]]-(Opv.kohd.[[#This Row],[Työvoima-koulutus 4]]+Opv.kohd.[[#This Row],[Nuorisotyöt. väh. ja osaamistarp. vast., työvoima-koulutus 4]])</f>
        <v>0</v>
      </c>
      <c r="BQ60" s="207">
        <f>Opv.kohd.[[#This Row],[Yhteensä 7e]]-Opv.kohd.[[#This Row],[Ensikertaisella suoritepäätöksellä jaetut tavoitteelliset opiskelijavuodet yhteensä 4]]</f>
        <v>0</v>
      </c>
      <c r="BR60" s="263">
        <v>582</v>
      </c>
      <c r="BS60" s="263">
        <v>56</v>
      </c>
      <c r="BT60" s="263">
        <v>0</v>
      </c>
      <c r="BU60" s="263">
        <v>10</v>
      </c>
      <c r="BV60" s="263">
        <v>0</v>
      </c>
      <c r="BW60" s="263">
        <v>0</v>
      </c>
      <c r="BX60" s="263">
        <v>66</v>
      </c>
      <c r="BY60" s="263">
        <v>648</v>
      </c>
      <c r="BZ60" s="207">
        <f t="shared" si="2"/>
        <v>582</v>
      </c>
      <c r="CA60" s="207">
        <f t="shared" si="3"/>
        <v>56</v>
      </c>
      <c r="CB60" s="207">
        <f t="shared" si="4"/>
        <v>0</v>
      </c>
      <c r="CC60" s="207">
        <f t="shared" si="5"/>
        <v>10</v>
      </c>
      <c r="CD60" s="207">
        <f t="shared" si="6"/>
        <v>0</v>
      </c>
      <c r="CE60" s="207">
        <f t="shared" si="7"/>
        <v>0</v>
      </c>
      <c r="CF60" s="207">
        <f t="shared" si="8"/>
        <v>66</v>
      </c>
      <c r="CG60" s="207">
        <f t="shared" si="9"/>
        <v>648</v>
      </c>
      <c r="CH60" s="207">
        <f>Opv.kohd.[[#This Row],[Tavoitteelliset opiskelijavuodet yhteensä 9]]-Opv.kohd.[[#This Row],[Työvoima-koulutus 9]]-Opv.kohd.[[#This Row],[Nuorisotyöt. väh. ja osaamistarp. vast., työvoima-koulutus 9]]-Opv.kohd.[[#This Row],[Muu kuin työvoima-koulutus 7e]]</f>
        <v>648</v>
      </c>
      <c r="CI60" s="207">
        <f>(Opv.kohd.[[#This Row],[Työvoima-koulutus 9]]+Opv.kohd.[[#This Row],[Nuorisotyöt. väh. ja osaamistarp. vast., työvoima-koulutus 9]])-Opv.kohd.[[#This Row],[Työvoima-koulutus 7e]]</f>
        <v>0</v>
      </c>
      <c r="CJ60" s="207">
        <f>Opv.kohd.[[#This Row],[Tavoitteelliset opiskelijavuodet yhteensä 9]]-Opv.kohd.[[#This Row],[Yhteensä 7e]]</f>
        <v>648</v>
      </c>
      <c r="CK60" s="207">
        <f>Opv.kohd.[[#This Row],[Järjestämisluvan mukaiset 4]]+Opv.kohd.[[#This Row],[Järjestämisluvan mukaiset 13]]</f>
        <v>0</v>
      </c>
      <c r="CL60" s="207">
        <f>Opv.kohd.[[#This Row],[Kohdentamat-tomat 4]]+Opv.kohd.[[#This Row],[Kohdentamat-tomat 13]]</f>
        <v>0</v>
      </c>
      <c r="CM60" s="207">
        <f>Opv.kohd.[[#This Row],[Työvoima-koulutus 4]]+Opv.kohd.[[#This Row],[Työvoima-koulutus 13]]</f>
        <v>0</v>
      </c>
      <c r="CN60" s="207">
        <f>Opv.kohd.[[#This Row],[Maahan-muuttajien koulutus 4]]+Opv.kohd.[[#This Row],[Maahan-muuttajien koulutus 13]]</f>
        <v>0</v>
      </c>
      <c r="CO60" s="207">
        <f>Opv.kohd.[[#This Row],[Nuorisotyöt. väh. ja osaamistarp. vast., muu kuin työvoima-koulutus 4]]+Opv.kohd.[[#This Row],[Nuorisotyöt. väh. ja osaamistarp. vast., muu kuin työvoima-koulutus 13]]</f>
        <v>0</v>
      </c>
      <c r="CP60" s="207">
        <f>Opv.kohd.[[#This Row],[Nuorisotyöt. väh. ja osaamistarp. vast., työvoima-koulutus 4]]+Opv.kohd.[[#This Row],[Nuorisotyöt. väh. ja osaamistarp. vast., työvoima-koulutus 13]]</f>
        <v>0</v>
      </c>
      <c r="CQ60" s="207">
        <f>Opv.kohd.[[#This Row],[Yhteensä 4]]+Opv.kohd.[[#This Row],[Yhteensä 13]]</f>
        <v>0</v>
      </c>
      <c r="CR60" s="207">
        <f>Opv.kohd.[[#This Row],[Ensikertaisella suoritepäätöksellä jaetut tavoitteelliset opiskelijavuodet yhteensä 4]]+Opv.kohd.[[#This Row],[Tavoitteelliset opiskelijavuodet yhteensä 13]]</f>
        <v>0</v>
      </c>
      <c r="CS60" s="120">
        <v>0</v>
      </c>
      <c r="CT60" s="120">
        <v>0</v>
      </c>
      <c r="CU60" s="120">
        <v>0</v>
      </c>
      <c r="CV60" s="120">
        <v>0</v>
      </c>
      <c r="CW60" s="120">
        <v>0</v>
      </c>
      <c r="CX60" s="120">
        <v>0</v>
      </c>
      <c r="CY60" s="120">
        <v>0</v>
      </c>
      <c r="CZ60" s="120">
        <v>0</v>
      </c>
      <c r="DA60" s="209">
        <f>IFERROR(Opv.kohd.[[#This Row],[Järjestämisluvan mukaiset 13]]/Opv.kohd.[[#This Row],[Järjestämisluvan mukaiset 12]],0)</f>
        <v>0</v>
      </c>
      <c r="DB60" s="209">
        <f>IFERROR(Opv.kohd.[[#This Row],[Kohdentamat-tomat 13]]/Opv.kohd.[[#This Row],[Kohdentamat-tomat 12]],0)</f>
        <v>0</v>
      </c>
      <c r="DC60" s="209">
        <f>IFERROR(Opv.kohd.[[#This Row],[Työvoima-koulutus 13]]/Opv.kohd.[[#This Row],[Työvoima-koulutus 12]],0)</f>
        <v>0</v>
      </c>
      <c r="DD60" s="209">
        <f>IFERROR(Opv.kohd.[[#This Row],[Maahan-muuttajien koulutus 13]]/Opv.kohd.[[#This Row],[Maahan-muuttajien koulutus 12]],0)</f>
        <v>0</v>
      </c>
      <c r="DE60" s="209">
        <f>IFERROR(Opv.kohd.[[#This Row],[Nuorisotyöt. väh. ja osaamistarp. vast., muu kuin työvoima-koulutus 13]]/Opv.kohd.[[#This Row],[Nuorisotyöt. väh. ja osaamistarp. vast., muu kuin työvoima-koulutus 12]],0)</f>
        <v>0</v>
      </c>
      <c r="DF60" s="209">
        <f>IFERROR(Opv.kohd.[[#This Row],[Nuorisotyöt. väh. ja osaamistarp. vast., työvoima-koulutus 13]]/Opv.kohd.[[#This Row],[Nuorisotyöt. väh. ja osaamistarp. vast., työvoima-koulutus 12]],0)</f>
        <v>0</v>
      </c>
      <c r="DG60" s="209">
        <f>IFERROR(Opv.kohd.[[#This Row],[Yhteensä 13]]/Opv.kohd.[[#This Row],[Yhteensä 12]],0)</f>
        <v>0</v>
      </c>
      <c r="DH60" s="209">
        <f>IFERROR(Opv.kohd.[[#This Row],[Tavoitteelliset opiskelijavuodet yhteensä 13]]/Opv.kohd.[[#This Row],[Tavoitteelliset opiskelijavuodet yhteensä 12]],0)</f>
        <v>0</v>
      </c>
      <c r="DI60" s="207">
        <f>Opv.kohd.[[#This Row],[Järjestämisluvan mukaiset 12]]-Opv.kohd.[[#This Row],[Järjestämisluvan mukaiset 9]]</f>
        <v>-582</v>
      </c>
      <c r="DJ60" s="207">
        <f>Opv.kohd.[[#This Row],[Kohdentamat-tomat 12]]-Opv.kohd.[[#This Row],[Kohdentamat-tomat 9]]</f>
        <v>-56</v>
      </c>
      <c r="DK60" s="207">
        <f>Opv.kohd.[[#This Row],[Työvoima-koulutus 12]]-Opv.kohd.[[#This Row],[Työvoima-koulutus 9]]</f>
        <v>0</v>
      </c>
      <c r="DL60" s="207">
        <f>Opv.kohd.[[#This Row],[Maahan-muuttajien koulutus 12]]-Opv.kohd.[[#This Row],[Maahan-muuttajien koulutus 9]]</f>
        <v>-10</v>
      </c>
      <c r="DM60" s="207">
        <f>Opv.kohd.[[#This Row],[Nuorisotyöt. väh. ja osaamistarp. vast., muu kuin työvoima-koulutus 12]]-Opv.kohd.[[#This Row],[Nuorisotyöt. väh. ja osaamistarp. vast., muu kuin työvoima-koulutus 9]]</f>
        <v>0</v>
      </c>
      <c r="DN60" s="207">
        <f>Opv.kohd.[[#This Row],[Nuorisotyöt. väh. ja osaamistarp. vast., työvoima-koulutus 12]]-Opv.kohd.[[#This Row],[Nuorisotyöt. väh. ja osaamistarp. vast., työvoima-koulutus 9]]</f>
        <v>0</v>
      </c>
      <c r="DO60" s="207">
        <f>Opv.kohd.[[#This Row],[Yhteensä 12]]-Opv.kohd.[[#This Row],[Yhteensä 9]]</f>
        <v>-66</v>
      </c>
      <c r="DP60" s="207">
        <f>Opv.kohd.[[#This Row],[Tavoitteelliset opiskelijavuodet yhteensä 12]]-Opv.kohd.[[#This Row],[Tavoitteelliset opiskelijavuodet yhteensä 9]]</f>
        <v>-648</v>
      </c>
      <c r="DQ60" s="209">
        <f>IFERROR(Opv.kohd.[[#This Row],[Järjestämisluvan mukaiset 15]]/Opv.kohd.[[#This Row],[Järjestämisluvan mukaiset 9]],0)</f>
        <v>-1</v>
      </c>
      <c r="DR60" s="209">
        <f t="shared" si="10"/>
        <v>0</v>
      </c>
      <c r="DS60" s="209">
        <f t="shared" si="11"/>
        <v>0</v>
      </c>
      <c r="DT60" s="209">
        <f t="shared" si="12"/>
        <v>0</v>
      </c>
      <c r="DU60" s="209">
        <f t="shared" si="13"/>
        <v>0</v>
      </c>
      <c r="DV60" s="209">
        <f t="shared" si="14"/>
        <v>0</v>
      </c>
      <c r="DW60" s="209">
        <f t="shared" si="15"/>
        <v>0</v>
      </c>
      <c r="DX60" s="209">
        <f t="shared" si="16"/>
        <v>0</v>
      </c>
    </row>
    <row r="61" spans="1:128" x14ac:dyDescent="0.25">
      <c r="A61" s="204" t="e">
        <f>IF(INDEX(#REF!,ROW(61:61)-1,1)=0,"",INDEX(#REF!,ROW(61:61)-1,1))</f>
        <v>#REF!</v>
      </c>
      <c r="B61" s="205" t="str">
        <f>IFERROR(VLOOKUP(Opv.kohd.[[#This Row],[Y-tunnus]],'0 Järjestäjätiedot'!$A:$H,2,FALSE),"")</f>
        <v/>
      </c>
      <c r="C61" s="204" t="str">
        <f>IFERROR(VLOOKUP(Opv.kohd.[[#This Row],[Y-tunnus]],'0 Järjestäjätiedot'!$A:$H,COLUMN('0 Järjestäjätiedot'!D:D),FALSE),"")</f>
        <v/>
      </c>
      <c r="D61" s="204" t="str">
        <f>IFERROR(VLOOKUP(Opv.kohd.[[#This Row],[Y-tunnus]],'0 Järjestäjätiedot'!$A:$H,COLUMN('0 Järjestäjätiedot'!H:H),FALSE),"")</f>
        <v/>
      </c>
      <c r="E61" s="204">
        <f>IFERROR(VLOOKUP(Opv.kohd.[[#This Row],[Y-tunnus]],#REF!,COLUMN(#REF!),FALSE),0)</f>
        <v>0</v>
      </c>
      <c r="F61" s="204">
        <f>IFERROR(VLOOKUP(Opv.kohd.[[#This Row],[Y-tunnus]],#REF!,COLUMN(#REF!),FALSE),0)</f>
        <v>0</v>
      </c>
      <c r="G61" s="204">
        <f>IFERROR(VLOOKUP(Opv.kohd.[[#This Row],[Y-tunnus]],#REF!,COLUMN(#REF!),FALSE),0)</f>
        <v>0</v>
      </c>
      <c r="H61" s="204">
        <f>IFERROR(VLOOKUP(Opv.kohd.[[#This Row],[Y-tunnus]],#REF!,COLUMN(#REF!),FALSE),0)</f>
        <v>0</v>
      </c>
      <c r="I61" s="204">
        <f>IFERROR(VLOOKUP(Opv.kohd.[[#This Row],[Y-tunnus]],#REF!,COLUMN(#REF!),FALSE),0)</f>
        <v>0</v>
      </c>
      <c r="J61" s="204">
        <f>IFERROR(VLOOKUP(Opv.kohd.[[#This Row],[Y-tunnus]],#REF!,COLUMN(#REF!),FALSE),0)</f>
        <v>0</v>
      </c>
      <c r="K6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61" s="204">
        <f>Opv.kohd.[[#This Row],[Järjestämisluvan mukaiset 1]]+Opv.kohd.[[#This Row],[Yhteensä  1]]</f>
        <v>0</v>
      </c>
      <c r="M61" s="204">
        <f>IFERROR(VLOOKUP(Opv.kohd.[[#This Row],[Y-tunnus]],#REF!,COLUMN(#REF!),FALSE),0)</f>
        <v>0</v>
      </c>
      <c r="N61" s="204">
        <f>IFERROR(VLOOKUP(Opv.kohd.[[#This Row],[Y-tunnus]],#REF!,COLUMN(#REF!),FALSE),0)</f>
        <v>0</v>
      </c>
      <c r="O61" s="204">
        <f>IFERROR(VLOOKUP(Opv.kohd.[[#This Row],[Y-tunnus]],#REF!,COLUMN(#REF!),FALSE)+VLOOKUP(Opv.kohd.[[#This Row],[Y-tunnus]],#REF!,COLUMN(#REF!),FALSE),0)</f>
        <v>0</v>
      </c>
      <c r="P61" s="204">
        <f>Opv.kohd.[[#This Row],[Talousarvion perusteella kohdentamattomat]]+Opv.kohd.[[#This Row],[Talousarvion perusteella työvoimakoulutus 1]]+Opv.kohd.[[#This Row],[Lisätalousarvioiden perusteella]]</f>
        <v>0</v>
      </c>
      <c r="Q61" s="204">
        <f>IFERROR(VLOOKUP(Opv.kohd.[[#This Row],[Y-tunnus]],#REF!,COLUMN(#REF!),FALSE),0)</f>
        <v>0</v>
      </c>
      <c r="R61" s="210">
        <f>IFERROR(VLOOKUP(Opv.kohd.[[#This Row],[Y-tunnus]],#REF!,COLUMN(#REF!),FALSE)-(Opv.kohd.[[#This Row],[Kohdentamaton työvoima-koulutus 2]]+Opv.kohd.[[#This Row],[Maahan-muuttajien koulutus 2]]+Opv.kohd.[[#This Row],[Lisätalousarvioiden perusteella jaetut 2]]),0)</f>
        <v>0</v>
      </c>
      <c r="S61" s="210">
        <f>IFERROR(VLOOKUP(Opv.kohd.[[#This Row],[Y-tunnus]],#REF!,COLUMN(#REF!),FALSE)+VLOOKUP(Opv.kohd.[[#This Row],[Y-tunnus]],#REF!,COLUMN(#REF!),FALSE),0)</f>
        <v>0</v>
      </c>
      <c r="T61" s="210">
        <f>IFERROR(VLOOKUP(Opv.kohd.[[#This Row],[Y-tunnus]],#REF!,COLUMN(#REF!),FALSE)+VLOOKUP(Opv.kohd.[[#This Row],[Y-tunnus]],#REF!,COLUMN(#REF!),FALSE),0)</f>
        <v>0</v>
      </c>
      <c r="U6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61" s="210">
        <f>Opv.kohd.[[#This Row],[Kohdentamat-tomat 2]]+Opv.kohd.[[#This Row],[Kohdentamaton työvoima-koulutus 2]]+Opv.kohd.[[#This Row],[Maahan-muuttajien koulutus 2]]+Opv.kohd.[[#This Row],[Lisätalousarvioiden perusteella jaetut 2]]</f>
        <v>0</v>
      </c>
      <c r="W61" s="210">
        <f>Opv.kohd.[[#This Row],[Kohdentamat-tomat 2]]-(Opv.kohd.[[#This Row],[Järjestämisluvan mukaiset 1]]+Opv.kohd.[[#This Row],[Kohdentamat-tomat 1]]+Opv.kohd.[[#This Row],[Nuorisotyöt. väh. ja osaamistarp. vast., muu kuin työvoima-koulutus 1]]+Opv.kohd.[[#This Row],[Talousarvion perusteella kohdentamattomat]])</f>
        <v>0</v>
      </c>
      <c r="X61" s="210">
        <f>Opv.kohd.[[#This Row],[Kohdentamaton työvoima-koulutus 2]]-(Opv.kohd.[[#This Row],[Työvoima-koulutus 1]]+Opv.kohd.[[#This Row],[Nuorisotyöt. väh. ja osaamistarp. vast., työvoima-koulutus 1]]+Opv.kohd.[[#This Row],[Talousarvion perusteella työvoimakoulutus 1]])</f>
        <v>0</v>
      </c>
      <c r="Y61" s="210">
        <f>Opv.kohd.[[#This Row],[Maahan-muuttajien koulutus 2]]-Opv.kohd.[[#This Row],[Maahan-muuttajien koulutus 1]]</f>
        <v>0</v>
      </c>
      <c r="Z61" s="210">
        <f>Opv.kohd.[[#This Row],[Lisätalousarvioiden perusteella jaetut 2]]-Opv.kohd.[[#This Row],[Lisätalousarvioiden perusteella]]</f>
        <v>0</v>
      </c>
      <c r="AA61" s="210">
        <f>Opv.kohd.[[#This Row],[Toteutuneet opiskelijavuodet yhteensä 2]]-Opv.kohd.[[#This Row],[Vuoden 2018 tavoitteelliset opiskelijavuodet yhteensä 1]]</f>
        <v>0</v>
      </c>
      <c r="AB61" s="207">
        <f>IFERROR(VLOOKUP(Opv.kohd.[[#This Row],[Y-tunnus]],#REF!,3,FALSE),0)</f>
        <v>0</v>
      </c>
      <c r="AC61" s="207">
        <f>IFERROR(VLOOKUP(Opv.kohd.[[#This Row],[Y-tunnus]],#REF!,4,FALSE),0)</f>
        <v>0</v>
      </c>
      <c r="AD61" s="207">
        <f>IFERROR(VLOOKUP(Opv.kohd.[[#This Row],[Y-tunnus]],#REF!,5,FALSE),0)</f>
        <v>0</v>
      </c>
      <c r="AE61" s="207">
        <f>IFERROR(VLOOKUP(Opv.kohd.[[#This Row],[Y-tunnus]],#REF!,6,FALSE),0)</f>
        <v>0</v>
      </c>
      <c r="AF61" s="207">
        <f>IFERROR(VLOOKUP(Opv.kohd.[[#This Row],[Y-tunnus]],#REF!,7,FALSE),0)</f>
        <v>0</v>
      </c>
      <c r="AG61" s="207">
        <f>IFERROR(VLOOKUP(Opv.kohd.[[#This Row],[Y-tunnus]],#REF!,8,FALSE),0)</f>
        <v>0</v>
      </c>
      <c r="AH61" s="207">
        <f>IFERROR(VLOOKUP(Opv.kohd.[[#This Row],[Y-tunnus]],#REF!,9,FALSE),0)</f>
        <v>0</v>
      </c>
      <c r="AI61" s="207">
        <f>IFERROR(VLOOKUP(Opv.kohd.[[#This Row],[Y-tunnus]],#REF!,10,FALSE),0)</f>
        <v>0</v>
      </c>
      <c r="AJ61" s="204">
        <f>Opv.kohd.[[#This Row],[Järjestämisluvan mukaiset 4]]-Opv.kohd.[[#This Row],[Järjestämisluvan mukaiset 1]]</f>
        <v>0</v>
      </c>
      <c r="AK61" s="204">
        <f>Opv.kohd.[[#This Row],[Kohdentamat-tomat 4]]-Opv.kohd.[[#This Row],[Kohdentamat-tomat 1]]</f>
        <v>0</v>
      </c>
      <c r="AL61" s="204">
        <f>Opv.kohd.[[#This Row],[Työvoima-koulutus 4]]-Opv.kohd.[[#This Row],[Työvoima-koulutus 1]]</f>
        <v>0</v>
      </c>
      <c r="AM61" s="204">
        <f>Opv.kohd.[[#This Row],[Maahan-muuttajien koulutus 4]]-Opv.kohd.[[#This Row],[Maahan-muuttajien koulutus 1]]</f>
        <v>0</v>
      </c>
      <c r="AN61" s="204">
        <f>Opv.kohd.[[#This Row],[Nuorisotyöt. väh. ja osaamistarp. vast., muu kuin työvoima-koulutus 4]]-Opv.kohd.[[#This Row],[Nuorisotyöt. väh. ja osaamistarp. vast., muu kuin työvoima-koulutus 1]]</f>
        <v>0</v>
      </c>
      <c r="AO61" s="204">
        <f>Opv.kohd.[[#This Row],[Nuorisotyöt. väh. ja osaamistarp. vast., työvoima-koulutus 4]]-Opv.kohd.[[#This Row],[Nuorisotyöt. väh. ja osaamistarp. vast., työvoima-koulutus 1]]</f>
        <v>0</v>
      </c>
      <c r="AP61" s="204">
        <f>Opv.kohd.[[#This Row],[Yhteensä 4]]-Opv.kohd.[[#This Row],[Yhteensä  1]]</f>
        <v>0</v>
      </c>
      <c r="AQ61" s="204">
        <f>Opv.kohd.[[#This Row],[Ensikertaisella suoritepäätöksellä jaetut tavoitteelliset opiskelijavuodet yhteensä 4]]-Opv.kohd.[[#This Row],[Ensikertaisella suoritepäätöksellä jaetut tavoitteelliset opiskelijavuodet yhteensä 1]]</f>
        <v>0</v>
      </c>
      <c r="AR61" s="208">
        <f>IFERROR(Opv.kohd.[[#This Row],[Järjestämisluvan mukaiset 5]]/Opv.kohd.[[#This Row],[Järjestämisluvan mukaiset 4]],0)</f>
        <v>0</v>
      </c>
      <c r="AS61" s="208">
        <f>IFERROR(Opv.kohd.[[#This Row],[Kohdentamat-tomat 5]]/Opv.kohd.[[#This Row],[Kohdentamat-tomat 4]],0)</f>
        <v>0</v>
      </c>
      <c r="AT61" s="208">
        <f>IFERROR(Opv.kohd.[[#This Row],[Työvoima-koulutus 5]]/Opv.kohd.[[#This Row],[Työvoima-koulutus 4]],0)</f>
        <v>0</v>
      </c>
      <c r="AU61" s="208">
        <f>IFERROR(Opv.kohd.[[#This Row],[Maahan-muuttajien koulutus 5]]/Opv.kohd.[[#This Row],[Maahan-muuttajien koulutus 4]],0)</f>
        <v>0</v>
      </c>
      <c r="AV61" s="208">
        <f>IFERROR(Opv.kohd.[[#This Row],[Nuorisotyöt. väh. ja osaamistarp. vast., muu kuin työvoima-koulutus 5]]/Opv.kohd.[[#This Row],[Nuorisotyöt. väh. ja osaamistarp. vast., muu kuin työvoima-koulutus 4]],0)</f>
        <v>0</v>
      </c>
      <c r="AW61" s="208">
        <f>IFERROR(Opv.kohd.[[#This Row],[Nuorisotyöt. väh. ja osaamistarp. vast., työvoima-koulutus 5]]/Opv.kohd.[[#This Row],[Nuorisotyöt. väh. ja osaamistarp. vast., työvoima-koulutus 4]],0)</f>
        <v>0</v>
      </c>
      <c r="AX61" s="208">
        <f>IFERROR(Opv.kohd.[[#This Row],[Yhteensä 5]]/Opv.kohd.[[#This Row],[Yhteensä 4]],0)</f>
        <v>0</v>
      </c>
      <c r="AY61" s="208">
        <f>IFERROR(Opv.kohd.[[#This Row],[Ensikertaisella suoritepäätöksellä jaetut tavoitteelliset opiskelijavuodet yhteensä 5]]/Opv.kohd.[[#This Row],[Ensikertaisella suoritepäätöksellä jaetut tavoitteelliset opiskelijavuodet yhteensä 4]],0)</f>
        <v>0</v>
      </c>
      <c r="AZ61" s="207">
        <f>Opv.kohd.[[#This Row],[Yhteensä 7a]]-Opv.kohd.[[#This Row],[Työvoima-koulutus 7a]]</f>
        <v>0</v>
      </c>
      <c r="BA61" s="207">
        <f>IFERROR(VLOOKUP(Opv.kohd.[[#This Row],[Y-tunnus]],#REF!,COLUMN(#REF!),FALSE),0)</f>
        <v>0</v>
      </c>
      <c r="BB61" s="207">
        <f>IFERROR(VLOOKUP(Opv.kohd.[[#This Row],[Y-tunnus]],#REF!,COLUMN(#REF!),FALSE),0)</f>
        <v>0</v>
      </c>
      <c r="BC61" s="207">
        <f>Opv.kohd.[[#This Row],[Muu kuin työvoima-koulutus 7c]]-Opv.kohd.[[#This Row],[Muu kuin työvoima-koulutus 7a]]</f>
        <v>0</v>
      </c>
      <c r="BD61" s="207">
        <f>Opv.kohd.[[#This Row],[Työvoima-koulutus 7c]]-Opv.kohd.[[#This Row],[Työvoima-koulutus 7a]]</f>
        <v>0</v>
      </c>
      <c r="BE61" s="207">
        <f>Opv.kohd.[[#This Row],[Yhteensä 7c]]-Opv.kohd.[[#This Row],[Yhteensä 7a]]</f>
        <v>0</v>
      </c>
      <c r="BF61" s="207">
        <f>Opv.kohd.[[#This Row],[Yhteensä 7c]]-Opv.kohd.[[#This Row],[Työvoima-koulutus 7c]]</f>
        <v>0</v>
      </c>
      <c r="BG61" s="207">
        <f>IFERROR(VLOOKUP(Opv.kohd.[[#This Row],[Y-tunnus]],#REF!,COLUMN(#REF!),FALSE),0)</f>
        <v>0</v>
      </c>
      <c r="BH61" s="207">
        <f>IFERROR(VLOOKUP(Opv.kohd.[[#This Row],[Y-tunnus]],#REF!,COLUMN(#REF!),FALSE),0)</f>
        <v>0</v>
      </c>
      <c r="BI61" s="207">
        <f>IFERROR(VLOOKUP(Opv.kohd.[[#This Row],[Y-tunnus]],#REF!,COLUMN(#REF!),FALSE),0)</f>
        <v>0</v>
      </c>
      <c r="BJ61" s="207">
        <f>IFERROR(VLOOKUP(Opv.kohd.[[#This Row],[Y-tunnus]],#REF!,COLUMN(#REF!),FALSE),0)</f>
        <v>0</v>
      </c>
      <c r="BK61" s="207">
        <f>Opv.kohd.[[#This Row],[Muu kuin työvoima-koulutus 7d]]+Opv.kohd.[[#This Row],[Työvoima-koulutus 7d]]</f>
        <v>0</v>
      </c>
      <c r="BL61" s="207">
        <f>Opv.kohd.[[#This Row],[Muu kuin työvoima-koulutus 7c]]-Opv.kohd.[[#This Row],[Muu kuin työvoima-koulutus 7d]]</f>
        <v>0</v>
      </c>
      <c r="BM61" s="207">
        <f>Opv.kohd.[[#This Row],[Työvoima-koulutus 7c]]-Opv.kohd.[[#This Row],[Työvoima-koulutus 7d]]</f>
        <v>0</v>
      </c>
      <c r="BN61" s="207">
        <f>Opv.kohd.[[#This Row],[Yhteensä 7c]]-Opv.kohd.[[#This Row],[Yhteensä 7d]]</f>
        <v>0</v>
      </c>
      <c r="BO61" s="207">
        <f>Opv.kohd.[[#This Row],[Muu kuin työvoima-koulutus 7e]]-(Opv.kohd.[[#This Row],[Järjestämisluvan mukaiset 4]]+Opv.kohd.[[#This Row],[Kohdentamat-tomat 4]]+Opv.kohd.[[#This Row],[Maahan-muuttajien koulutus 4]]+Opv.kohd.[[#This Row],[Nuorisotyöt. väh. ja osaamistarp. vast., muu kuin työvoima-koulutus 4]])</f>
        <v>0</v>
      </c>
      <c r="BP61" s="207">
        <f>Opv.kohd.[[#This Row],[Työvoima-koulutus 7e]]-(Opv.kohd.[[#This Row],[Työvoima-koulutus 4]]+Opv.kohd.[[#This Row],[Nuorisotyöt. väh. ja osaamistarp. vast., työvoima-koulutus 4]])</f>
        <v>0</v>
      </c>
      <c r="BQ61" s="207">
        <f>Opv.kohd.[[#This Row],[Yhteensä 7e]]-Opv.kohd.[[#This Row],[Ensikertaisella suoritepäätöksellä jaetut tavoitteelliset opiskelijavuodet yhteensä 4]]</f>
        <v>0</v>
      </c>
      <c r="BR61" s="263">
        <v>1390</v>
      </c>
      <c r="BS61" s="263">
        <v>90</v>
      </c>
      <c r="BT61" s="263">
        <v>0</v>
      </c>
      <c r="BU61" s="263">
        <v>0</v>
      </c>
      <c r="BV61" s="263">
        <v>0</v>
      </c>
      <c r="BW61" s="263">
        <v>0</v>
      </c>
      <c r="BX61" s="263">
        <v>90</v>
      </c>
      <c r="BY61" s="263">
        <v>1480</v>
      </c>
      <c r="BZ61" s="207">
        <f t="shared" si="2"/>
        <v>1390</v>
      </c>
      <c r="CA61" s="207">
        <f t="shared" si="3"/>
        <v>90</v>
      </c>
      <c r="CB61" s="207">
        <f t="shared" si="4"/>
        <v>0</v>
      </c>
      <c r="CC61" s="207">
        <f t="shared" si="5"/>
        <v>0</v>
      </c>
      <c r="CD61" s="207">
        <f t="shared" si="6"/>
        <v>0</v>
      </c>
      <c r="CE61" s="207">
        <f t="shared" si="7"/>
        <v>0</v>
      </c>
      <c r="CF61" s="207">
        <f t="shared" si="8"/>
        <v>90</v>
      </c>
      <c r="CG61" s="207">
        <f t="shared" si="9"/>
        <v>1480</v>
      </c>
      <c r="CH61" s="207">
        <f>Opv.kohd.[[#This Row],[Tavoitteelliset opiskelijavuodet yhteensä 9]]-Opv.kohd.[[#This Row],[Työvoima-koulutus 9]]-Opv.kohd.[[#This Row],[Nuorisotyöt. väh. ja osaamistarp. vast., työvoima-koulutus 9]]-Opv.kohd.[[#This Row],[Muu kuin työvoima-koulutus 7e]]</f>
        <v>1480</v>
      </c>
      <c r="CI61" s="207">
        <f>(Opv.kohd.[[#This Row],[Työvoima-koulutus 9]]+Opv.kohd.[[#This Row],[Nuorisotyöt. väh. ja osaamistarp. vast., työvoima-koulutus 9]])-Opv.kohd.[[#This Row],[Työvoima-koulutus 7e]]</f>
        <v>0</v>
      </c>
      <c r="CJ61" s="207">
        <f>Opv.kohd.[[#This Row],[Tavoitteelliset opiskelijavuodet yhteensä 9]]-Opv.kohd.[[#This Row],[Yhteensä 7e]]</f>
        <v>1480</v>
      </c>
      <c r="CK61" s="207">
        <f>Opv.kohd.[[#This Row],[Järjestämisluvan mukaiset 4]]+Opv.kohd.[[#This Row],[Järjestämisluvan mukaiset 13]]</f>
        <v>0</v>
      </c>
      <c r="CL61" s="207">
        <f>Opv.kohd.[[#This Row],[Kohdentamat-tomat 4]]+Opv.kohd.[[#This Row],[Kohdentamat-tomat 13]]</f>
        <v>0</v>
      </c>
      <c r="CM61" s="207">
        <f>Opv.kohd.[[#This Row],[Työvoima-koulutus 4]]+Opv.kohd.[[#This Row],[Työvoima-koulutus 13]]</f>
        <v>0</v>
      </c>
      <c r="CN61" s="207">
        <f>Opv.kohd.[[#This Row],[Maahan-muuttajien koulutus 4]]+Opv.kohd.[[#This Row],[Maahan-muuttajien koulutus 13]]</f>
        <v>0</v>
      </c>
      <c r="CO61" s="207">
        <f>Opv.kohd.[[#This Row],[Nuorisotyöt. väh. ja osaamistarp. vast., muu kuin työvoima-koulutus 4]]+Opv.kohd.[[#This Row],[Nuorisotyöt. väh. ja osaamistarp. vast., muu kuin työvoima-koulutus 13]]</f>
        <v>0</v>
      </c>
      <c r="CP61" s="207">
        <f>Opv.kohd.[[#This Row],[Nuorisotyöt. väh. ja osaamistarp. vast., työvoima-koulutus 4]]+Opv.kohd.[[#This Row],[Nuorisotyöt. väh. ja osaamistarp. vast., työvoima-koulutus 13]]</f>
        <v>0</v>
      </c>
      <c r="CQ61" s="207">
        <f>Opv.kohd.[[#This Row],[Yhteensä 4]]+Opv.kohd.[[#This Row],[Yhteensä 13]]</f>
        <v>0</v>
      </c>
      <c r="CR61" s="207">
        <f>Opv.kohd.[[#This Row],[Ensikertaisella suoritepäätöksellä jaetut tavoitteelliset opiskelijavuodet yhteensä 4]]+Opv.kohd.[[#This Row],[Tavoitteelliset opiskelijavuodet yhteensä 13]]</f>
        <v>0</v>
      </c>
      <c r="CS61" s="120">
        <v>0</v>
      </c>
      <c r="CT61" s="120">
        <v>0</v>
      </c>
      <c r="CU61" s="120">
        <v>0</v>
      </c>
      <c r="CV61" s="120">
        <v>0</v>
      </c>
      <c r="CW61" s="120">
        <v>0</v>
      </c>
      <c r="CX61" s="120">
        <v>0</v>
      </c>
      <c r="CY61" s="120">
        <v>0</v>
      </c>
      <c r="CZ61" s="120">
        <v>0</v>
      </c>
      <c r="DA61" s="209">
        <f>IFERROR(Opv.kohd.[[#This Row],[Järjestämisluvan mukaiset 13]]/Opv.kohd.[[#This Row],[Järjestämisluvan mukaiset 12]],0)</f>
        <v>0</v>
      </c>
      <c r="DB61" s="209">
        <f>IFERROR(Opv.kohd.[[#This Row],[Kohdentamat-tomat 13]]/Opv.kohd.[[#This Row],[Kohdentamat-tomat 12]],0)</f>
        <v>0</v>
      </c>
      <c r="DC61" s="209">
        <f>IFERROR(Opv.kohd.[[#This Row],[Työvoima-koulutus 13]]/Opv.kohd.[[#This Row],[Työvoima-koulutus 12]],0)</f>
        <v>0</v>
      </c>
      <c r="DD61" s="209">
        <f>IFERROR(Opv.kohd.[[#This Row],[Maahan-muuttajien koulutus 13]]/Opv.kohd.[[#This Row],[Maahan-muuttajien koulutus 12]],0)</f>
        <v>0</v>
      </c>
      <c r="DE61" s="209">
        <f>IFERROR(Opv.kohd.[[#This Row],[Nuorisotyöt. väh. ja osaamistarp. vast., muu kuin työvoima-koulutus 13]]/Opv.kohd.[[#This Row],[Nuorisotyöt. väh. ja osaamistarp. vast., muu kuin työvoima-koulutus 12]],0)</f>
        <v>0</v>
      </c>
      <c r="DF61" s="209">
        <f>IFERROR(Opv.kohd.[[#This Row],[Nuorisotyöt. väh. ja osaamistarp. vast., työvoima-koulutus 13]]/Opv.kohd.[[#This Row],[Nuorisotyöt. väh. ja osaamistarp. vast., työvoima-koulutus 12]],0)</f>
        <v>0</v>
      </c>
      <c r="DG61" s="209">
        <f>IFERROR(Opv.kohd.[[#This Row],[Yhteensä 13]]/Opv.kohd.[[#This Row],[Yhteensä 12]],0)</f>
        <v>0</v>
      </c>
      <c r="DH61" s="209">
        <f>IFERROR(Opv.kohd.[[#This Row],[Tavoitteelliset opiskelijavuodet yhteensä 13]]/Opv.kohd.[[#This Row],[Tavoitteelliset opiskelijavuodet yhteensä 12]],0)</f>
        <v>0</v>
      </c>
      <c r="DI61" s="207">
        <f>Opv.kohd.[[#This Row],[Järjestämisluvan mukaiset 12]]-Opv.kohd.[[#This Row],[Järjestämisluvan mukaiset 9]]</f>
        <v>-1390</v>
      </c>
      <c r="DJ61" s="207">
        <f>Opv.kohd.[[#This Row],[Kohdentamat-tomat 12]]-Opv.kohd.[[#This Row],[Kohdentamat-tomat 9]]</f>
        <v>-90</v>
      </c>
      <c r="DK61" s="207">
        <f>Opv.kohd.[[#This Row],[Työvoima-koulutus 12]]-Opv.kohd.[[#This Row],[Työvoima-koulutus 9]]</f>
        <v>0</v>
      </c>
      <c r="DL61" s="207">
        <f>Opv.kohd.[[#This Row],[Maahan-muuttajien koulutus 12]]-Opv.kohd.[[#This Row],[Maahan-muuttajien koulutus 9]]</f>
        <v>0</v>
      </c>
      <c r="DM61" s="207">
        <f>Opv.kohd.[[#This Row],[Nuorisotyöt. väh. ja osaamistarp. vast., muu kuin työvoima-koulutus 12]]-Opv.kohd.[[#This Row],[Nuorisotyöt. väh. ja osaamistarp. vast., muu kuin työvoima-koulutus 9]]</f>
        <v>0</v>
      </c>
      <c r="DN61" s="207">
        <f>Opv.kohd.[[#This Row],[Nuorisotyöt. väh. ja osaamistarp. vast., työvoima-koulutus 12]]-Opv.kohd.[[#This Row],[Nuorisotyöt. väh. ja osaamistarp. vast., työvoima-koulutus 9]]</f>
        <v>0</v>
      </c>
      <c r="DO61" s="207">
        <f>Opv.kohd.[[#This Row],[Yhteensä 12]]-Opv.kohd.[[#This Row],[Yhteensä 9]]</f>
        <v>-90</v>
      </c>
      <c r="DP61" s="207">
        <f>Opv.kohd.[[#This Row],[Tavoitteelliset opiskelijavuodet yhteensä 12]]-Opv.kohd.[[#This Row],[Tavoitteelliset opiskelijavuodet yhteensä 9]]</f>
        <v>-1480</v>
      </c>
      <c r="DQ61" s="209">
        <f>IFERROR(Opv.kohd.[[#This Row],[Järjestämisluvan mukaiset 15]]/Opv.kohd.[[#This Row],[Järjestämisluvan mukaiset 9]],0)</f>
        <v>-1</v>
      </c>
      <c r="DR61" s="209">
        <f t="shared" si="10"/>
        <v>0</v>
      </c>
      <c r="DS61" s="209">
        <f t="shared" si="11"/>
        <v>0</v>
      </c>
      <c r="DT61" s="209">
        <f t="shared" si="12"/>
        <v>0</v>
      </c>
      <c r="DU61" s="209">
        <f t="shared" si="13"/>
        <v>0</v>
      </c>
      <c r="DV61" s="209">
        <f t="shared" si="14"/>
        <v>0</v>
      </c>
      <c r="DW61" s="209">
        <f t="shared" si="15"/>
        <v>0</v>
      </c>
      <c r="DX61" s="209">
        <f t="shared" si="16"/>
        <v>0</v>
      </c>
    </row>
    <row r="62" spans="1:128" x14ac:dyDescent="0.25">
      <c r="A62" s="204" t="e">
        <f>IF(INDEX(#REF!,ROW(62:62)-1,1)=0,"",INDEX(#REF!,ROW(62:62)-1,1))</f>
        <v>#REF!</v>
      </c>
      <c r="B62" s="205" t="str">
        <f>IFERROR(VLOOKUP(Opv.kohd.[[#This Row],[Y-tunnus]],'0 Järjestäjätiedot'!$A:$H,2,FALSE),"")</f>
        <v/>
      </c>
      <c r="C62" s="204" t="str">
        <f>IFERROR(VLOOKUP(Opv.kohd.[[#This Row],[Y-tunnus]],'0 Järjestäjätiedot'!$A:$H,COLUMN('0 Järjestäjätiedot'!D:D),FALSE),"")</f>
        <v/>
      </c>
      <c r="D62" s="204" t="str">
        <f>IFERROR(VLOOKUP(Opv.kohd.[[#This Row],[Y-tunnus]],'0 Järjestäjätiedot'!$A:$H,COLUMN('0 Järjestäjätiedot'!H:H),FALSE),"")</f>
        <v/>
      </c>
      <c r="E62" s="204">
        <f>IFERROR(VLOOKUP(Opv.kohd.[[#This Row],[Y-tunnus]],#REF!,COLUMN(#REF!),FALSE),0)</f>
        <v>0</v>
      </c>
      <c r="F62" s="204">
        <f>IFERROR(VLOOKUP(Opv.kohd.[[#This Row],[Y-tunnus]],#REF!,COLUMN(#REF!),FALSE),0)</f>
        <v>0</v>
      </c>
      <c r="G62" s="204">
        <f>IFERROR(VLOOKUP(Opv.kohd.[[#This Row],[Y-tunnus]],#REF!,COLUMN(#REF!),FALSE),0)</f>
        <v>0</v>
      </c>
      <c r="H62" s="204">
        <f>IFERROR(VLOOKUP(Opv.kohd.[[#This Row],[Y-tunnus]],#REF!,COLUMN(#REF!),FALSE),0)</f>
        <v>0</v>
      </c>
      <c r="I62" s="204">
        <f>IFERROR(VLOOKUP(Opv.kohd.[[#This Row],[Y-tunnus]],#REF!,COLUMN(#REF!),FALSE),0)</f>
        <v>0</v>
      </c>
      <c r="J62" s="204">
        <f>IFERROR(VLOOKUP(Opv.kohd.[[#This Row],[Y-tunnus]],#REF!,COLUMN(#REF!),FALSE),0)</f>
        <v>0</v>
      </c>
      <c r="K6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62" s="204">
        <f>Opv.kohd.[[#This Row],[Järjestämisluvan mukaiset 1]]+Opv.kohd.[[#This Row],[Yhteensä  1]]</f>
        <v>0</v>
      </c>
      <c r="M62" s="204">
        <f>IFERROR(VLOOKUP(Opv.kohd.[[#This Row],[Y-tunnus]],#REF!,COLUMN(#REF!),FALSE),0)</f>
        <v>0</v>
      </c>
      <c r="N62" s="204">
        <f>IFERROR(VLOOKUP(Opv.kohd.[[#This Row],[Y-tunnus]],#REF!,COLUMN(#REF!),FALSE),0)</f>
        <v>0</v>
      </c>
      <c r="O62" s="204">
        <f>IFERROR(VLOOKUP(Opv.kohd.[[#This Row],[Y-tunnus]],#REF!,COLUMN(#REF!),FALSE)+VLOOKUP(Opv.kohd.[[#This Row],[Y-tunnus]],#REF!,COLUMN(#REF!),FALSE),0)</f>
        <v>0</v>
      </c>
      <c r="P62" s="204">
        <f>Opv.kohd.[[#This Row],[Talousarvion perusteella kohdentamattomat]]+Opv.kohd.[[#This Row],[Talousarvion perusteella työvoimakoulutus 1]]+Opv.kohd.[[#This Row],[Lisätalousarvioiden perusteella]]</f>
        <v>0</v>
      </c>
      <c r="Q62" s="204">
        <f>IFERROR(VLOOKUP(Opv.kohd.[[#This Row],[Y-tunnus]],#REF!,COLUMN(#REF!),FALSE),0)</f>
        <v>0</v>
      </c>
      <c r="R62" s="210">
        <f>IFERROR(VLOOKUP(Opv.kohd.[[#This Row],[Y-tunnus]],#REF!,COLUMN(#REF!),FALSE)-(Opv.kohd.[[#This Row],[Kohdentamaton työvoima-koulutus 2]]+Opv.kohd.[[#This Row],[Maahan-muuttajien koulutus 2]]+Opv.kohd.[[#This Row],[Lisätalousarvioiden perusteella jaetut 2]]),0)</f>
        <v>0</v>
      </c>
      <c r="S62" s="210">
        <f>IFERROR(VLOOKUP(Opv.kohd.[[#This Row],[Y-tunnus]],#REF!,COLUMN(#REF!),FALSE)+VLOOKUP(Opv.kohd.[[#This Row],[Y-tunnus]],#REF!,COLUMN(#REF!),FALSE),0)</f>
        <v>0</v>
      </c>
      <c r="T62" s="210">
        <f>IFERROR(VLOOKUP(Opv.kohd.[[#This Row],[Y-tunnus]],#REF!,COLUMN(#REF!),FALSE)+VLOOKUP(Opv.kohd.[[#This Row],[Y-tunnus]],#REF!,COLUMN(#REF!),FALSE),0)</f>
        <v>0</v>
      </c>
      <c r="U6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62" s="210">
        <f>Opv.kohd.[[#This Row],[Kohdentamat-tomat 2]]+Opv.kohd.[[#This Row],[Kohdentamaton työvoima-koulutus 2]]+Opv.kohd.[[#This Row],[Maahan-muuttajien koulutus 2]]+Opv.kohd.[[#This Row],[Lisätalousarvioiden perusteella jaetut 2]]</f>
        <v>0</v>
      </c>
      <c r="W62" s="210">
        <f>Opv.kohd.[[#This Row],[Kohdentamat-tomat 2]]-(Opv.kohd.[[#This Row],[Järjestämisluvan mukaiset 1]]+Opv.kohd.[[#This Row],[Kohdentamat-tomat 1]]+Opv.kohd.[[#This Row],[Nuorisotyöt. väh. ja osaamistarp. vast., muu kuin työvoima-koulutus 1]]+Opv.kohd.[[#This Row],[Talousarvion perusteella kohdentamattomat]])</f>
        <v>0</v>
      </c>
      <c r="X62" s="210">
        <f>Opv.kohd.[[#This Row],[Kohdentamaton työvoima-koulutus 2]]-(Opv.kohd.[[#This Row],[Työvoima-koulutus 1]]+Opv.kohd.[[#This Row],[Nuorisotyöt. väh. ja osaamistarp. vast., työvoima-koulutus 1]]+Opv.kohd.[[#This Row],[Talousarvion perusteella työvoimakoulutus 1]])</f>
        <v>0</v>
      </c>
      <c r="Y62" s="210">
        <f>Opv.kohd.[[#This Row],[Maahan-muuttajien koulutus 2]]-Opv.kohd.[[#This Row],[Maahan-muuttajien koulutus 1]]</f>
        <v>0</v>
      </c>
      <c r="Z62" s="210">
        <f>Opv.kohd.[[#This Row],[Lisätalousarvioiden perusteella jaetut 2]]-Opv.kohd.[[#This Row],[Lisätalousarvioiden perusteella]]</f>
        <v>0</v>
      </c>
      <c r="AA62" s="210">
        <f>Opv.kohd.[[#This Row],[Toteutuneet opiskelijavuodet yhteensä 2]]-Opv.kohd.[[#This Row],[Vuoden 2018 tavoitteelliset opiskelijavuodet yhteensä 1]]</f>
        <v>0</v>
      </c>
      <c r="AB62" s="207">
        <f>IFERROR(VLOOKUP(Opv.kohd.[[#This Row],[Y-tunnus]],#REF!,3,FALSE),0)</f>
        <v>0</v>
      </c>
      <c r="AC62" s="207">
        <f>IFERROR(VLOOKUP(Opv.kohd.[[#This Row],[Y-tunnus]],#REF!,4,FALSE),0)</f>
        <v>0</v>
      </c>
      <c r="AD62" s="207">
        <f>IFERROR(VLOOKUP(Opv.kohd.[[#This Row],[Y-tunnus]],#REF!,5,FALSE),0)</f>
        <v>0</v>
      </c>
      <c r="AE62" s="207">
        <f>IFERROR(VLOOKUP(Opv.kohd.[[#This Row],[Y-tunnus]],#REF!,6,FALSE),0)</f>
        <v>0</v>
      </c>
      <c r="AF62" s="207">
        <f>IFERROR(VLOOKUP(Opv.kohd.[[#This Row],[Y-tunnus]],#REF!,7,FALSE),0)</f>
        <v>0</v>
      </c>
      <c r="AG62" s="207">
        <f>IFERROR(VLOOKUP(Opv.kohd.[[#This Row],[Y-tunnus]],#REF!,8,FALSE),0)</f>
        <v>0</v>
      </c>
      <c r="AH62" s="207">
        <f>IFERROR(VLOOKUP(Opv.kohd.[[#This Row],[Y-tunnus]],#REF!,9,FALSE),0)</f>
        <v>0</v>
      </c>
      <c r="AI62" s="207">
        <f>IFERROR(VLOOKUP(Opv.kohd.[[#This Row],[Y-tunnus]],#REF!,10,FALSE),0)</f>
        <v>0</v>
      </c>
      <c r="AJ62" s="204">
        <f>Opv.kohd.[[#This Row],[Järjestämisluvan mukaiset 4]]-Opv.kohd.[[#This Row],[Järjestämisluvan mukaiset 1]]</f>
        <v>0</v>
      </c>
      <c r="AK62" s="204">
        <f>Opv.kohd.[[#This Row],[Kohdentamat-tomat 4]]-Opv.kohd.[[#This Row],[Kohdentamat-tomat 1]]</f>
        <v>0</v>
      </c>
      <c r="AL62" s="204">
        <f>Opv.kohd.[[#This Row],[Työvoima-koulutus 4]]-Opv.kohd.[[#This Row],[Työvoima-koulutus 1]]</f>
        <v>0</v>
      </c>
      <c r="AM62" s="204">
        <f>Opv.kohd.[[#This Row],[Maahan-muuttajien koulutus 4]]-Opv.kohd.[[#This Row],[Maahan-muuttajien koulutus 1]]</f>
        <v>0</v>
      </c>
      <c r="AN62" s="204">
        <f>Opv.kohd.[[#This Row],[Nuorisotyöt. väh. ja osaamistarp. vast., muu kuin työvoima-koulutus 4]]-Opv.kohd.[[#This Row],[Nuorisotyöt. väh. ja osaamistarp. vast., muu kuin työvoima-koulutus 1]]</f>
        <v>0</v>
      </c>
      <c r="AO62" s="204">
        <f>Opv.kohd.[[#This Row],[Nuorisotyöt. väh. ja osaamistarp. vast., työvoima-koulutus 4]]-Opv.kohd.[[#This Row],[Nuorisotyöt. väh. ja osaamistarp. vast., työvoima-koulutus 1]]</f>
        <v>0</v>
      </c>
      <c r="AP62" s="204">
        <f>Opv.kohd.[[#This Row],[Yhteensä 4]]-Opv.kohd.[[#This Row],[Yhteensä  1]]</f>
        <v>0</v>
      </c>
      <c r="AQ62" s="204">
        <f>Opv.kohd.[[#This Row],[Ensikertaisella suoritepäätöksellä jaetut tavoitteelliset opiskelijavuodet yhteensä 4]]-Opv.kohd.[[#This Row],[Ensikertaisella suoritepäätöksellä jaetut tavoitteelliset opiskelijavuodet yhteensä 1]]</f>
        <v>0</v>
      </c>
      <c r="AR62" s="208">
        <f>IFERROR(Opv.kohd.[[#This Row],[Järjestämisluvan mukaiset 5]]/Opv.kohd.[[#This Row],[Järjestämisluvan mukaiset 4]],0)</f>
        <v>0</v>
      </c>
      <c r="AS62" s="208">
        <f>IFERROR(Opv.kohd.[[#This Row],[Kohdentamat-tomat 5]]/Opv.kohd.[[#This Row],[Kohdentamat-tomat 4]],0)</f>
        <v>0</v>
      </c>
      <c r="AT62" s="208">
        <f>IFERROR(Opv.kohd.[[#This Row],[Työvoima-koulutus 5]]/Opv.kohd.[[#This Row],[Työvoima-koulutus 4]],0)</f>
        <v>0</v>
      </c>
      <c r="AU62" s="208">
        <f>IFERROR(Opv.kohd.[[#This Row],[Maahan-muuttajien koulutus 5]]/Opv.kohd.[[#This Row],[Maahan-muuttajien koulutus 4]],0)</f>
        <v>0</v>
      </c>
      <c r="AV62" s="208">
        <f>IFERROR(Opv.kohd.[[#This Row],[Nuorisotyöt. väh. ja osaamistarp. vast., muu kuin työvoima-koulutus 5]]/Opv.kohd.[[#This Row],[Nuorisotyöt. väh. ja osaamistarp. vast., muu kuin työvoima-koulutus 4]],0)</f>
        <v>0</v>
      </c>
      <c r="AW62" s="208">
        <f>IFERROR(Opv.kohd.[[#This Row],[Nuorisotyöt. väh. ja osaamistarp. vast., työvoima-koulutus 5]]/Opv.kohd.[[#This Row],[Nuorisotyöt. väh. ja osaamistarp. vast., työvoima-koulutus 4]],0)</f>
        <v>0</v>
      </c>
      <c r="AX62" s="208">
        <f>IFERROR(Opv.kohd.[[#This Row],[Yhteensä 5]]/Opv.kohd.[[#This Row],[Yhteensä 4]],0)</f>
        <v>0</v>
      </c>
      <c r="AY62" s="208">
        <f>IFERROR(Opv.kohd.[[#This Row],[Ensikertaisella suoritepäätöksellä jaetut tavoitteelliset opiskelijavuodet yhteensä 5]]/Opv.kohd.[[#This Row],[Ensikertaisella suoritepäätöksellä jaetut tavoitteelliset opiskelijavuodet yhteensä 4]],0)</f>
        <v>0</v>
      </c>
      <c r="AZ62" s="207">
        <f>Opv.kohd.[[#This Row],[Yhteensä 7a]]-Opv.kohd.[[#This Row],[Työvoima-koulutus 7a]]</f>
        <v>0</v>
      </c>
      <c r="BA62" s="207">
        <f>IFERROR(VLOOKUP(Opv.kohd.[[#This Row],[Y-tunnus]],#REF!,COLUMN(#REF!),FALSE),0)</f>
        <v>0</v>
      </c>
      <c r="BB62" s="207">
        <f>IFERROR(VLOOKUP(Opv.kohd.[[#This Row],[Y-tunnus]],#REF!,COLUMN(#REF!),FALSE),0)</f>
        <v>0</v>
      </c>
      <c r="BC62" s="207">
        <f>Opv.kohd.[[#This Row],[Muu kuin työvoima-koulutus 7c]]-Opv.kohd.[[#This Row],[Muu kuin työvoima-koulutus 7a]]</f>
        <v>0</v>
      </c>
      <c r="BD62" s="207">
        <f>Opv.kohd.[[#This Row],[Työvoima-koulutus 7c]]-Opv.kohd.[[#This Row],[Työvoima-koulutus 7a]]</f>
        <v>0</v>
      </c>
      <c r="BE62" s="207">
        <f>Opv.kohd.[[#This Row],[Yhteensä 7c]]-Opv.kohd.[[#This Row],[Yhteensä 7a]]</f>
        <v>0</v>
      </c>
      <c r="BF62" s="207">
        <f>Opv.kohd.[[#This Row],[Yhteensä 7c]]-Opv.kohd.[[#This Row],[Työvoima-koulutus 7c]]</f>
        <v>0</v>
      </c>
      <c r="BG62" s="207">
        <f>IFERROR(VLOOKUP(Opv.kohd.[[#This Row],[Y-tunnus]],#REF!,COLUMN(#REF!),FALSE),0)</f>
        <v>0</v>
      </c>
      <c r="BH62" s="207">
        <f>IFERROR(VLOOKUP(Opv.kohd.[[#This Row],[Y-tunnus]],#REF!,COLUMN(#REF!),FALSE),0)</f>
        <v>0</v>
      </c>
      <c r="BI62" s="207">
        <f>IFERROR(VLOOKUP(Opv.kohd.[[#This Row],[Y-tunnus]],#REF!,COLUMN(#REF!),FALSE),0)</f>
        <v>0</v>
      </c>
      <c r="BJ62" s="207">
        <f>IFERROR(VLOOKUP(Opv.kohd.[[#This Row],[Y-tunnus]],#REF!,COLUMN(#REF!),FALSE),0)</f>
        <v>0</v>
      </c>
      <c r="BK62" s="207">
        <f>Opv.kohd.[[#This Row],[Muu kuin työvoima-koulutus 7d]]+Opv.kohd.[[#This Row],[Työvoima-koulutus 7d]]</f>
        <v>0</v>
      </c>
      <c r="BL62" s="207">
        <f>Opv.kohd.[[#This Row],[Muu kuin työvoima-koulutus 7c]]-Opv.kohd.[[#This Row],[Muu kuin työvoima-koulutus 7d]]</f>
        <v>0</v>
      </c>
      <c r="BM62" s="207">
        <f>Opv.kohd.[[#This Row],[Työvoima-koulutus 7c]]-Opv.kohd.[[#This Row],[Työvoima-koulutus 7d]]</f>
        <v>0</v>
      </c>
      <c r="BN62" s="207">
        <f>Opv.kohd.[[#This Row],[Yhteensä 7c]]-Opv.kohd.[[#This Row],[Yhteensä 7d]]</f>
        <v>0</v>
      </c>
      <c r="BO62" s="207">
        <f>Opv.kohd.[[#This Row],[Muu kuin työvoima-koulutus 7e]]-(Opv.kohd.[[#This Row],[Järjestämisluvan mukaiset 4]]+Opv.kohd.[[#This Row],[Kohdentamat-tomat 4]]+Opv.kohd.[[#This Row],[Maahan-muuttajien koulutus 4]]+Opv.kohd.[[#This Row],[Nuorisotyöt. väh. ja osaamistarp. vast., muu kuin työvoima-koulutus 4]])</f>
        <v>0</v>
      </c>
      <c r="BP62" s="207">
        <f>Opv.kohd.[[#This Row],[Työvoima-koulutus 7e]]-(Opv.kohd.[[#This Row],[Työvoima-koulutus 4]]+Opv.kohd.[[#This Row],[Nuorisotyöt. väh. ja osaamistarp. vast., työvoima-koulutus 4]])</f>
        <v>0</v>
      </c>
      <c r="BQ62" s="207">
        <f>Opv.kohd.[[#This Row],[Yhteensä 7e]]-Opv.kohd.[[#This Row],[Ensikertaisella suoritepäätöksellä jaetut tavoitteelliset opiskelijavuodet yhteensä 4]]</f>
        <v>0</v>
      </c>
      <c r="BR62" s="263">
        <v>105</v>
      </c>
      <c r="BS62" s="263">
        <v>30</v>
      </c>
      <c r="BT62" s="263">
        <v>0</v>
      </c>
      <c r="BU62" s="263">
        <v>0</v>
      </c>
      <c r="BV62" s="263">
        <v>0</v>
      </c>
      <c r="BW62" s="263">
        <v>0</v>
      </c>
      <c r="BX62" s="263">
        <v>30</v>
      </c>
      <c r="BY62" s="263">
        <v>135</v>
      </c>
      <c r="BZ62" s="207">
        <f t="shared" si="2"/>
        <v>105</v>
      </c>
      <c r="CA62" s="207">
        <f t="shared" si="3"/>
        <v>30</v>
      </c>
      <c r="CB62" s="207">
        <f t="shared" si="4"/>
        <v>0</v>
      </c>
      <c r="CC62" s="207">
        <f t="shared" si="5"/>
        <v>0</v>
      </c>
      <c r="CD62" s="207">
        <f t="shared" si="6"/>
        <v>0</v>
      </c>
      <c r="CE62" s="207">
        <f t="shared" si="7"/>
        <v>0</v>
      </c>
      <c r="CF62" s="207">
        <f t="shared" si="8"/>
        <v>30</v>
      </c>
      <c r="CG62" s="207">
        <f t="shared" si="9"/>
        <v>135</v>
      </c>
      <c r="CH62" s="207">
        <f>Opv.kohd.[[#This Row],[Tavoitteelliset opiskelijavuodet yhteensä 9]]-Opv.kohd.[[#This Row],[Työvoima-koulutus 9]]-Opv.kohd.[[#This Row],[Nuorisotyöt. väh. ja osaamistarp. vast., työvoima-koulutus 9]]-Opv.kohd.[[#This Row],[Muu kuin työvoima-koulutus 7e]]</f>
        <v>135</v>
      </c>
      <c r="CI62" s="207">
        <f>(Opv.kohd.[[#This Row],[Työvoima-koulutus 9]]+Opv.kohd.[[#This Row],[Nuorisotyöt. väh. ja osaamistarp. vast., työvoima-koulutus 9]])-Opv.kohd.[[#This Row],[Työvoima-koulutus 7e]]</f>
        <v>0</v>
      </c>
      <c r="CJ62" s="207">
        <f>Opv.kohd.[[#This Row],[Tavoitteelliset opiskelijavuodet yhteensä 9]]-Opv.kohd.[[#This Row],[Yhteensä 7e]]</f>
        <v>135</v>
      </c>
      <c r="CK62" s="207">
        <f>Opv.kohd.[[#This Row],[Järjestämisluvan mukaiset 4]]+Opv.kohd.[[#This Row],[Järjestämisluvan mukaiset 13]]</f>
        <v>0</v>
      </c>
      <c r="CL62" s="207">
        <f>Opv.kohd.[[#This Row],[Kohdentamat-tomat 4]]+Opv.kohd.[[#This Row],[Kohdentamat-tomat 13]]</f>
        <v>0</v>
      </c>
      <c r="CM62" s="207">
        <f>Opv.kohd.[[#This Row],[Työvoima-koulutus 4]]+Opv.kohd.[[#This Row],[Työvoima-koulutus 13]]</f>
        <v>0</v>
      </c>
      <c r="CN62" s="207">
        <f>Opv.kohd.[[#This Row],[Maahan-muuttajien koulutus 4]]+Opv.kohd.[[#This Row],[Maahan-muuttajien koulutus 13]]</f>
        <v>0</v>
      </c>
      <c r="CO62" s="207">
        <f>Opv.kohd.[[#This Row],[Nuorisotyöt. väh. ja osaamistarp. vast., muu kuin työvoima-koulutus 4]]+Opv.kohd.[[#This Row],[Nuorisotyöt. väh. ja osaamistarp. vast., muu kuin työvoima-koulutus 13]]</f>
        <v>0</v>
      </c>
      <c r="CP62" s="207">
        <f>Opv.kohd.[[#This Row],[Nuorisotyöt. väh. ja osaamistarp. vast., työvoima-koulutus 4]]+Opv.kohd.[[#This Row],[Nuorisotyöt. väh. ja osaamistarp. vast., työvoima-koulutus 13]]</f>
        <v>0</v>
      </c>
      <c r="CQ62" s="207">
        <f>Opv.kohd.[[#This Row],[Yhteensä 4]]+Opv.kohd.[[#This Row],[Yhteensä 13]]</f>
        <v>0</v>
      </c>
      <c r="CR62" s="207">
        <f>Opv.kohd.[[#This Row],[Ensikertaisella suoritepäätöksellä jaetut tavoitteelliset opiskelijavuodet yhteensä 4]]+Opv.kohd.[[#This Row],[Tavoitteelliset opiskelijavuodet yhteensä 13]]</f>
        <v>0</v>
      </c>
      <c r="CS62" s="120">
        <v>0</v>
      </c>
      <c r="CT62" s="120">
        <v>0</v>
      </c>
      <c r="CU62" s="120">
        <v>0</v>
      </c>
      <c r="CV62" s="120">
        <v>0</v>
      </c>
      <c r="CW62" s="120">
        <v>0</v>
      </c>
      <c r="CX62" s="120">
        <v>0</v>
      </c>
      <c r="CY62" s="120">
        <v>0</v>
      </c>
      <c r="CZ62" s="120">
        <v>0</v>
      </c>
      <c r="DA62" s="209">
        <f>IFERROR(Opv.kohd.[[#This Row],[Järjestämisluvan mukaiset 13]]/Opv.kohd.[[#This Row],[Järjestämisluvan mukaiset 12]],0)</f>
        <v>0</v>
      </c>
      <c r="DB62" s="209">
        <f>IFERROR(Opv.kohd.[[#This Row],[Kohdentamat-tomat 13]]/Opv.kohd.[[#This Row],[Kohdentamat-tomat 12]],0)</f>
        <v>0</v>
      </c>
      <c r="DC62" s="209">
        <f>IFERROR(Opv.kohd.[[#This Row],[Työvoima-koulutus 13]]/Opv.kohd.[[#This Row],[Työvoima-koulutus 12]],0)</f>
        <v>0</v>
      </c>
      <c r="DD62" s="209">
        <f>IFERROR(Opv.kohd.[[#This Row],[Maahan-muuttajien koulutus 13]]/Opv.kohd.[[#This Row],[Maahan-muuttajien koulutus 12]],0)</f>
        <v>0</v>
      </c>
      <c r="DE62" s="209">
        <f>IFERROR(Opv.kohd.[[#This Row],[Nuorisotyöt. väh. ja osaamistarp. vast., muu kuin työvoima-koulutus 13]]/Opv.kohd.[[#This Row],[Nuorisotyöt. väh. ja osaamistarp. vast., muu kuin työvoima-koulutus 12]],0)</f>
        <v>0</v>
      </c>
      <c r="DF62" s="209">
        <f>IFERROR(Opv.kohd.[[#This Row],[Nuorisotyöt. väh. ja osaamistarp. vast., työvoima-koulutus 13]]/Opv.kohd.[[#This Row],[Nuorisotyöt. väh. ja osaamistarp. vast., työvoima-koulutus 12]],0)</f>
        <v>0</v>
      </c>
      <c r="DG62" s="209">
        <f>IFERROR(Opv.kohd.[[#This Row],[Yhteensä 13]]/Opv.kohd.[[#This Row],[Yhteensä 12]],0)</f>
        <v>0</v>
      </c>
      <c r="DH62" s="209">
        <f>IFERROR(Opv.kohd.[[#This Row],[Tavoitteelliset opiskelijavuodet yhteensä 13]]/Opv.kohd.[[#This Row],[Tavoitteelliset opiskelijavuodet yhteensä 12]],0)</f>
        <v>0</v>
      </c>
      <c r="DI62" s="207">
        <f>Opv.kohd.[[#This Row],[Järjestämisluvan mukaiset 12]]-Opv.kohd.[[#This Row],[Järjestämisluvan mukaiset 9]]</f>
        <v>-105</v>
      </c>
      <c r="DJ62" s="207">
        <f>Opv.kohd.[[#This Row],[Kohdentamat-tomat 12]]-Opv.kohd.[[#This Row],[Kohdentamat-tomat 9]]</f>
        <v>-30</v>
      </c>
      <c r="DK62" s="207">
        <f>Opv.kohd.[[#This Row],[Työvoima-koulutus 12]]-Opv.kohd.[[#This Row],[Työvoima-koulutus 9]]</f>
        <v>0</v>
      </c>
      <c r="DL62" s="207">
        <f>Opv.kohd.[[#This Row],[Maahan-muuttajien koulutus 12]]-Opv.kohd.[[#This Row],[Maahan-muuttajien koulutus 9]]</f>
        <v>0</v>
      </c>
      <c r="DM62" s="207">
        <f>Opv.kohd.[[#This Row],[Nuorisotyöt. väh. ja osaamistarp. vast., muu kuin työvoima-koulutus 12]]-Opv.kohd.[[#This Row],[Nuorisotyöt. väh. ja osaamistarp. vast., muu kuin työvoima-koulutus 9]]</f>
        <v>0</v>
      </c>
      <c r="DN62" s="207">
        <f>Opv.kohd.[[#This Row],[Nuorisotyöt. väh. ja osaamistarp. vast., työvoima-koulutus 12]]-Opv.kohd.[[#This Row],[Nuorisotyöt. väh. ja osaamistarp. vast., työvoima-koulutus 9]]</f>
        <v>0</v>
      </c>
      <c r="DO62" s="207">
        <f>Opv.kohd.[[#This Row],[Yhteensä 12]]-Opv.kohd.[[#This Row],[Yhteensä 9]]</f>
        <v>-30</v>
      </c>
      <c r="DP62" s="207">
        <f>Opv.kohd.[[#This Row],[Tavoitteelliset opiskelijavuodet yhteensä 12]]-Opv.kohd.[[#This Row],[Tavoitteelliset opiskelijavuodet yhteensä 9]]</f>
        <v>-135</v>
      </c>
      <c r="DQ62" s="209">
        <f>IFERROR(Opv.kohd.[[#This Row],[Järjestämisluvan mukaiset 15]]/Opv.kohd.[[#This Row],[Järjestämisluvan mukaiset 9]],0)</f>
        <v>-1</v>
      </c>
      <c r="DR62" s="209">
        <f t="shared" si="10"/>
        <v>0</v>
      </c>
      <c r="DS62" s="209">
        <f t="shared" si="11"/>
        <v>0</v>
      </c>
      <c r="DT62" s="209">
        <f t="shared" si="12"/>
        <v>0</v>
      </c>
      <c r="DU62" s="209">
        <f t="shared" si="13"/>
        <v>0</v>
      </c>
      <c r="DV62" s="209">
        <f t="shared" si="14"/>
        <v>0</v>
      </c>
      <c r="DW62" s="209">
        <f t="shared" si="15"/>
        <v>0</v>
      </c>
      <c r="DX62" s="209">
        <f t="shared" si="16"/>
        <v>0</v>
      </c>
    </row>
    <row r="63" spans="1:128" x14ac:dyDescent="0.25">
      <c r="A63" s="204" t="e">
        <f>IF(INDEX(#REF!,ROW(63:63)-1,1)=0,"",INDEX(#REF!,ROW(63:63)-1,1))</f>
        <v>#REF!</v>
      </c>
      <c r="B63" s="205" t="str">
        <f>IFERROR(VLOOKUP(Opv.kohd.[[#This Row],[Y-tunnus]],'0 Järjestäjätiedot'!$A:$H,2,FALSE),"")</f>
        <v/>
      </c>
      <c r="C63" s="204" t="str">
        <f>IFERROR(VLOOKUP(Opv.kohd.[[#This Row],[Y-tunnus]],'0 Järjestäjätiedot'!$A:$H,COLUMN('0 Järjestäjätiedot'!D:D),FALSE),"")</f>
        <v/>
      </c>
      <c r="D63" s="204" t="str">
        <f>IFERROR(VLOOKUP(Opv.kohd.[[#This Row],[Y-tunnus]],'0 Järjestäjätiedot'!$A:$H,COLUMN('0 Järjestäjätiedot'!H:H),FALSE),"")</f>
        <v/>
      </c>
      <c r="E63" s="204">
        <f>IFERROR(VLOOKUP(Opv.kohd.[[#This Row],[Y-tunnus]],#REF!,COLUMN(#REF!),FALSE),0)</f>
        <v>0</v>
      </c>
      <c r="F63" s="204">
        <f>IFERROR(VLOOKUP(Opv.kohd.[[#This Row],[Y-tunnus]],#REF!,COLUMN(#REF!),FALSE),0)</f>
        <v>0</v>
      </c>
      <c r="G63" s="204">
        <f>IFERROR(VLOOKUP(Opv.kohd.[[#This Row],[Y-tunnus]],#REF!,COLUMN(#REF!),FALSE),0)</f>
        <v>0</v>
      </c>
      <c r="H63" s="204">
        <f>IFERROR(VLOOKUP(Opv.kohd.[[#This Row],[Y-tunnus]],#REF!,COLUMN(#REF!),FALSE),0)</f>
        <v>0</v>
      </c>
      <c r="I63" s="204">
        <f>IFERROR(VLOOKUP(Opv.kohd.[[#This Row],[Y-tunnus]],#REF!,COLUMN(#REF!),FALSE),0)</f>
        <v>0</v>
      </c>
      <c r="J63" s="204">
        <f>IFERROR(VLOOKUP(Opv.kohd.[[#This Row],[Y-tunnus]],#REF!,COLUMN(#REF!),FALSE),0)</f>
        <v>0</v>
      </c>
      <c r="K6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63" s="204">
        <f>Opv.kohd.[[#This Row],[Järjestämisluvan mukaiset 1]]+Opv.kohd.[[#This Row],[Yhteensä  1]]</f>
        <v>0</v>
      </c>
      <c r="M63" s="204">
        <f>IFERROR(VLOOKUP(Opv.kohd.[[#This Row],[Y-tunnus]],#REF!,COLUMN(#REF!),FALSE),0)</f>
        <v>0</v>
      </c>
      <c r="N63" s="204">
        <f>IFERROR(VLOOKUP(Opv.kohd.[[#This Row],[Y-tunnus]],#REF!,COLUMN(#REF!),FALSE),0)</f>
        <v>0</v>
      </c>
      <c r="O63" s="204">
        <f>IFERROR(VLOOKUP(Opv.kohd.[[#This Row],[Y-tunnus]],#REF!,COLUMN(#REF!),FALSE)+VLOOKUP(Opv.kohd.[[#This Row],[Y-tunnus]],#REF!,COLUMN(#REF!),FALSE),0)</f>
        <v>0</v>
      </c>
      <c r="P63" s="204">
        <f>Opv.kohd.[[#This Row],[Talousarvion perusteella kohdentamattomat]]+Opv.kohd.[[#This Row],[Talousarvion perusteella työvoimakoulutus 1]]+Opv.kohd.[[#This Row],[Lisätalousarvioiden perusteella]]</f>
        <v>0</v>
      </c>
      <c r="Q63" s="204">
        <f>IFERROR(VLOOKUP(Opv.kohd.[[#This Row],[Y-tunnus]],#REF!,COLUMN(#REF!),FALSE),0)</f>
        <v>0</v>
      </c>
      <c r="R63" s="210">
        <f>IFERROR(VLOOKUP(Opv.kohd.[[#This Row],[Y-tunnus]],#REF!,COLUMN(#REF!),FALSE)-(Opv.kohd.[[#This Row],[Kohdentamaton työvoima-koulutus 2]]+Opv.kohd.[[#This Row],[Maahan-muuttajien koulutus 2]]+Opv.kohd.[[#This Row],[Lisätalousarvioiden perusteella jaetut 2]]),0)</f>
        <v>0</v>
      </c>
      <c r="S63" s="210">
        <f>IFERROR(VLOOKUP(Opv.kohd.[[#This Row],[Y-tunnus]],#REF!,COLUMN(#REF!),FALSE)+VLOOKUP(Opv.kohd.[[#This Row],[Y-tunnus]],#REF!,COLUMN(#REF!),FALSE),0)</f>
        <v>0</v>
      </c>
      <c r="T63" s="210">
        <f>IFERROR(VLOOKUP(Opv.kohd.[[#This Row],[Y-tunnus]],#REF!,COLUMN(#REF!),FALSE)+VLOOKUP(Opv.kohd.[[#This Row],[Y-tunnus]],#REF!,COLUMN(#REF!),FALSE),0)</f>
        <v>0</v>
      </c>
      <c r="U6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63" s="210">
        <f>Opv.kohd.[[#This Row],[Kohdentamat-tomat 2]]+Opv.kohd.[[#This Row],[Kohdentamaton työvoima-koulutus 2]]+Opv.kohd.[[#This Row],[Maahan-muuttajien koulutus 2]]+Opv.kohd.[[#This Row],[Lisätalousarvioiden perusteella jaetut 2]]</f>
        <v>0</v>
      </c>
      <c r="W63" s="210">
        <f>Opv.kohd.[[#This Row],[Kohdentamat-tomat 2]]-(Opv.kohd.[[#This Row],[Järjestämisluvan mukaiset 1]]+Opv.kohd.[[#This Row],[Kohdentamat-tomat 1]]+Opv.kohd.[[#This Row],[Nuorisotyöt. väh. ja osaamistarp. vast., muu kuin työvoima-koulutus 1]]+Opv.kohd.[[#This Row],[Talousarvion perusteella kohdentamattomat]])</f>
        <v>0</v>
      </c>
      <c r="X63" s="210">
        <f>Opv.kohd.[[#This Row],[Kohdentamaton työvoima-koulutus 2]]-(Opv.kohd.[[#This Row],[Työvoima-koulutus 1]]+Opv.kohd.[[#This Row],[Nuorisotyöt. väh. ja osaamistarp. vast., työvoima-koulutus 1]]+Opv.kohd.[[#This Row],[Talousarvion perusteella työvoimakoulutus 1]])</f>
        <v>0</v>
      </c>
      <c r="Y63" s="210">
        <f>Opv.kohd.[[#This Row],[Maahan-muuttajien koulutus 2]]-Opv.kohd.[[#This Row],[Maahan-muuttajien koulutus 1]]</f>
        <v>0</v>
      </c>
      <c r="Z63" s="210">
        <f>Opv.kohd.[[#This Row],[Lisätalousarvioiden perusteella jaetut 2]]-Opv.kohd.[[#This Row],[Lisätalousarvioiden perusteella]]</f>
        <v>0</v>
      </c>
      <c r="AA63" s="210">
        <f>Opv.kohd.[[#This Row],[Toteutuneet opiskelijavuodet yhteensä 2]]-Opv.kohd.[[#This Row],[Vuoden 2018 tavoitteelliset opiskelijavuodet yhteensä 1]]</f>
        <v>0</v>
      </c>
      <c r="AB63" s="207">
        <f>IFERROR(VLOOKUP(Opv.kohd.[[#This Row],[Y-tunnus]],#REF!,3,FALSE),0)</f>
        <v>0</v>
      </c>
      <c r="AC63" s="207">
        <f>IFERROR(VLOOKUP(Opv.kohd.[[#This Row],[Y-tunnus]],#REF!,4,FALSE),0)</f>
        <v>0</v>
      </c>
      <c r="AD63" s="207">
        <f>IFERROR(VLOOKUP(Opv.kohd.[[#This Row],[Y-tunnus]],#REF!,5,FALSE),0)</f>
        <v>0</v>
      </c>
      <c r="AE63" s="207">
        <f>IFERROR(VLOOKUP(Opv.kohd.[[#This Row],[Y-tunnus]],#REF!,6,FALSE),0)</f>
        <v>0</v>
      </c>
      <c r="AF63" s="207">
        <f>IFERROR(VLOOKUP(Opv.kohd.[[#This Row],[Y-tunnus]],#REF!,7,FALSE),0)</f>
        <v>0</v>
      </c>
      <c r="AG63" s="207">
        <f>IFERROR(VLOOKUP(Opv.kohd.[[#This Row],[Y-tunnus]],#REF!,8,FALSE),0)</f>
        <v>0</v>
      </c>
      <c r="AH63" s="207">
        <f>IFERROR(VLOOKUP(Opv.kohd.[[#This Row],[Y-tunnus]],#REF!,9,FALSE),0)</f>
        <v>0</v>
      </c>
      <c r="AI63" s="207">
        <f>IFERROR(VLOOKUP(Opv.kohd.[[#This Row],[Y-tunnus]],#REF!,10,FALSE),0)</f>
        <v>0</v>
      </c>
      <c r="AJ63" s="204">
        <f>Opv.kohd.[[#This Row],[Järjestämisluvan mukaiset 4]]-Opv.kohd.[[#This Row],[Järjestämisluvan mukaiset 1]]</f>
        <v>0</v>
      </c>
      <c r="AK63" s="204">
        <f>Opv.kohd.[[#This Row],[Kohdentamat-tomat 4]]-Opv.kohd.[[#This Row],[Kohdentamat-tomat 1]]</f>
        <v>0</v>
      </c>
      <c r="AL63" s="204">
        <f>Opv.kohd.[[#This Row],[Työvoima-koulutus 4]]-Opv.kohd.[[#This Row],[Työvoima-koulutus 1]]</f>
        <v>0</v>
      </c>
      <c r="AM63" s="204">
        <f>Opv.kohd.[[#This Row],[Maahan-muuttajien koulutus 4]]-Opv.kohd.[[#This Row],[Maahan-muuttajien koulutus 1]]</f>
        <v>0</v>
      </c>
      <c r="AN63" s="204">
        <f>Opv.kohd.[[#This Row],[Nuorisotyöt. väh. ja osaamistarp. vast., muu kuin työvoima-koulutus 4]]-Opv.kohd.[[#This Row],[Nuorisotyöt. väh. ja osaamistarp. vast., muu kuin työvoima-koulutus 1]]</f>
        <v>0</v>
      </c>
      <c r="AO63" s="204">
        <f>Opv.kohd.[[#This Row],[Nuorisotyöt. väh. ja osaamistarp. vast., työvoima-koulutus 4]]-Opv.kohd.[[#This Row],[Nuorisotyöt. väh. ja osaamistarp. vast., työvoima-koulutus 1]]</f>
        <v>0</v>
      </c>
      <c r="AP63" s="204">
        <f>Opv.kohd.[[#This Row],[Yhteensä 4]]-Opv.kohd.[[#This Row],[Yhteensä  1]]</f>
        <v>0</v>
      </c>
      <c r="AQ63" s="204">
        <f>Opv.kohd.[[#This Row],[Ensikertaisella suoritepäätöksellä jaetut tavoitteelliset opiskelijavuodet yhteensä 4]]-Opv.kohd.[[#This Row],[Ensikertaisella suoritepäätöksellä jaetut tavoitteelliset opiskelijavuodet yhteensä 1]]</f>
        <v>0</v>
      </c>
      <c r="AR63" s="208">
        <f>IFERROR(Opv.kohd.[[#This Row],[Järjestämisluvan mukaiset 5]]/Opv.kohd.[[#This Row],[Järjestämisluvan mukaiset 4]],0)</f>
        <v>0</v>
      </c>
      <c r="AS63" s="208">
        <f>IFERROR(Opv.kohd.[[#This Row],[Kohdentamat-tomat 5]]/Opv.kohd.[[#This Row],[Kohdentamat-tomat 4]],0)</f>
        <v>0</v>
      </c>
      <c r="AT63" s="208">
        <f>IFERROR(Opv.kohd.[[#This Row],[Työvoima-koulutus 5]]/Opv.kohd.[[#This Row],[Työvoima-koulutus 4]],0)</f>
        <v>0</v>
      </c>
      <c r="AU63" s="208">
        <f>IFERROR(Opv.kohd.[[#This Row],[Maahan-muuttajien koulutus 5]]/Opv.kohd.[[#This Row],[Maahan-muuttajien koulutus 4]],0)</f>
        <v>0</v>
      </c>
      <c r="AV63" s="208">
        <f>IFERROR(Opv.kohd.[[#This Row],[Nuorisotyöt. väh. ja osaamistarp. vast., muu kuin työvoima-koulutus 5]]/Opv.kohd.[[#This Row],[Nuorisotyöt. väh. ja osaamistarp. vast., muu kuin työvoima-koulutus 4]],0)</f>
        <v>0</v>
      </c>
      <c r="AW63" s="208">
        <f>IFERROR(Opv.kohd.[[#This Row],[Nuorisotyöt. väh. ja osaamistarp. vast., työvoima-koulutus 5]]/Opv.kohd.[[#This Row],[Nuorisotyöt. väh. ja osaamistarp. vast., työvoima-koulutus 4]],0)</f>
        <v>0</v>
      </c>
      <c r="AX63" s="208">
        <f>IFERROR(Opv.kohd.[[#This Row],[Yhteensä 5]]/Opv.kohd.[[#This Row],[Yhteensä 4]],0)</f>
        <v>0</v>
      </c>
      <c r="AY63" s="208">
        <f>IFERROR(Opv.kohd.[[#This Row],[Ensikertaisella suoritepäätöksellä jaetut tavoitteelliset opiskelijavuodet yhteensä 5]]/Opv.kohd.[[#This Row],[Ensikertaisella suoritepäätöksellä jaetut tavoitteelliset opiskelijavuodet yhteensä 4]],0)</f>
        <v>0</v>
      </c>
      <c r="AZ63" s="207">
        <f>Opv.kohd.[[#This Row],[Yhteensä 7a]]-Opv.kohd.[[#This Row],[Työvoima-koulutus 7a]]</f>
        <v>0</v>
      </c>
      <c r="BA63" s="207">
        <f>IFERROR(VLOOKUP(Opv.kohd.[[#This Row],[Y-tunnus]],#REF!,COLUMN(#REF!),FALSE),0)</f>
        <v>0</v>
      </c>
      <c r="BB63" s="207">
        <f>IFERROR(VLOOKUP(Opv.kohd.[[#This Row],[Y-tunnus]],#REF!,COLUMN(#REF!),FALSE),0)</f>
        <v>0</v>
      </c>
      <c r="BC63" s="207">
        <f>Opv.kohd.[[#This Row],[Muu kuin työvoima-koulutus 7c]]-Opv.kohd.[[#This Row],[Muu kuin työvoima-koulutus 7a]]</f>
        <v>0</v>
      </c>
      <c r="BD63" s="207">
        <f>Opv.kohd.[[#This Row],[Työvoima-koulutus 7c]]-Opv.kohd.[[#This Row],[Työvoima-koulutus 7a]]</f>
        <v>0</v>
      </c>
      <c r="BE63" s="207">
        <f>Opv.kohd.[[#This Row],[Yhteensä 7c]]-Opv.kohd.[[#This Row],[Yhteensä 7a]]</f>
        <v>0</v>
      </c>
      <c r="BF63" s="207">
        <f>Opv.kohd.[[#This Row],[Yhteensä 7c]]-Opv.kohd.[[#This Row],[Työvoima-koulutus 7c]]</f>
        <v>0</v>
      </c>
      <c r="BG63" s="207">
        <f>IFERROR(VLOOKUP(Opv.kohd.[[#This Row],[Y-tunnus]],#REF!,COLUMN(#REF!),FALSE),0)</f>
        <v>0</v>
      </c>
      <c r="BH63" s="207">
        <f>IFERROR(VLOOKUP(Opv.kohd.[[#This Row],[Y-tunnus]],#REF!,COLUMN(#REF!),FALSE),0)</f>
        <v>0</v>
      </c>
      <c r="BI63" s="207">
        <f>IFERROR(VLOOKUP(Opv.kohd.[[#This Row],[Y-tunnus]],#REF!,COLUMN(#REF!),FALSE),0)</f>
        <v>0</v>
      </c>
      <c r="BJ63" s="207">
        <f>IFERROR(VLOOKUP(Opv.kohd.[[#This Row],[Y-tunnus]],#REF!,COLUMN(#REF!),FALSE),0)</f>
        <v>0</v>
      </c>
      <c r="BK63" s="207">
        <f>Opv.kohd.[[#This Row],[Muu kuin työvoima-koulutus 7d]]+Opv.kohd.[[#This Row],[Työvoima-koulutus 7d]]</f>
        <v>0</v>
      </c>
      <c r="BL63" s="207">
        <f>Opv.kohd.[[#This Row],[Muu kuin työvoima-koulutus 7c]]-Opv.kohd.[[#This Row],[Muu kuin työvoima-koulutus 7d]]</f>
        <v>0</v>
      </c>
      <c r="BM63" s="207">
        <f>Opv.kohd.[[#This Row],[Työvoima-koulutus 7c]]-Opv.kohd.[[#This Row],[Työvoima-koulutus 7d]]</f>
        <v>0</v>
      </c>
      <c r="BN63" s="207">
        <f>Opv.kohd.[[#This Row],[Yhteensä 7c]]-Opv.kohd.[[#This Row],[Yhteensä 7d]]</f>
        <v>0</v>
      </c>
      <c r="BO63" s="207">
        <f>Opv.kohd.[[#This Row],[Muu kuin työvoima-koulutus 7e]]-(Opv.kohd.[[#This Row],[Järjestämisluvan mukaiset 4]]+Opv.kohd.[[#This Row],[Kohdentamat-tomat 4]]+Opv.kohd.[[#This Row],[Maahan-muuttajien koulutus 4]]+Opv.kohd.[[#This Row],[Nuorisotyöt. väh. ja osaamistarp. vast., muu kuin työvoima-koulutus 4]])</f>
        <v>0</v>
      </c>
      <c r="BP63" s="207">
        <f>Opv.kohd.[[#This Row],[Työvoima-koulutus 7e]]-(Opv.kohd.[[#This Row],[Työvoima-koulutus 4]]+Opv.kohd.[[#This Row],[Nuorisotyöt. väh. ja osaamistarp. vast., työvoima-koulutus 4]])</f>
        <v>0</v>
      </c>
      <c r="BQ63" s="207">
        <f>Opv.kohd.[[#This Row],[Yhteensä 7e]]-Opv.kohd.[[#This Row],[Ensikertaisella suoritepäätöksellä jaetut tavoitteelliset opiskelijavuodet yhteensä 4]]</f>
        <v>0</v>
      </c>
      <c r="BR63" s="263">
        <v>20</v>
      </c>
      <c r="BS63" s="263">
        <v>3</v>
      </c>
      <c r="BT63" s="263">
        <v>0</v>
      </c>
      <c r="BU63" s="263">
        <v>0</v>
      </c>
      <c r="BV63" s="263">
        <v>0</v>
      </c>
      <c r="BW63" s="263">
        <v>0</v>
      </c>
      <c r="BX63" s="263">
        <v>3</v>
      </c>
      <c r="BY63" s="263">
        <v>23</v>
      </c>
      <c r="BZ63" s="207">
        <f t="shared" si="2"/>
        <v>20</v>
      </c>
      <c r="CA63" s="207">
        <f t="shared" si="3"/>
        <v>3</v>
      </c>
      <c r="CB63" s="207">
        <f t="shared" si="4"/>
        <v>0</v>
      </c>
      <c r="CC63" s="207">
        <f t="shared" si="5"/>
        <v>0</v>
      </c>
      <c r="CD63" s="207">
        <f t="shared" si="6"/>
        <v>0</v>
      </c>
      <c r="CE63" s="207">
        <f t="shared" si="7"/>
        <v>0</v>
      </c>
      <c r="CF63" s="207">
        <f t="shared" si="8"/>
        <v>3</v>
      </c>
      <c r="CG63" s="207">
        <f t="shared" si="9"/>
        <v>23</v>
      </c>
      <c r="CH63" s="207">
        <f>Opv.kohd.[[#This Row],[Tavoitteelliset opiskelijavuodet yhteensä 9]]-Opv.kohd.[[#This Row],[Työvoima-koulutus 9]]-Opv.kohd.[[#This Row],[Nuorisotyöt. väh. ja osaamistarp. vast., työvoima-koulutus 9]]-Opv.kohd.[[#This Row],[Muu kuin työvoima-koulutus 7e]]</f>
        <v>23</v>
      </c>
      <c r="CI63" s="207">
        <f>(Opv.kohd.[[#This Row],[Työvoima-koulutus 9]]+Opv.kohd.[[#This Row],[Nuorisotyöt. väh. ja osaamistarp. vast., työvoima-koulutus 9]])-Opv.kohd.[[#This Row],[Työvoima-koulutus 7e]]</f>
        <v>0</v>
      </c>
      <c r="CJ63" s="207">
        <f>Opv.kohd.[[#This Row],[Tavoitteelliset opiskelijavuodet yhteensä 9]]-Opv.kohd.[[#This Row],[Yhteensä 7e]]</f>
        <v>23</v>
      </c>
      <c r="CK63" s="207">
        <f>Opv.kohd.[[#This Row],[Järjestämisluvan mukaiset 4]]+Opv.kohd.[[#This Row],[Järjestämisluvan mukaiset 13]]</f>
        <v>0</v>
      </c>
      <c r="CL63" s="207">
        <f>Opv.kohd.[[#This Row],[Kohdentamat-tomat 4]]+Opv.kohd.[[#This Row],[Kohdentamat-tomat 13]]</f>
        <v>0</v>
      </c>
      <c r="CM63" s="207">
        <f>Opv.kohd.[[#This Row],[Työvoima-koulutus 4]]+Opv.kohd.[[#This Row],[Työvoima-koulutus 13]]</f>
        <v>0</v>
      </c>
      <c r="CN63" s="207">
        <f>Opv.kohd.[[#This Row],[Maahan-muuttajien koulutus 4]]+Opv.kohd.[[#This Row],[Maahan-muuttajien koulutus 13]]</f>
        <v>0</v>
      </c>
      <c r="CO63" s="207">
        <f>Opv.kohd.[[#This Row],[Nuorisotyöt. väh. ja osaamistarp. vast., muu kuin työvoima-koulutus 4]]+Opv.kohd.[[#This Row],[Nuorisotyöt. väh. ja osaamistarp. vast., muu kuin työvoima-koulutus 13]]</f>
        <v>0</v>
      </c>
      <c r="CP63" s="207">
        <f>Opv.kohd.[[#This Row],[Nuorisotyöt. väh. ja osaamistarp. vast., työvoima-koulutus 4]]+Opv.kohd.[[#This Row],[Nuorisotyöt. väh. ja osaamistarp. vast., työvoima-koulutus 13]]</f>
        <v>0</v>
      </c>
      <c r="CQ63" s="207">
        <f>Opv.kohd.[[#This Row],[Yhteensä 4]]+Opv.kohd.[[#This Row],[Yhteensä 13]]</f>
        <v>0</v>
      </c>
      <c r="CR63" s="207">
        <f>Opv.kohd.[[#This Row],[Ensikertaisella suoritepäätöksellä jaetut tavoitteelliset opiskelijavuodet yhteensä 4]]+Opv.kohd.[[#This Row],[Tavoitteelliset opiskelijavuodet yhteensä 13]]</f>
        <v>0</v>
      </c>
      <c r="CS63" s="120">
        <v>0</v>
      </c>
      <c r="CT63" s="120">
        <v>0</v>
      </c>
      <c r="CU63" s="120">
        <v>0</v>
      </c>
      <c r="CV63" s="120">
        <v>0</v>
      </c>
      <c r="CW63" s="120">
        <v>0</v>
      </c>
      <c r="CX63" s="120">
        <v>0</v>
      </c>
      <c r="CY63" s="120">
        <v>0</v>
      </c>
      <c r="CZ63" s="120">
        <v>0</v>
      </c>
      <c r="DA63" s="209">
        <f>IFERROR(Opv.kohd.[[#This Row],[Järjestämisluvan mukaiset 13]]/Opv.kohd.[[#This Row],[Järjestämisluvan mukaiset 12]],0)</f>
        <v>0</v>
      </c>
      <c r="DB63" s="209">
        <f>IFERROR(Opv.kohd.[[#This Row],[Kohdentamat-tomat 13]]/Opv.kohd.[[#This Row],[Kohdentamat-tomat 12]],0)</f>
        <v>0</v>
      </c>
      <c r="DC63" s="209">
        <f>IFERROR(Opv.kohd.[[#This Row],[Työvoima-koulutus 13]]/Opv.kohd.[[#This Row],[Työvoima-koulutus 12]],0)</f>
        <v>0</v>
      </c>
      <c r="DD63" s="209">
        <f>IFERROR(Opv.kohd.[[#This Row],[Maahan-muuttajien koulutus 13]]/Opv.kohd.[[#This Row],[Maahan-muuttajien koulutus 12]],0)</f>
        <v>0</v>
      </c>
      <c r="DE63" s="209">
        <f>IFERROR(Opv.kohd.[[#This Row],[Nuorisotyöt. väh. ja osaamistarp. vast., muu kuin työvoima-koulutus 13]]/Opv.kohd.[[#This Row],[Nuorisotyöt. väh. ja osaamistarp. vast., muu kuin työvoima-koulutus 12]],0)</f>
        <v>0</v>
      </c>
      <c r="DF63" s="209">
        <f>IFERROR(Opv.kohd.[[#This Row],[Nuorisotyöt. väh. ja osaamistarp. vast., työvoima-koulutus 13]]/Opv.kohd.[[#This Row],[Nuorisotyöt. väh. ja osaamistarp. vast., työvoima-koulutus 12]],0)</f>
        <v>0</v>
      </c>
      <c r="DG63" s="209">
        <f>IFERROR(Opv.kohd.[[#This Row],[Yhteensä 13]]/Opv.kohd.[[#This Row],[Yhteensä 12]],0)</f>
        <v>0</v>
      </c>
      <c r="DH63" s="209">
        <f>IFERROR(Opv.kohd.[[#This Row],[Tavoitteelliset opiskelijavuodet yhteensä 13]]/Opv.kohd.[[#This Row],[Tavoitteelliset opiskelijavuodet yhteensä 12]],0)</f>
        <v>0</v>
      </c>
      <c r="DI63" s="207">
        <f>Opv.kohd.[[#This Row],[Järjestämisluvan mukaiset 12]]-Opv.kohd.[[#This Row],[Järjestämisluvan mukaiset 9]]</f>
        <v>-20</v>
      </c>
      <c r="DJ63" s="207">
        <f>Opv.kohd.[[#This Row],[Kohdentamat-tomat 12]]-Opv.kohd.[[#This Row],[Kohdentamat-tomat 9]]</f>
        <v>-3</v>
      </c>
      <c r="DK63" s="207">
        <f>Opv.kohd.[[#This Row],[Työvoima-koulutus 12]]-Opv.kohd.[[#This Row],[Työvoima-koulutus 9]]</f>
        <v>0</v>
      </c>
      <c r="DL63" s="207">
        <f>Opv.kohd.[[#This Row],[Maahan-muuttajien koulutus 12]]-Opv.kohd.[[#This Row],[Maahan-muuttajien koulutus 9]]</f>
        <v>0</v>
      </c>
      <c r="DM63" s="207">
        <f>Opv.kohd.[[#This Row],[Nuorisotyöt. väh. ja osaamistarp. vast., muu kuin työvoima-koulutus 12]]-Opv.kohd.[[#This Row],[Nuorisotyöt. väh. ja osaamistarp. vast., muu kuin työvoima-koulutus 9]]</f>
        <v>0</v>
      </c>
      <c r="DN63" s="207">
        <f>Opv.kohd.[[#This Row],[Nuorisotyöt. väh. ja osaamistarp. vast., työvoima-koulutus 12]]-Opv.kohd.[[#This Row],[Nuorisotyöt. väh. ja osaamistarp. vast., työvoima-koulutus 9]]</f>
        <v>0</v>
      </c>
      <c r="DO63" s="207">
        <f>Opv.kohd.[[#This Row],[Yhteensä 12]]-Opv.kohd.[[#This Row],[Yhteensä 9]]</f>
        <v>-3</v>
      </c>
      <c r="DP63" s="207">
        <f>Opv.kohd.[[#This Row],[Tavoitteelliset opiskelijavuodet yhteensä 12]]-Opv.kohd.[[#This Row],[Tavoitteelliset opiskelijavuodet yhteensä 9]]</f>
        <v>-23</v>
      </c>
      <c r="DQ63" s="209">
        <f>IFERROR(Opv.kohd.[[#This Row],[Järjestämisluvan mukaiset 15]]/Opv.kohd.[[#This Row],[Järjestämisluvan mukaiset 9]],0)</f>
        <v>-1</v>
      </c>
      <c r="DR63" s="209">
        <f t="shared" si="10"/>
        <v>0</v>
      </c>
      <c r="DS63" s="209">
        <f t="shared" si="11"/>
        <v>0</v>
      </c>
      <c r="DT63" s="209">
        <f t="shared" si="12"/>
        <v>0</v>
      </c>
      <c r="DU63" s="209">
        <f t="shared" si="13"/>
        <v>0</v>
      </c>
      <c r="DV63" s="209">
        <f t="shared" si="14"/>
        <v>0</v>
      </c>
      <c r="DW63" s="209">
        <f t="shared" si="15"/>
        <v>0</v>
      </c>
      <c r="DX63" s="209">
        <f t="shared" si="16"/>
        <v>0</v>
      </c>
    </row>
    <row r="64" spans="1:128" x14ac:dyDescent="0.25">
      <c r="A64" s="204" t="e">
        <f>IF(INDEX(#REF!,ROW(64:64)-1,1)=0,"",INDEX(#REF!,ROW(64:64)-1,1))</f>
        <v>#REF!</v>
      </c>
      <c r="B64" s="205" t="str">
        <f>IFERROR(VLOOKUP(Opv.kohd.[[#This Row],[Y-tunnus]],'0 Järjestäjätiedot'!$A:$H,2,FALSE),"")</f>
        <v/>
      </c>
      <c r="C64" s="204" t="str">
        <f>IFERROR(VLOOKUP(Opv.kohd.[[#This Row],[Y-tunnus]],'0 Järjestäjätiedot'!$A:$H,COLUMN('0 Järjestäjätiedot'!D:D),FALSE),"")</f>
        <v/>
      </c>
      <c r="D64" s="204" t="str">
        <f>IFERROR(VLOOKUP(Opv.kohd.[[#This Row],[Y-tunnus]],'0 Järjestäjätiedot'!$A:$H,COLUMN('0 Järjestäjätiedot'!H:H),FALSE),"")</f>
        <v/>
      </c>
      <c r="E64" s="204">
        <f>IFERROR(VLOOKUP(Opv.kohd.[[#This Row],[Y-tunnus]],#REF!,COLUMN(#REF!),FALSE),0)</f>
        <v>0</v>
      </c>
      <c r="F64" s="204">
        <f>IFERROR(VLOOKUP(Opv.kohd.[[#This Row],[Y-tunnus]],#REF!,COLUMN(#REF!),FALSE),0)</f>
        <v>0</v>
      </c>
      <c r="G64" s="204">
        <f>IFERROR(VLOOKUP(Opv.kohd.[[#This Row],[Y-tunnus]],#REF!,COLUMN(#REF!),FALSE),0)</f>
        <v>0</v>
      </c>
      <c r="H64" s="204">
        <f>IFERROR(VLOOKUP(Opv.kohd.[[#This Row],[Y-tunnus]],#REF!,COLUMN(#REF!),FALSE),0)</f>
        <v>0</v>
      </c>
      <c r="I64" s="204">
        <f>IFERROR(VLOOKUP(Opv.kohd.[[#This Row],[Y-tunnus]],#REF!,COLUMN(#REF!),FALSE),0)</f>
        <v>0</v>
      </c>
      <c r="J64" s="204">
        <f>IFERROR(VLOOKUP(Opv.kohd.[[#This Row],[Y-tunnus]],#REF!,COLUMN(#REF!),FALSE),0)</f>
        <v>0</v>
      </c>
      <c r="K6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64" s="204">
        <f>Opv.kohd.[[#This Row],[Järjestämisluvan mukaiset 1]]+Opv.kohd.[[#This Row],[Yhteensä  1]]</f>
        <v>0</v>
      </c>
      <c r="M64" s="204">
        <f>IFERROR(VLOOKUP(Opv.kohd.[[#This Row],[Y-tunnus]],#REF!,COLUMN(#REF!),FALSE),0)</f>
        <v>0</v>
      </c>
      <c r="N64" s="204">
        <f>IFERROR(VLOOKUP(Opv.kohd.[[#This Row],[Y-tunnus]],#REF!,COLUMN(#REF!),FALSE),0)</f>
        <v>0</v>
      </c>
      <c r="O64" s="204">
        <f>IFERROR(VLOOKUP(Opv.kohd.[[#This Row],[Y-tunnus]],#REF!,COLUMN(#REF!),FALSE)+VLOOKUP(Opv.kohd.[[#This Row],[Y-tunnus]],#REF!,COLUMN(#REF!),FALSE),0)</f>
        <v>0</v>
      </c>
      <c r="P64" s="204">
        <f>Opv.kohd.[[#This Row],[Talousarvion perusteella kohdentamattomat]]+Opv.kohd.[[#This Row],[Talousarvion perusteella työvoimakoulutus 1]]+Opv.kohd.[[#This Row],[Lisätalousarvioiden perusteella]]</f>
        <v>0</v>
      </c>
      <c r="Q64" s="204">
        <f>IFERROR(VLOOKUP(Opv.kohd.[[#This Row],[Y-tunnus]],#REF!,COLUMN(#REF!),FALSE),0)</f>
        <v>0</v>
      </c>
      <c r="R64" s="210">
        <f>IFERROR(VLOOKUP(Opv.kohd.[[#This Row],[Y-tunnus]],#REF!,COLUMN(#REF!),FALSE)-(Opv.kohd.[[#This Row],[Kohdentamaton työvoima-koulutus 2]]+Opv.kohd.[[#This Row],[Maahan-muuttajien koulutus 2]]+Opv.kohd.[[#This Row],[Lisätalousarvioiden perusteella jaetut 2]]),0)</f>
        <v>0</v>
      </c>
      <c r="S64" s="210">
        <f>IFERROR(VLOOKUP(Opv.kohd.[[#This Row],[Y-tunnus]],#REF!,COLUMN(#REF!),FALSE)+VLOOKUP(Opv.kohd.[[#This Row],[Y-tunnus]],#REF!,COLUMN(#REF!),FALSE),0)</f>
        <v>0</v>
      </c>
      <c r="T64" s="210">
        <f>IFERROR(VLOOKUP(Opv.kohd.[[#This Row],[Y-tunnus]],#REF!,COLUMN(#REF!),FALSE)+VLOOKUP(Opv.kohd.[[#This Row],[Y-tunnus]],#REF!,COLUMN(#REF!),FALSE),0)</f>
        <v>0</v>
      </c>
      <c r="U6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64" s="210">
        <f>Opv.kohd.[[#This Row],[Kohdentamat-tomat 2]]+Opv.kohd.[[#This Row],[Kohdentamaton työvoima-koulutus 2]]+Opv.kohd.[[#This Row],[Maahan-muuttajien koulutus 2]]+Opv.kohd.[[#This Row],[Lisätalousarvioiden perusteella jaetut 2]]</f>
        <v>0</v>
      </c>
      <c r="W64" s="210">
        <f>Opv.kohd.[[#This Row],[Kohdentamat-tomat 2]]-(Opv.kohd.[[#This Row],[Järjestämisluvan mukaiset 1]]+Opv.kohd.[[#This Row],[Kohdentamat-tomat 1]]+Opv.kohd.[[#This Row],[Nuorisotyöt. väh. ja osaamistarp. vast., muu kuin työvoima-koulutus 1]]+Opv.kohd.[[#This Row],[Talousarvion perusteella kohdentamattomat]])</f>
        <v>0</v>
      </c>
      <c r="X64" s="210">
        <f>Opv.kohd.[[#This Row],[Kohdentamaton työvoima-koulutus 2]]-(Opv.kohd.[[#This Row],[Työvoima-koulutus 1]]+Opv.kohd.[[#This Row],[Nuorisotyöt. väh. ja osaamistarp. vast., työvoima-koulutus 1]]+Opv.kohd.[[#This Row],[Talousarvion perusteella työvoimakoulutus 1]])</f>
        <v>0</v>
      </c>
      <c r="Y64" s="210">
        <f>Opv.kohd.[[#This Row],[Maahan-muuttajien koulutus 2]]-Opv.kohd.[[#This Row],[Maahan-muuttajien koulutus 1]]</f>
        <v>0</v>
      </c>
      <c r="Z64" s="210">
        <f>Opv.kohd.[[#This Row],[Lisätalousarvioiden perusteella jaetut 2]]-Opv.kohd.[[#This Row],[Lisätalousarvioiden perusteella]]</f>
        <v>0</v>
      </c>
      <c r="AA64" s="210">
        <f>Opv.kohd.[[#This Row],[Toteutuneet opiskelijavuodet yhteensä 2]]-Opv.kohd.[[#This Row],[Vuoden 2018 tavoitteelliset opiskelijavuodet yhteensä 1]]</f>
        <v>0</v>
      </c>
      <c r="AB64" s="207">
        <f>IFERROR(VLOOKUP(Opv.kohd.[[#This Row],[Y-tunnus]],#REF!,3,FALSE),0)</f>
        <v>0</v>
      </c>
      <c r="AC64" s="207">
        <f>IFERROR(VLOOKUP(Opv.kohd.[[#This Row],[Y-tunnus]],#REF!,4,FALSE),0)</f>
        <v>0</v>
      </c>
      <c r="AD64" s="207">
        <f>IFERROR(VLOOKUP(Opv.kohd.[[#This Row],[Y-tunnus]],#REF!,5,FALSE),0)</f>
        <v>0</v>
      </c>
      <c r="AE64" s="207">
        <f>IFERROR(VLOOKUP(Opv.kohd.[[#This Row],[Y-tunnus]],#REF!,6,FALSE),0)</f>
        <v>0</v>
      </c>
      <c r="AF64" s="207">
        <f>IFERROR(VLOOKUP(Opv.kohd.[[#This Row],[Y-tunnus]],#REF!,7,FALSE),0)</f>
        <v>0</v>
      </c>
      <c r="AG64" s="207">
        <f>IFERROR(VLOOKUP(Opv.kohd.[[#This Row],[Y-tunnus]],#REF!,8,FALSE),0)</f>
        <v>0</v>
      </c>
      <c r="AH64" s="207">
        <f>IFERROR(VLOOKUP(Opv.kohd.[[#This Row],[Y-tunnus]],#REF!,9,FALSE),0)</f>
        <v>0</v>
      </c>
      <c r="AI64" s="207">
        <f>IFERROR(VLOOKUP(Opv.kohd.[[#This Row],[Y-tunnus]],#REF!,10,FALSE),0)</f>
        <v>0</v>
      </c>
      <c r="AJ64" s="204">
        <f>Opv.kohd.[[#This Row],[Järjestämisluvan mukaiset 4]]-Opv.kohd.[[#This Row],[Järjestämisluvan mukaiset 1]]</f>
        <v>0</v>
      </c>
      <c r="AK64" s="204">
        <f>Opv.kohd.[[#This Row],[Kohdentamat-tomat 4]]-Opv.kohd.[[#This Row],[Kohdentamat-tomat 1]]</f>
        <v>0</v>
      </c>
      <c r="AL64" s="204">
        <f>Opv.kohd.[[#This Row],[Työvoima-koulutus 4]]-Opv.kohd.[[#This Row],[Työvoima-koulutus 1]]</f>
        <v>0</v>
      </c>
      <c r="AM64" s="204">
        <f>Opv.kohd.[[#This Row],[Maahan-muuttajien koulutus 4]]-Opv.kohd.[[#This Row],[Maahan-muuttajien koulutus 1]]</f>
        <v>0</v>
      </c>
      <c r="AN64" s="204">
        <f>Opv.kohd.[[#This Row],[Nuorisotyöt. väh. ja osaamistarp. vast., muu kuin työvoima-koulutus 4]]-Opv.kohd.[[#This Row],[Nuorisotyöt. väh. ja osaamistarp. vast., muu kuin työvoima-koulutus 1]]</f>
        <v>0</v>
      </c>
      <c r="AO64" s="204">
        <f>Opv.kohd.[[#This Row],[Nuorisotyöt. väh. ja osaamistarp. vast., työvoima-koulutus 4]]-Opv.kohd.[[#This Row],[Nuorisotyöt. väh. ja osaamistarp. vast., työvoima-koulutus 1]]</f>
        <v>0</v>
      </c>
      <c r="AP64" s="204">
        <f>Opv.kohd.[[#This Row],[Yhteensä 4]]-Opv.kohd.[[#This Row],[Yhteensä  1]]</f>
        <v>0</v>
      </c>
      <c r="AQ64" s="204">
        <f>Opv.kohd.[[#This Row],[Ensikertaisella suoritepäätöksellä jaetut tavoitteelliset opiskelijavuodet yhteensä 4]]-Opv.kohd.[[#This Row],[Ensikertaisella suoritepäätöksellä jaetut tavoitteelliset opiskelijavuodet yhteensä 1]]</f>
        <v>0</v>
      </c>
      <c r="AR64" s="208">
        <f>IFERROR(Opv.kohd.[[#This Row],[Järjestämisluvan mukaiset 5]]/Opv.kohd.[[#This Row],[Järjestämisluvan mukaiset 4]],0)</f>
        <v>0</v>
      </c>
      <c r="AS64" s="208">
        <f>IFERROR(Opv.kohd.[[#This Row],[Kohdentamat-tomat 5]]/Opv.kohd.[[#This Row],[Kohdentamat-tomat 4]],0)</f>
        <v>0</v>
      </c>
      <c r="AT64" s="208">
        <f>IFERROR(Opv.kohd.[[#This Row],[Työvoima-koulutus 5]]/Opv.kohd.[[#This Row],[Työvoima-koulutus 4]],0)</f>
        <v>0</v>
      </c>
      <c r="AU64" s="208">
        <f>IFERROR(Opv.kohd.[[#This Row],[Maahan-muuttajien koulutus 5]]/Opv.kohd.[[#This Row],[Maahan-muuttajien koulutus 4]],0)</f>
        <v>0</v>
      </c>
      <c r="AV64" s="208">
        <f>IFERROR(Opv.kohd.[[#This Row],[Nuorisotyöt. väh. ja osaamistarp. vast., muu kuin työvoima-koulutus 5]]/Opv.kohd.[[#This Row],[Nuorisotyöt. väh. ja osaamistarp. vast., muu kuin työvoima-koulutus 4]],0)</f>
        <v>0</v>
      </c>
      <c r="AW64" s="208">
        <f>IFERROR(Opv.kohd.[[#This Row],[Nuorisotyöt. väh. ja osaamistarp. vast., työvoima-koulutus 5]]/Opv.kohd.[[#This Row],[Nuorisotyöt. väh. ja osaamistarp. vast., työvoima-koulutus 4]],0)</f>
        <v>0</v>
      </c>
      <c r="AX64" s="208">
        <f>IFERROR(Opv.kohd.[[#This Row],[Yhteensä 5]]/Opv.kohd.[[#This Row],[Yhteensä 4]],0)</f>
        <v>0</v>
      </c>
      <c r="AY64" s="208">
        <f>IFERROR(Opv.kohd.[[#This Row],[Ensikertaisella suoritepäätöksellä jaetut tavoitteelliset opiskelijavuodet yhteensä 5]]/Opv.kohd.[[#This Row],[Ensikertaisella suoritepäätöksellä jaetut tavoitteelliset opiskelijavuodet yhteensä 4]],0)</f>
        <v>0</v>
      </c>
      <c r="AZ64" s="207">
        <f>Opv.kohd.[[#This Row],[Yhteensä 7a]]-Opv.kohd.[[#This Row],[Työvoima-koulutus 7a]]</f>
        <v>0</v>
      </c>
      <c r="BA64" s="207">
        <f>IFERROR(VLOOKUP(Opv.kohd.[[#This Row],[Y-tunnus]],#REF!,COLUMN(#REF!),FALSE),0)</f>
        <v>0</v>
      </c>
      <c r="BB64" s="207">
        <f>IFERROR(VLOOKUP(Opv.kohd.[[#This Row],[Y-tunnus]],#REF!,COLUMN(#REF!),FALSE),0)</f>
        <v>0</v>
      </c>
      <c r="BC64" s="207">
        <f>Opv.kohd.[[#This Row],[Muu kuin työvoima-koulutus 7c]]-Opv.kohd.[[#This Row],[Muu kuin työvoima-koulutus 7a]]</f>
        <v>0</v>
      </c>
      <c r="BD64" s="207">
        <f>Opv.kohd.[[#This Row],[Työvoima-koulutus 7c]]-Opv.kohd.[[#This Row],[Työvoima-koulutus 7a]]</f>
        <v>0</v>
      </c>
      <c r="BE64" s="207">
        <f>Opv.kohd.[[#This Row],[Yhteensä 7c]]-Opv.kohd.[[#This Row],[Yhteensä 7a]]</f>
        <v>0</v>
      </c>
      <c r="BF64" s="207">
        <f>Opv.kohd.[[#This Row],[Yhteensä 7c]]-Opv.kohd.[[#This Row],[Työvoima-koulutus 7c]]</f>
        <v>0</v>
      </c>
      <c r="BG64" s="207">
        <f>IFERROR(VLOOKUP(Opv.kohd.[[#This Row],[Y-tunnus]],#REF!,COLUMN(#REF!),FALSE),0)</f>
        <v>0</v>
      </c>
      <c r="BH64" s="207">
        <f>IFERROR(VLOOKUP(Opv.kohd.[[#This Row],[Y-tunnus]],#REF!,COLUMN(#REF!),FALSE),0)</f>
        <v>0</v>
      </c>
      <c r="BI64" s="207">
        <f>IFERROR(VLOOKUP(Opv.kohd.[[#This Row],[Y-tunnus]],#REF!,COLUMN(#REF!),FALSE),0)</f>
        <v>0</v>
      </c>
      <c r="BJ64" s="207">
        <f>IFERROR(VLOOKUP(Opv.kohd.[[#This Row],[Y-tunnus]],#REF!,COLUMN(#REF!),FALSE),0)</f>
        <v>0</v>
      </c>
      <c r="BK64" s="207">
        <f>Opv.kohd.[[#This Row],[Muu kuin työvoima-koulutus 7d]]+Opv.kohd.[[#This Row],[Työvoima-koulutus 7d]]</f>
        <v>0</v>
      </c>
      <c r="BL64" s="207">
        <f>Opv.kohd.[[#This Row],[Muu kuin työvoima-koulutus 7c]]-Opv.kohd.[[#This Row],[Muu kuin työvoima-koulutus 7d]]</f>
        <v>0</v>
      </c>
      <c r="BM64" s="207">
        <f>Opv.kohd.[[#This Row],[Työvoima-koulutus 7c]]-Opv.kohd.[[#This Row],[Työvoima-koulutus 7d]]</f>
        <v>0</v>
      </c>
      <c r="BN64" s="207">
        <f>Opv.kohd.[[#This Row],[Yhteensä 7c]]-Opv.kohd.[[#This Row],[Yhteensä 7d]]</f>
        <v>0</v>
      </c>
      <c r="BO64" s="207">
        <f>Opv.kohd.[[#This Row],[Muu kuin työvoima-koulutus 7e]]-(Opv.kohd.[[#This Row],[Järjestämisluvan mukaiset 4]]+Opv.kohd.[[#This Row],[Kohdentamat-tomat 4]]+Opv.kohd.[[#This Row],[Maahan-muuttajien koulutus 4]]+Opv.kohd.[[#This Row],[Nuorisotyöt. väh. ja osaamistarp. vast., muu kuin työvoima-koulutus 4]])</f>
        <v>0</v>
      </c>
      <c r="BP64" s="207">
        <f>Opv.kohd.[[#This Row],[Työvoima-koulutus 7e]]-(Opv.kohd.[[#This Row],[Työvoima-koulutus 4]]+Opv.kohd.[[#This Row],[Nuorisotyöt. väh. ja osaamistarp. vast., työvoima-koulutus 4]])</f>
        <v>0</v>
      </c>
      <c r="BQ64" s="207">
        <f>Opv.kohd.[[#This Row],[Yhteensä 7e]]-Opv.kohd.[[#This Row],[Ensikertaisella suoritepäätöksellä jaetut tavoitteelliset opiskelijavuodet yhteensä 4]]</f>
        <v>0</v>
      </c>
      <c r="BR64" s="263">
        <v>33</v>
      </c>
      <c r="BS64" s="263">
        <v>4</v>
      </c>
      <c r="BT64" s="263">
        <v>0</v>
      </c>
      <c r="BU64" s="263">
        <v>0</v>
      </c>
      <c r="BV64" s="263">
        <v>0</v>
      </c>
      <c r="BW64" s="263">
        <v>0</v>
      </c>
      <c r="BX64" s="263">
        <v>4</v>
      </c>
      <c r="BY64" s="263">
        <v>37</v>
      </c>
      <c r="BZ64" s="207">
        <f t="shared" si="2"/>
        <v>33</v>
      </c>
      <c r="CA64" s="207">
        <f t="shared" si="3"/>
        <v>4</v>
      </c>
      <c r="CB64" s="207">
        <f t="shared" si="4"/>
        <v>0</v>
      </c>
      <c r="CC64" s="207">
        <f t="shared" si="5"/>
        <v>0</v>
      </c>
      <c r="CD64" s="207">
        <f t="shared" si="6"/>
        <v>0</v>
      </c>
      <c r="CE64" s="207">
        <f t="shared" si="7"/>
        <v>0</v>
      </c>
      <c r="CF64" s="207">
        <f t="shared" si="8"/>
        <v>4</v>
      </c>
      <c r="CG64" s="207">
        <f t="shared" si="9"/>
        <v>37</v>
      </c>
      <c r="CH64" s="207">
        <f>Opv.kohd.[[#This Row],[Tavoitteelliset opiskelijavuodet yhteensä 9]]-Opv.kohd.[[#This Row],[Työvoima-koulutus 9]]-Opv.kohd.[[#This Row],[Nuorisotyöt. väh. ja osaamistarp. vast., työvoima-koulutus 9]]-Opv.kohd.[[#This Row],[Muu kuin työvoima-koulutus 7e]]</f>
        <v>37</v>
      </c>
      <c r="CI64" s="207">
        <f>(Opv.kohd.[[#This Row],[Työvoima-koulutus 9]]+Opv.kohd.[[#This Row],[Nuorisotyöt. väh. ja osaamistarp. vast., työvoima-koulutus 9]])-Opv.kohd.[[#This Row],[Työvoima-koulutus 7e]]</f>
        <v>0</v>
      </c>
      <c r="CJ64" s="207">
        <f>Opv.kohd.[[#This Row],[Tavoitteelliset opiskelijavuodet yhteensä 9]]-Opv.kohd.[[#This Row],[Yhteensä 7e]]</f>
        <v>37</v>
      </c>
      <c r="CK64" s="207">
        <f>Opv.kohd.[[#This Row],[Järjestämisluvan mukaiset 4]]+Opv.kohd.[[#This Row],[Järjestämisluvan mukaiset 13]]</f>
        <v>0</v>
      </c>
      <c r="CL64" s="207">
        <f>Opv.kohd.[[#This Row],[Kohdentamat-tomat 4]]+Opv.kohd.[[#This Row],[Kohdentamat-tomat 13]]</f>
        <v>0</v>
      </c>
      <c r="CM64" s="207">
        <f>Opv.kohd.[[#This Row],[Työvoima-koulutus 4]]+Opv.kohd.[[#This Row],[Työvoima-koulutus 13]]</f>
        <v>0</v>
      </c>
      <c r="CN64" s="207">
        <f>Opv.kohd.[[#This Row],[Maahan-muuttajien koulutus 4]]+Opv.kohd.[[#This Row],[Maahan-muuttajien koulutus 13]]</f>
        <v>0</v>
      </c>
      <c r="CO64" s="207">
        <f>Opv.kohd.[[#This Row],[Nuorisotyöt. väh. ja osaamistarp. vast., muu kuin työvoima-koulutus 4]]+Opv.kohd.[[#This Row],[Nuorisotyöt. väh. ja osaamistarp. vast., muu kuin työvoima-koulutus 13]]</f>
        <v>0</v>
      </c>
      <c r="CP64" s="207">
        <f>Opv.kohd.[[#This Row],[Nuorisotyöt. väh. ja osaamistarp. vast., työvoima-koulutus 4]]+Opv.kohd.[[#This Row],[Nuorisotyöt. väh. ja osaamistarp. vast., työvoima-koulutus 13]]</f>
        <v>0</v>
      </c>
      <c r="CQ64" s="207">
        <f>Opv.kohd.[[#This Row],[Yhteensä 4]]+Opv.kohd.[[#This Row],[Yhteensä 13]]</f>
        <v>0</v>
      </c>
      <c r="CR64" s="207">
        <f>Opv.kohd.[[#This Row],[Ensikertaisella suoritepäätöksellä jaetut tavoitteelliset opiskelijavuodet yhteensä 4]]+Opv.kohd.[[#This Row],[Tavoitteelliset opiskelijavuodet yhteensä 13]]</f>
        <v>0</v>
      </c>
      <c r="CS64" s="120">
        <v>0</v>
      </c>
      <c r="CT64" s="120">
        <v>0</v>
      </c>
      <c r="CU64" s="120">
        <v>0</v>
      </c>
      <c r="CV64" s="120">
        <v>0</v>
      </c>
      <c r="CW64" s="120">
        <v>0</v>
      </c>
      <c r="CX64" s="120">
        <v>0</v>
      </c>
      <c r="CY64" s="120">
        <v>0</v>
      </c>
      <c r="CZ64" s="120">
        <v>0</v>
      </c>
      <c r="DA64" s="209">
        <f>IFERROR(Opv.kohd.[[#This Row],[Järjestämisluvan mukaiset 13]]/Opv.kohd.[[#This Row],[Järjestämisluvan mukaiset 12]],0)</f>
        <v>0</v>
      </c>
      <c r="DB64" s="209">
        <f>IFERROR(Opv.kohd.[[#This Row],[Kohdentamat-tomat 13]]/Opv.kohd.[[#This Row],[Kohdentamat-tomat 12]],0)</f>
        <v>0</v>
      </c>
      <c r="DC64" s="209">
        <f>IFERROR(Opv.kohd.[[#This Row],[Työvoima-koulutus 13]]/Opv.kohd.[[#This Row],[Työvoima-koulutus 12]],0)</f>
        <v>0</v>
      </c>
      <c r="DD64" s="209">
        <f>IFERROR(Opv.kohd.[[#This Row],[Maahan-muuttajien koulutus 13]]/Opv.kohd.[[#This Row],[Maahan-muuttajien koulutus 12]],0)</f>
        <v>0</v>
      </c>
      <c r="DE64" s="209">
        <f>IFERROR(Opv.kohd.[[#This Row],[Nuorisotyöt. väh. ja osaamistarp. vast., muu kuin työvoima-koulutus 13]]/Opv.kohd.[[#This Row],[Nuorisotyöt. väh. ja osaamistarp. vast., muu kuin työvoima-koulutus 12]],0)</f>
        <v>0</v>
      </c>
      <c r="DF64" s="209">
        <f>IFERROR(Opv.kohd.[[#This Row],[Nuorisotyöt. väh. ja osaamistarp. vast., työvoima-koulutus 13]]/Opv.kohd.[[#This Row],[Nuorisotyöt. väh. ja osaamistarp. vast., työvoima-koulutus 12]],0)</f>
        <v>0</v>
      </c>
      <c r="DG64" s="209">
        <f>IFERROR(Opv.kohd.[[#This Row],[Yhteensä 13]]/Opv.kohd.[[#This Row],[Yhteensä 12]],0)</f>
        <v>0</v>
      </c>
      <c r="DH64" s="209">
        <f>IFERROR(Opv.kohd.[[#This Row],[Tavoitteelliset opiskelijavuodet yhteensä 13]]/Opv.kohd.[[#This Row],[Tavoitteelliset opiskelijavuodet yhteensä 12]],0)</f>
        <v>0</v>
      </c>
      <c r="DI64" s="207">
        <f>Opv.kohd.[[#This Row],[Järjestämisluvan mukaiset 12]]-Opv.kohd.[[#This Row],[Järjestämisluvan mukaiset 9]]</f>
        <v>-33</v>
      </c>
      <c r="DJ64" s="207">
        <f>Opv.kohd.[[#This Row],[Kohdentamat-tomat 12]]-Opv.kohd.[[#This Row],[Kohdentamat-tomat 9]]</f>
        <v>-4</v>
      </c>
      <c r="DK64" s="207">
        <f>Opv.kohd.[[#This Row],[Työvoima-koulutus 12]]-Opv.kohd.[[#This Row],[Työvoima-koulutus 9]]</f>
        <v>0</v>
      </c>
      <c r="DL64" s="207">
        <f>Opv.kohd.[[#This Row],[Maahan-muuttajien koulutus 12]]-Opv.kohd.[[#This Row],[Maahan-muuttajien koulutus 9]]</f>
        <v>0</v>
      </c>
      <c r="DM64" s="207">
        <f>Opv.kohd.[[#This Row],[Nuorisotyöt. väh. ja osaamistarp. vast., muu kuin työvoima-koulutus 12]]-Opv.kohd.[[#This Row],[Nuorisotyöt. väh. ja osaamistarp. vast., muu kuin työvoima-koulutus 9]]</f>
        <v>0</v>
      </c>
      <c r="DN64" s="207">
        <f>Opv.kohd.[[#This Row],[Nuorisotyöt. väh. ja osaamistarp. vast., työvoima-koulutus 12]]-Opv.kohd.[[#This Row],[Nuorisotyöt. väh. ja osaamistarp. vast., työvoima-koulutus 9]]</f>
        <v>0</v>
      </c>
      <c r="DO64" s="207">
        <f>Opv.kohd.[[#This Row],[Yhteensä 12]]-Opv.kohd.[[#This Row],[Yhteensä 9]]</f>
        <v>-4</v>
      </c>
      <c r="DP64" s="207">
        <f>Opv.kohd.[[#This Row],[Tavoitteelliset opiskelijavuodet yhteensä 12]]-Opv.kohd.[[#This Row],[Tavoitteelliset opiskelijavuodet yhteensä 9]]</f>
        <v>-37</v>
      </c>
      <c r="DQ64" s="209">
        <f>IFERROR(Opv.kohd.[[#This Row],[Järjestämisluvan mukaiset 15]]/Opv.kohd.[[#This Row],[Järjestämisluvan mukaiset 9]],0)</f>
        <v>-1</v>
      </c>
      <c r="DR64" s="209">
        <f t="shared" si="10"/>
        <v>0</v>
      </c>
      <c r="DS64" s="209">
        <f t="shared" si="11"/>
        <v>0</v>
      </c>
      <c r="DT64" s="209">
        <f t="shared" si="12"/>
        <v>0</v>
      </c>
      <c r="DU64" s="209">
        <f t="shared" si="13"/>
        <v>0</v>
      </c>
      <c r="DV64" s="209">
        <f t="shared" si="14"/>
        <v>0</v>
      </c>
      <c r="DW64" s="209">
        <f t="shared" si="15"/>
        <v>0</v>
      </c>
      <c r="DX64" s="209">
        <f t="shared" si="16"/>
        <v>0</v>
      </c>
    </row>
    <row r="65" spans="1:128" x14ac:dyDescent="0.25">
      <c r="A65" s="204" t="e">
        <f>IF(INDEX(#REF!,ROW(65:65)-1,1)=0,"",INDEX(#REF!,ROW(65:65)-1,1))</f>
        <v>#REF!</v>
      </c>
      <c r="B65" s="205" t="str">
        <f>IFERROR(VLOOKUP(Opv.kohd.[[#This Row],[Y-tunnus]],'0 Järjestäjätiedot'!$A:$H,2,FALSE),"")</f>
        <v/>
      </c>
      <c r="C65" s="204" t="str">
        <f>IFERROR(VLOOKUP(Opv.kohd.[[#This Row],[Y-tunnus]],'0 Järjestäjätiedot'!$A:$H,COLUMN('0 Järjestäjätiedot'!D:D),FALSE),"")</f>
        <v/>
      </c>
      <c r="D65" s="204" t="str">
        <f>IFERROR(VLOOKUP(Opv.kohd.[[#This Row],[Y-tunnus]],'0 Järjestäjätiedot'!$A:$H,COLUMN('0 Järjestäjätiedot'!H:H),FALSE),"")</f>
        <v/>
      </c>
      <c r="E65" s="204">
        <f>IFERROR(VLOOKUP(Opv.kohd.[[#This Row],[Y-tunnus]],#REF!,COLUMN(#REF!),FALSE),0)</f>
        <v>0</v>
      </c>
      <c r="F65" s="204">
        <f>IFERROR(VLOOKUP(Opv.kohd.[[#This Row],[Y-tunnus]],#REF!,COLUMN(#REF!),FALSE),0)</f>
        <v>0</v>
      </c>
      <c r="G65" s="204">
        <f>IFERROR(VLOOKUP(Opv.kohd.[[#This Row],[Y-tunnus]],#REF!,COLUMN(#REF!),FALSE),0)</f>
        <v>0</v>
      </c>
      <c r="H65" s="204">
        <f>IFERROR(VLOOKUP(Opv.kohd.[[#This Row],[Y-tunnus]],#REF!,COLUMN(#REF!),FALSE),0)</f>
        <v>0</v>
      </c>
      <c r="I65" s="204">
        <f>IFERROR(VLOOKUP(Opv.kohd.[[#This Row],[Y-tunnus]],#REF!,COLUMN(#REF!),FALSE),0)</f>
        <v>0</v>
      </c>
      <c r="J65" s="204">
        <f>IFERROR(VLOOKUP(Opv.kohd.[[#This Row],[Y-tunnus]],#REF!,COLUMN(#REF!),FALSE),0)</f>
        <v>0</v>
      </c>
      <c r="K6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65" s="204">
        <f>Opv.kohd.[[#This Row],[Järjestämisluvan mukaiset 1]]+Opv.kohd.[[#This Row],[Yhteensä  1]]</f>
        <v>0</v>
      </c>
      <c r="M65" s="204">
        <f>IFERROR(VLOOKUP(Opv.kohd.[[#This Row],[Y-tunnus]],#REF!,COLUMN(#REF!),FALSE),0)</f>
        <v>0</v>
      </c>
      <c r="N65" s="204">
        <f>IFERROR(VLOOKUP(Opv.kohd.[[#This Row],[Y-tunnus]],#REF!,COLUMN(#REF!),FALSE),0)</f>
        <v>0</v>
      </c>
      <c r="O65" s="204">
        <f>IFERROR(VLOOKUP(Opv.kohd.[[#This Row],[Y-tunnus]],#REF!,COLUMN(#REF!),FALSE)+VLOOKUP(Opv.kohd.[[#This Row],[Y-tunnus]],#REF!,COLUMN(#REF!),FALSE),0)</f>
        <v>0</v>
      </c>
      <c r="P65" s="204">
        <f>Opv.kohd.[[#This Row],[Talousarvion perusteella kohdentamattomat]]+Opv.kohd.[[#This Row],[Talousarvion perusteella työvoimakoulutus 1]]+Opv.kohd.[[#This Row],[Lisätalousarvioiden perusteella]]</f>
        <v>0</v>
      </c>
      <c r="Q65" s="204">
        <f>IFERROR(VLOOKUP(Opv.kohd.[[#This Row],[Y-tunnus]],#REF!,COLUMN(#REF!),FALSE),0)</f>
        <v>0</v>
      </c>
      <c r="R65" s="210">
        <f>IFERROR(VLOOKUP(Opv.kohd.[[#This Row],[Y-tunnus]],#REF!,COLUMN(#REF!),FALSE)-(Opv.kohd.[[#This Row],[Kohdentamaton työvoima-koulutus 2]]+Opv.kohd.[[#This Row],[Maahan-muuttajien koulutus 2]]+Opv.kohd.[[#This Row],[Lisätalousarvioiden perusteella jaetut 2]]),0)</f>
        <v>0</v>
      </c>
      <c r="S65" s="210">
        <f>IFERROR(VLOOKUP(Opv.kohd.[[#This Row],[Y-tunnus]],#REF!,COLUMN(#REF!),FALSE)+VLOOKUP(Opv.kohd.[[#This Row],[Y-tunnus]],#REF!,COLUMN(#REF!),FALSE),0)</f>
        <v>0</v>
      </c>
      <c r="T65" s="210">
        <f>IFERROR(VLOOKUP(Opv.kohd.[[#This Row],[Y-tunnus]],#REF!,COLUMN(#REF!),FALSE)+VLOOKUP(Opv.kohd.[[#This Row],[Y-tunnus]],#REF!,COLUMN(#REF!),FALSE),0)</f>
        <v>0</v>
      </c>
      <c r="U6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65" s="210">
        <f>Opv.kohd.[[#This Row],[Kohdentamat-tomat 2]]+Opv.kohd.[[#This Row],[Kohdentamaton työvoima-koulutus 2]]+Opv.kohd.[[#This Row],[Maahan-muuttajien koulutus 2]]+Opv.kohd.[[#This Row],[Lisätalousarvioiden perusteella jaetut 2]]</f>
        <v>0</v>
      </c>
      <c r="W65" s="210">
        <f>Opv.kohd.[[#This Row],[Kohdentamat-tomat 2]]-(Opv.kohd.[[#This Row],[Järjestämisluvan mukaiset 1]]+Opv.kohd.[[#This Row],[Kohdentamat-tomat 1]]+Opv.kohd.[[#This Row],[Nuorisotyöt. väh. ja osaamistarp. vast., muu kuin työvoima-koulutus 1]]+Opv.kohd.[[#This Row],[Talousarvion perusteella kohdentamattomat]])</f>
        <v>0</v>
      </c>
      <c r="X65" s="210">
        <f>Opv.kohd.[[#This Row],[Kohdentamaton työvoima-koulutus 2]]-(Opv.kohd.[[#This Row],[Työvoima-koulutus 1]]+Opv.kohd.[[#This Row],[Nuorisotyöt. väh. ja osaamistarp. vast., työvoima-koulutus 1]]+Opv.kohd.[[#This Row],[Talousarvion perusteella työvoimakoulutus 1]])</f>
        <v>0</v>
      </c>
      <c r="Y65" s="210">
        <f>Opv.kohd.[[#This Row],[Maahan-muuttajien koulutus 2]]-Opv.kohd.[[#This Row],[Maahan-muuttajien koulutus 1]]</f>
        <v>0</v>
      </c>
      <c r="Z65" s="210">
        <f>Opv.kohd.[[#This Row],[Lisätalousarvioiden perusteella jaetut 2]]-Opv.kohd.[[#This Row],[Lisätalousarvioiden perusteella]]</f>
        <v>0</v>
      </c>
      <c r="AA65" s="210">
        <f>Opv.kohd.[[#This Row],[Toteutuneet opiskelijavuodet yhteensä 2]]-Opv.kohd.[[#This Row],[Vuoden 2018 tavoitteelliset opiskelijavuodet yhteensä 1]]</f>
        <v>0</v>
      </c>
      <c r="AB65" s="207">
        <f>IFERROR(VLOOKUP(Opv.kohd.[[#This Row],[Y-tunnus]],#REF!,3,FALSE),0)</f>
        <v>0</v>
      </c>
      <c r="AC65" s="207">
        <f>IFERROR(VLOOKUP(Opv.kohd.[[#This Row],[Y-tunnus]],#REF!,4,FALSE),0)</f>
        <v>0</v>
      </c>
      <c r="AD65" s="207">
        <f>IFERROR(VLOOKUP(Opv.kohd.[[#This Row],[Y-tunnus]],#REF!,5,FALSE),0)</f>
        <v>0</v>
      </c>
      <c r="AE65" s="207">
        <f>IFERROR(VLOOKUP(Opv.kohd.[[#This Row],[Y-tunnus]],#REF!,6,FALSE),0)</f>
        <v>0</v>
      </c>
      <c r="AF65" s="207">
        <f>IFERROR(VLOOKUP(Opv.kohd.[[#This Row],[Y-tunnus]],#REF!,7,FALSE),0)</f>
        <v>0</v>
      </c>
      <c r="AG65" s="207">
        <f>IFERROR(VLOOKUP(Opv.kohd.[[#This Row],[Y-tunnus]],#REF!,8,FALSE),0)</f>
        <v>0</v>
      </c>
      <c r="AH65" s="207">
        <f>IFERROR(VLOOKUP(Opv.kohd.[[#This Row],[Y-tunnus]],#REF!,9,FALSE),0)</f>
        <v>0</v>
      </c>
      <c r="AI65" s="207">
        <f>IFERROR(VLOOKUP(Opv.kohd.[[#This Row],[Y-tunnus]],#REF!,10,FALSE),0)</f>
        <v>0</v>
      </c>
      <c r="AJ65" s="204">
        <f>Opv.kohd.[[#This Row],[Järjestämisluvan mukaiset 4]]-Opv.kohd.[[#This Row],[Järjestämisluvan mukaiset 1]]</f>
        <v>0</v>
      </c>
      <c r="AK65" s="204">
        <f>Opv.kohd.[[#This Row],[Kohdentamat-tomat 4]]-Opv.kohd.[[#This Row],[Kohdentamat-tomat 1]]</f>
        <v>0</v>
      </c>
      <c r="AL65" s="204">
        <f>Opv.kohd.[[#This Row],[Työvoima-koulutus 4]]-Opv.kohd.[[#This Row],[Työvoima-koulutus 1]]</f>
        <v>0</v>
      </c>
      <c r="AM65" s="204">
        <f>Opv.kohd.[[#This Row],[Maahan-muuttajien koulutus 4]]-Opv.kohd.[[#This Row],[Maahan-muuttajien koulutus 1]]</f>
        <v>0</v>
      </c>
      <c r="AN65" s="204">
        <f>Opv.kohd.[[#This Row],[Nuorisotyöt. väh. ja osaamistarp. vast., muu kuin työvoima-koulutus 4]]-Opv.kohd.[[#This Row],[Nuorisotyöt. väh. ja osaamistarp. vast., muu kuin työvoima-koulutus 1]]</f>
        <v>0</v>
      </c>
      <c r="AO65" s="204">
        <f>Opv.kohd.[[#This Row],[Nuorisotyöt. väh. ja osaamistarp. vast., työvoima-koulutus 4]]-Opv.kohd.[[#This Row],[Nuorisotyöt. väh. ja osaamistarp. vast., työvoima-koulutus 1]]</f>
        <v>0</v>
      </c>
      <c r="AP65" s="204">
        <f>Opv.kohd.[[#This Row],[Yhteensä 4]]-Opv.kohd.[[#This Row],[Yhteensä  1]]</f>
        <v>0</v>
      </c>
      <c r="AQ65" s="204">
        <f>Opv.kohd.[[#This Row],[Ensikertaisella suoritepäätöksellä jaetut tavoitteelliset opiskelijavuodet yhteensä 4]]-Opv.kohd.[[#This Row],[Ensikertaisella suoritepäätöksellä jaetut tavoitteelliset opiskelijavuodet yhteensä 1]]</f>
        <v>0</v>
      </c>
      <c r="AR65" s="208">
        <f>IFERROR(Opv.kohd.[[#This Row],[Järjestämisluvan mukaiset 5]]/Opv.kohd.[[#This Row],[Järjestämisluvan mukaiset 4]],0)</f>
        <v>0</v>
      </c>
      <c r="AS65" s="208">
        <f>IFERROR(Opv.kohd.[[#This Row],[Kohdentamat-tomat 5]]/Opv.kohd.[[#This Row],[Kohdentamat-tomat 4]],0)</f>
        <v>0</v>
      </c>
      <c r="AT65" s="208">
        <f>IFERROR(Opv.kohd.[[#This Row],[Työvoima-koulutus 5]]/Opv.kohd.[[#This Row],[Työvoima-koulutus 4]],0)</f>
        <v>0</v>
      </c>
      <c r="AU65" s="208">
        <f>IFERROR(Opv.kohd.[[#This Row],[Maahan-muuttajien koulutus 5]]/Opv.kohd.[[#This Row],[Maahan-muuttajien koulutus 4]],0)</f>
        <v>0</v>
      </c>
      <c r="AV65" s="208">
        <f>IFERROR(Opv.kohd.[[#This Row],[Nuorisotyöt. väh. ja osaamistarp. vast., muu kuin työvoima-koulutus 5]]/Opv.kohd.[[#This Row],[Nuorisotyöt. väh. ja osaamistarp. vast., muu kuin työvoima-koulutus 4]],0)</f>
        <v>0</v>
      </c>
      <c r="AW65" s="208">
        <f>IFERROR(Opv.kohd.[[#This Row],[Nuorisotyöt. väh. ja osaamistarp. vast., työvoima-koulutus 5]]/Opv.kohd.[[#This Row],[Nuorisotyöt. väh. ja osaamistarp. vast., työvoima-koulutus 4]],0)</f>
        <v>0</v>
      </c>
      <c r="AX65" s="208">
        <f>IFERROR(Opv.kohd.[[#This Row],[Yhteensä 5]]/Opv.kohd.[[#This Row],[Yhteensä 4]],0)</f>
        <v>0</v>
      </c>
      <c r="AY65" s="208">
        <f>IFERROR(Opv.kohd.[[#This Row],[Ensikertaisella suoritepäätöksellä jaetut tavoitteelliset opiskelijavuodet yhteensä 5]]/Opv.kohd.[[#This Row],[Ensikertaisella suoritepäätöksellä jaetut tavoitteelliset opiskelijavuodet yhteensä 4]],0)</f>
        <v>0</v>
      </c>
      <c r="AZ65" s="207">
        <f>Opv.kohd.[[#This Row],[Yhteensä 7a]]-Opv.kohd.[[#This Row],[Työvoima-koulutus 7a]]</f>
        <v>0</v>
      </c>
      <c r="BA65" s="207">
        <f>IFERROR(VLOOKUP(Opv.kohd.[[#This Row],[Y-tunnus]],#REF!,COLUMN(#REF!),FALSE),0)</f>
        <v>0</v>
      </c>
      <c r="BB65" s="207">
        <f>IFERROR(VLOOKUP(Opv.kohd.[[#This Row],[Y-tunnus]],#REF!,COLUMN(#REF!),FALSE),0)</f>
        <v>0</v>
      </c>
      <c r="BC65" s="207">
        <f>Opv.kohd.[[#This Row],[Muu kuin työvoima-koulutus 7c]]-Opv.kohd.[[#This Row],[Muu kuin työvoima-koulutus 7a]]</f>
        <v>0</v>
      </c>
      <c r="BD65" s="207">
        <f>Opv.kohd.[[#This Row],[Työvoima-koulutus 7c]]-Opv.kohd.[[#This Row],[Työvoima-koulutus 7a]]</f>
        <v>0</v>
      </c>
      <c r="BE65" s="207">
        <f>Opv.kohd.[[#This Row],[Yhteensä 7c]]-Opv.kohd.[[#This Row],[Yhteensä 7a]]</f>
        <v>0</v>
      </c>
      <c r="BF65" s="207">
        <f>Opv.kohd.[[#This Row],[Yhteensä 7c]]-Opv.kohd.[[#This Row],[Työvoima-koulutus 7c]]</f>
        <v>0</v>
      </c>
      <c r="BG65" s="207">
        <f>IFERROR(VLOOKUP(Opv.kohd.[[#This Row],[Y-tunnus]],#REF!,COLUMN(#REF!),FALSE),0)</f>
        <v>0</v>
      </c>
      <c r="BH65" s="207">
        <f>IFERROR(VLOOKUP(Opv.kohd.[[#This Row],[Y-tunnus]],#REF!,COLUMN(#REF!),FALSE),0)</f>
        <v>0</v>
      </c>
      <c r="BI65" s="207">
        <f>IFERROR(VLOOKUP(Opv.kohd.[[#This Row],[Y-tunnus]],#REF!,COLUMN(#REF!),FALSE),0)</f>
        <v>0</v>
      </c>
      <c r="BJ65" s="207">
        <f>IFERROR(VLOOKUP(Opv.kohd.[[#This Row],[Y-tunnus]],#REF!,COLUMN(#REF!),FALSE),0)</f>
        <v>0</v>
      </c>
      <c r="BK65" s="207">
        <f>Opv.kohd.[[#This Row],[Muu kuin työvoima-koulutus 7d]]+Opv.kohd.[[#This Row],[Työvoima-koulutus 7d]]</f>
        <v>0</v>
      </c>
      <c r="BL65" s="207">
        <f>Opv.kohd.[[#This Row],[Muu kuin työvoima-koulutus 7c]]-Opv.kohd.[[#This Row],[Muu kuin työvoima-koulutus 7d]]</f>
        <v>0</v>
      </c>
      <c r="BM65" s="207">
        <f>Opv.kohd.[[#This Row],[Työvoima-koulutus 7c]]-Opv.kohd.[[#This Row],[Työvoima-koulutus 7d]]</f>
        <v>0</v>
      </c>
      <c r="BN65" s="207">
        <f>Opv.kohd.[[#This Row],[Yhteensä 7c]]-Opv.kohd.[[#This Row],[Yhteensä 7d]]</f>
        <v>0</v>
      </c>
      <c r="BO65" s="207">
        <f>Opv.kohd.[[#This Row],[Muu kuin työvoima-koulutus 7e]]-(Opv.kohd.[[#This Row],[Järjestämisluvan mukaiset 4]]+Opv.kohd.[[#This Row],[Kohdentamat-tomat 4]]+Opv.kohd.[[#This Row],[Maahan-muuttajien koulutus 4]]+Opv.kohd.[[#This Row],[Nuorisotyöt. väh. ja osaamistarp. vast., muu kuin työvoima-koulutus 4]])</f>
        <v>0</v>
      </c>
      <c r="BP65" s="207">
        <f>Opv.kohd.[[#This Row],[Työvoima-koulutus 7e]]-(Opv.kohd.[[#This Row],[Työvoima-koulutus 4]]+Opv.kohd.[[#This Row],[Nuorisotyöt. väh. ja osaamistarp. vast., työvoima-koulutus 4]])</f>
        <v>0</v>
      </c>
      <c r="BQ65" s="207">
        <f>Opv.kohd.[[#This Row],[Yhteensä 7e]]-Opv.kohd.[[#This Row],[Ensikertaisella suoritepäätöksellä jaetut tavoitteelliset opiskelijavuodet yhteensä 4]]</f>
        <v>0</v>
      </c>
      <c r="BR65" s="263">
        <v>0</v>
      </c>
      <c r="BS65" s="263">
        <v>30</v>
      </c>
      <c r="BT65" s="263">
        <v>0</v>
      </c>
      <c r="BU65" s="263">
        <v>0</v>
      </c>
      <c r="BV65" s="263">
        <v>0</v>
      </c>
      <c r="BW65" s="263">
        <v>0</v>
      </c>
      <c r="BX65" s="263">
        <v>30</v>
      </c>
      <c r="BY65" s="263">
        <v>30</v>
      </c>
      <c r="BZ65" s="207">
        <f t="shared" si="2"/>
        <v>0</v>
      </c>
      <c r="CA65" s="207">
        <f t="shared" si="3"/>
        <v>30</v>
      </c>
      <c r="CB65" s="207">
        <f t="shared" si="4"/>
        <v>0</v>
      </c>
      <c r="CC65" s="207">
        <f t="shared" si="5"/>
        <v>0</v>
      </c>
      <c r="CD65" s="207">
        <f t="shared" si="6"/>
        <v>0</v>
      </c>
      <c r="CE65" s="207">
        <f t="shared" si="7"/>
        <v>0</v>
      </c>
      <c r="CF65" s="207">
        <f t="shared" si="8"/>
        <v>30</v>
      </c>
      <c r="CG65" s="207">
        <f t="shared" si="9"/>
        <v>30</v>
      </c>
      <c r="CH65" s="207">
        <f>Opv.kohd.[[#This Row],[Tavoitteelliset opiskelijavuodet yhteensä 9]]-Opv.kohd.[[#This Row],[Työvoima-koulutus 9]]-Opv.kohd.[[#This Row],[Nuorisotyöt. väh. ja osaamistarp. vast., työvoima-koulutus 9]]-Opv.kohd.[[#This Row],[Muu kuin työvoima-koulutus 7e]]</f>
        <v>30</v>
      </c>
      <c r="CI65" s="207">
        <f>(Opv.kohd.[[#This Row],[Työvoima-koulutus 9]]+Opv.kohd.[[#This Row],[Nuorisotyöt. väh. ja osaamistarp. vast., työvoima-koulutus 9]])-Opv.kohd.[[#This Row],[Työvoima-koulutus 7e]]</f>
        <v>0</v>
      </c>
      <c r="CJ65" s="207">
        <f>Opv.kohd.[[#This Row],[Tavoitteelliset opiskelijavuodet yhteensä 9]]-Opv.kohd.[[#This Row],[Yhteensä 7e]]</f>
        <v>30</v>
      </c>
      <c r="CK65" s="207">
        <f>Opv.kohd.[[#This Row],[Järjestämisluvan mukaiset 4]]+Opv.kohd.[[#This Row],[Järjestämisluvan mukaiset 13]]</f>
        <v>0</v>
      </c>
      <c r="CL65" s="207">
        <f>Opv.kohd.[[#This Row],[Kohdentamat-tomat 4]]+Opv.kohd.[[#This Row],[Kohdentamat-tomat 13]]</f>
        <v>0</v>
      </c>
      <c r="CM65" s="207">
        <f>Opv.kohd.[[#This Row],[Työvoima-koulutus 4]]+Opv.kohd.[[#This Row],[Työvoima-koulutus 13]]</f>
        <v>0</v>
      </c>
      <c r="CN65" s="207">
        <f>Opv.kohd.[[#This Row],[Maahan-muuttajien koulutus 4]]+Opv.kohd.[[#This Row],[Maahan-muuttajien koulutus 13]]</f>
        <v>0</v>
      </c>
      <c r="CO65" s="207">
        <f>Opv.kohd.[[#This Row],[Nuorisotyöt. väh. ja osaamistarp. vast., muu kuin työvoima-koulutus 4]]+Opv.kohd.[[#This Row],[Nuorisotyöt. väh. ja osaamistarp. vast., muu kuin työvoima-koulutus 13]]</f>
        <v>0</v>
      </c>
      <c r="CP65" s="207">
        <f>Opv.kohd.[[#This Row],[Nuorisotyöt. väh. ja osaamistarp. vast., työvoima-koulutus 4]]+Opv.kohd.[[#This Row],[Nuorisotyöt. väh. ja osaamistarp. vast., työvoima-koulutus 13]]</f>
        <v>0</v>
      </c>
      <c r="CQ65" s="207">
        <f>Opv.kohd.[[#This Row],[Yhteensä 4]]+Opv.kohd.[[#This Row],[Yhteensä 13]]</f>
        <v>0</v>
      </c>
      <c r="CR65" s="207">
        <f>Opv.kohd.[[#This Row],[Ensikertaisella suoritepäätöksellä jaetut tavoitteelliset opiskelijavuodet yhteensä 4]]+Opv.kohd.[[#This Row],[Tavoitteelliset opiskelijavuodet yhteensä 13]]</f>
        <v>0</v>
      </c>
      <c r="CS65" s="120">
        <v>0</v>
      </c>
      <c r="CT65" s="120">
        <v>0</v>
      </c>
      <c r="CU65" s="120">
        <v>0</v>
      </c>
      <c r="CV65" s="120">
        <v>0</v>
      </c>
      <c r="CW65" s="120">
        <v>0</v>
      </c>
      <c r="CX65" s="120">
        <v>0</v>
      </c>
      <c r="CY65" s="120">
        <v>0</v>
      </c>
      <c r="CZ65" s="120">
        <v>0</v>
      </c>
      <c r="DA65" s="209">
        <f>IFERROR(Opv.kohd.[[#This Row],[Järjestämisluvan mukaiset 13]]/Opv.kohd.[[#This Row],[Järjestämisluvan mukaiset 12]],0)</f>
        <v>0</v>
      </c>
      <c r="DB65" s="209">
        <f>IFERROR(Opv.kohd.[[#This Row],[Kohdentamat-tomat 13]]/Opv.kohd.[[#This Row],[Kohdentamat-tomat 12]],0)</f>
        <v>0</v>
      </c>
      <c r="DC65" s="209">
        <f>IFERROR(Opv.kohd.[[#This Row],[Työvoima-koulutus 13]]/Opv.kohd.[[#This Row],[Työvoima-koulutus 12]],0)</f>
        <v>0</v>
      </c>
      <c r="DD65" s="209">
        <f>IFERROR(Opv.kohd.[[#This Row],[Maahan-muuttajien koulutus 13]]/Opv.kohd.[[#This Row],[Maahan-muuttajien koulutus 12]],0)</f>
        <v>0</v>
      </c>
      <c r="DE65" s="209">
        <f>IFERROR(Opv.kohd.[[#This Row],[Nuorisotyöt. väh. ja osaamistarp. vast., muu kuin työvoima-koulutus 13]]/Opv.kohd.[[#This Row],[Nuorisotyöt. väh. ja osaamistarp. vast., muu kuin työvoima-koulutus 12]],0)</f>
        <v>0</v>
      </c>
      <c r="DF65" s="209">
        <f>IFERROR(Opv.kohd.[[#This Row],[Nuorisotyöt. väh. ja osaamistarp. vast., työvoima-koulutus 13]]/Opv.kohd.[[#This Row],[Nuorisotyöt. väh. ja osaamistarp. vast., työvoima-koulutus 12]],0)</f>
        <v>0</v>
      </c>
      <c r="DG65" s="209">
        <f>IFERROR(Opv.kohd.[[#This Row],[Yhteensä 13]]/Opv.kohd.[[#This Row],[Yhteensä 12]],0)</f>
        <v>0</v>
      </c>
      <c r="DH65" s="209">
        <f>IFERROR(Opv.kohd.[[#This Row],[Tavoitteelliset opiskelijavuodet yhteensä 13]]/Opv.kohd.[[#This Row],[Tavoitteelliset opiskelijavuodet yhteensä 12]],0)</f>
        <v>0</v>
      </c>
      <c r="DI65" s="207">
        <f>Opv.kohd.[[#This Row],[Järjestämisluvan mukaiset 12]]-Opv.kohd.[[#This Row],[Järjestämisluvan mukaiset 9]]</f>
        <v>0</v>
      </c>
      <c r="DJ65" s="207">
        <f>Opv.kohd.[[#This Row],[Kohdentamat-tomat 12]]-Opv.kohd.[[#This Row],[Kohdentamat-tomat 9]]</f>
        <v>-30</v>
      </c>
      <c r="DK65" s="207">
        <f>Opv.kohd.[[#This Row],[Työvoima-koulutus 12]]-Opv.kohd.[[#This Row],[Työvoima-koulutus 9]]</f>
        <v>0</v>
      </c>
      <c r="DL65" s="207">
        <f>Opv.kohd.[[#This Row],[Maahan-muuttajien koulutus 12]]-Opv.kohd.[[#This Row],[Maahan-muuttajien koulutus 9]]</f>
        <v>0</v>
      </c>
      <c r="DM65" s="207">
        <f>Opv.kohd.[[#This Row],[Nuorisotyöt. väh. ja osaamistarp. vast., muu kuin työvoima-koulutus 12]]-Opv.kohd.[[#This Row],[Nuorisotyöt. väh. ja osaamistarp. vast., muu kuin työvoima-koulutus 9]]</f>
        <v>0</v>
      </c>
      <c r="DN65" s="207">
        <f>Opv.kohd.[[#This Row],[Nuorisotyöt. väh. ja osaamistarp. vast., työvoima-koulutus 12]]-Opv.kohd.[[#This Row],[Nuorisotyöt. väh. ja osaamistarp. vast., työvoima-koulutus 9]]</f>
        <v>0</v>
      </c>
      <c r="DO65" s="207">
        <f>Opv.kohd.[[#This Row],[Yhteensä 12]]-Opv.kohd.[[#This Row],[Yhteensä 9]]</f>
        <v>-30</v>
      </c>
      <c r="DP65" s="207">
        <f>Opv.kohd.[[#This Row],[Tavoitteelliset opiskelijavuodet yhteensä 12]]-Opv.kohd.[[#This Row],[Tavoitteelliset opiskelijavuodet yhteensä 9]]</f>
        <v>-30</v>
      </c>
      <c r="DQ65" s="209">
        <f>IFERROR(Opv.kohd.[[#This Row],[Järjestämisluvan mukaiset 15]]/Opv.kohd.[[#This Row],[Järjestämisluvan mukaiset 9]],0)</f>
        <v>0</v>
      </c>
      <c r="DR65" s="209">
        <f t="shared" si="10"/>
        <v>0</v>
      </c>
      <c r="DS65" s="209">
        <f t="shared" si="11"/>
        <v>0</v>
      </c>
      <c r="DT65" s="209">
        <f t="shared" si="12"/>
        <v>0</v>
      </c>
      <c r="DU65" s="209">
        <f t="shared" si="13"/>
        <v>0</v>
      </c>
      <c r="DV65" s="209">
        <f t="shared" si="14"/>
        <v>0</v>
      </c>
      <c r="DW65" s="209">
        <f t="shared" si="15"/>
        <v>0</v>
      </c>
      <c r="DX65" s="209">
        <f t="shared" si="16"/>
        <v>0</v>
      </c>
    </row>
    <row r="66" spans="1:128" x14ac:dyDescent="0.25">
      <c r="A66" s="204" t="e">
        <f>IF(INDEX(#REF!,ROW(66:66)-1,1)=0,"",INDEX(#REF!,ROW(66:66)-1,1))</f>
        <v>#REF!</v>
      </c>
      <c r="B66" s="205" t="str">
        <f>IFERROR(VLOOKUP(Opv.kohd.[[#This Row],[Y-tunnus]],'0 Järjestäjätiedot'!$A:$H,2,FALSE),"")</f>
        <v/>
      </c>
      <c r="C66" s="204" t="str">
        <f>IFERROR(VLOOKUP(Opv.kohd.[[#This Row],[Y-tunnus]],'0 Järjestäjätiedot'!$A:$H,COLUMN('0 Järjestäjätiedot'!D:D),FALSE),"")</f>
        <v/>
      </c>
      <c r="D66" s="204" t="str">
        <f>IFERROR(VLOOKUP(Opv.kohd.[[#This Row],[Y-tunnus]],'0 Järjestäjätiedot'!$A:$H,COLUMN('0 Järjestäjätiedot'!H:H),FALSE),"")</f>
        <v/>
      </c>
      <c r="E66" s="204">
        <f>IFERROR(VLOOKUP(Opv.kohd.[[#This Row],[Y-tunnus]],#REF!,COLUMN(#REF!),FALSE),0)</f>
        <v>0</v>
      </c>
      <c r="F66" s="204">
        <f>IFERROR(VLOOKUP(Opv.kohd.[[#This Row],[Y-tunnus]],#REF!,COLUMN(#REF!),FALSE),0)</f>
        <v>0</v>
      </c>
      <c r="G66" s="204">
        <f>IFERROR(VLOOKUP(Opv.kohd.[[#This Row],[Y-tunnus]],#REF!,COLUMN(#REF!),FALSE),0)</f>
        <v>0</v>
      </c>
      <c r="H66" s="204">
        <f>IFERROR(VLOOKUP(Opv.kohd.[[#This Row],[Y-tunnus]],#REF!,COLUMN(#REF!),FALSE),0)</f>
        <v>0</v>
      </c>
      <c r="I66" s="204">
        <f>IFERROR(VLOOKUP(Opv.kohd.[[#This Row],[Y-tunnus]],#REF!,COLUMN(#REF!),FALSE),0)</f>
        <v>0</v>
      </c>
      <c r="J66" s="204">
        <f>IFERROR(VLOOKUP(Opv.kohd.[[#This Row],[Y-tunnus]],#REF!,COLUMN(#REF!),FALSE),0)</f>
        <v>0</v>
      </c>
      <c r="K6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66" s="204">
        <f>Opv.kohd.[[#This Row],[Järjestämisluvan mukaiset 1]]+Opv.kohd.[[#This Row],[Yhteensä  1]]</f>
        <v>0</v>
      </c>
      <c r="M66" s="204">
        <f>IFERROR(VLOOKUP(Opv.kohd.[[#This Row],[Y-tunnus]],#REF!,COLUMN(#REF!),FALSE),0)</f>
        <v>0</v>
      </c>
      <c r="N66" s="204">
        <f>IFERROR(VLOOKUP(Opv.kohd.[[#This Row],[Y-tunnus]],#REF!,COLUMN(#REF!),FALSE),0)</f>
        <v>0</v>
      </c>
      <c r="O66" s="204">
        <f>IFERROR(VLOOKUP(Opv.kohd.[[#This Row],[Y-tunnus]],#REF!,COLUMN(#REF!),FALSE)+VLOOKUP(Opv.kohd.[[#This Row],[Y-tunnus]],#REF!,COLUMN(#REF!),FALSE),0)</f>
        <v>0</v>
      </c>
      <c r="P66" s="204">
        <f>Opv.kohd.[[#This Row],[Talousarvion perusteella kohdentamattomat]]+Opv.kohd.[[#This Row],[Talousarvion perusteella työvoimakoulutus 1]]+Opv.kohd.[[#This Row],[Lisätalousarvioiden perusteella]]</f>
        <v>0</v>
      </c>
      <c r="Q66" s="204">
        <f>IFERROR(VLOOKUP(Opv.kohd.[[#This Row],[Y-tunnus]],#REF!,COLUMN(#REF!),FALSE),0)</f>
        <v>0</v>
      </c>
      <c r="R66" s="210">
        <f>IFERROR(VLOOKUP(Opv.kohd.[[#This Row],[Y-tunnus]],#REF!,COLUMN(#REF!),FALSE)-(Opv.kohd.[[#This Row],[Kohdentamaton työvoima-koulutus 2]]+Opv.kohd.[[#This Row],[Maahan-muuttajien koulutus 2]]+Opv.kohd.[[#This Row],[Lisätalousarvioiden perusteella jaetut 2]]),0)</f>
        <v>0</v>
      </c>
      <c r="S66" s="210">
        <f>IFERROR(VLOOKUP(Opv.kohd.[[#This Row],[Y-tunnus]],#REF!,COLUMN(#REF!),FALSE)+VLOOKUP(Opv.kohd.[[#This Row],[Y-tunnus]],#REF!,COLUMN(#REF!),FALSE),0)</f>
        <v>0</v>
      </c>
      <c r="T66" s="210">
        <f>IFERROR(VLOOKUP(Opv.kohd.[[#This Row],[Y-tunnus]],#REF!,COLUMN(#REF!),FALSE)+VLOOKUP(Opv.kohd.[[#This Row],[Y-tunnus]],#REF!,COLUMN(#REF!),FALSE),0)</f>
        <v>0</v>
      </c>
      <c r="U6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66" s="210">
        <f>Opv.kohd.[[#This Row],[Kohdentamat-tomat 2]]+Opv.kohd.[[#This Row],[Kohdentamaton työvoima-koulutus 2]]+Opv.kohd.[[#This Row],[Maahan-muuttajien koulutus 2]]+Opv.kohd.[[#This Row],[Lisätalousarvioiden perusteella jaetut 2]]</f>
        <v>0</v>
      </c>
      <c r="W66" s="210">
        <f>Opv.kohd.[[#This Row],[Kohdentamat-tomat 2]]-(Opv.kohd.[[#This Row],[Järjestämisluvan mukaiset 1]]+Opv.kohd.[[#This Row],[Kohdentamat-tomat 1]]+Opv.kohd.[[#This Row],[Nuorisotyöt. väh. ja osaamistarp. vast., muu kuin työvoima-koulutus 1]]+Opv.kohd.[[#This Row],[Talousarvion perusteella kohdentamattomat]])</f>
        <v>0</v>
      </c>
      <c r="X66" s="210">
        <f>Opv.kohd.[[#This Row],[Kohdentamaton työvoima-koulutus 2]]-(Opv.kohd.[[#This Row],[Työvoima-koulutus 1]]+Opv.kohd.[[#This Row],[Nuorisotyöt. väh. ja osaamistarp. vast., työvoima-koulutus 1]]+Opv.kohd.[[#This Row],[Talousarvion perusteella työvoimakoulutus 1]])</f>
        <v>0</v>
      </c>
      <c r="Y66" s="210">
        <f>Opv.kohd.[[#This Row],[Maahan-muuttajien koulutus 2]]-Opv.kohd.[[#This Row],[Maahan-muuttajien koulutus 1]]</f>
        <v>0</v>
      </c>
      <c r="Z66" s="210">
        <f>Opv.kohd.[[#This Row],[Lisätalousarvioiden perusteella jaetut 2]]-Opv.kohd.[[#This Row],[Lisätalousarvioiden perusteella]]</f>
        <v>0</v>
      </c>
      <c r="AA66" s="210">
        <f>Opv.kohd.[[#This Row],[Toteutuneet opiskelijavuodet yhteensä 2]]-Opv.kohd.[[#This Row],[Vuoden 2018 tavoitteelliset opiskelijavuodet yhteensä 1]]</f>
        <v>0</v>
      </c>
      <c r="AB66" s="207">
        <f>IFERROR(VLOOKUP(Opv.kohd.[[#This Row],[Y-tunnus]],#REF!,3,FALSE),0)</f>
        <v>0</v>
      </c>
      <c r="AC66" s="207">
        <f>IFERROR(VLOOKUP(Opv.kohd.[[#This Row],[Y-tunnus]],#REF!,4,FALSE),0)</f>
        <v>0</v>
      </c>
      <c r="AD66" s="207">
        <f>IFERROR(VLOOKUP(Opv.kohd.[[#This Row],[Y-tunnus]],#REF!,5,FALSE),0)</f>
        <v>0</v>
      </c>
      <c r="AE66" s="207">
        <f>IFERROR(VLOOKUP(Opv.kohd.[[#This Row],[Y-tunnus]],#REF!,6,FALSE),0)</f>
        <v>0</v>
      </c>
      <c r="AF66" s="207">
        <f>IFERROR(VLOOKUP(Opv.kohd.[[#This Row],[Y-tunnus]],#REF!,7,FALSE),0)</f>
        <v>0</v>
      </c>
      <c r="AG66" s="207">
        <f>IFERROR(VLOOKUP(Opv.kohd.[[#This Row],[Y-tunnus]],#REF!,8,FALSE),0)</f>
        <v>0</v>
      </c>
      <c r="AH66" s="207">
        <f>IFERROR(VLOOKUP(Opv.kohd.[[#This Row],[Y-tunnus]],#REF!,9,FALSE),0)</f>
        <v>0</v>
      </c>
      <c r="AI66" s="207">
        <f>IFERROR(VLOOKUP(Opv.kohd.[[#This Row],[Y-tunnus]],#REF!,10,FALSE),0)</f>
        <v>0</v>
      </c>
      <c r="AJ66" s="204">
        <f>Opv.kohd.[[#This Row],[Järjestämisluvan mukaiset 4]]-Opv.kohd.[[#This Row],[Järjestämisluvan mukaiset 1]]</f>
        <v>0</v>
      </c>
      <c r="AK66" s="204">
        <f>Opv.kohd.[[#This Row],[Kohdentamat-tomat 4]]-Opv.kohd.[[#This Row],[Kohdentamat-tomat 1]]</f>
        <v>0</v>
      </c>
      <c r="AL66" s="204">
        <f>Opv.kohd.[[#This Row],[Työvoima-koulutus 4]]-Opv.kohd.[[#This Row],[Työvoima-koulutus 1]]</f>
        <v>0</v>
      </c>
      <c r="AM66" s="204">
        <f>Opv.kohd.[[#This Row],[Maahan-muuttajien koulutus 4]]-Opv.kohd.[[#This Row],[Maahan-muuttajien koulutus 1]]</f>
        <v>0</v>
      </c>
      <c r="AN66" s="204">
        <f>Opv.kohd.[[#This Row],[Nuorisotyöt. väh. ja osaamistarp. vast., muu kuin työvoima-koulutus 4]]-Opv.kohd.[[#This Row],[Nuorisotyöt. väh. ja osaamistarp. vast., muu kuin työvoima-koulutus 1]]</f>
        <v>0</v>
      </c>
      <c r="AO66" s="204">
        <f>Opv.kohd.[[#This Row],[Nuorisotyöt. väh. ja osaamistarp. vast., työvoima-koulutus 4]]-Opv.kohd.[[#This Row],[Nuorisotyöt. väh. ja osaamistarp. vast., työvoima-koulutus 1]]</f>
        <v>0</v>
      </c>
      <c r="AP66" s="204">
        <f>Opv.kohd.[[#This Row],[Yhteensä 4]]-Opv.kohd.[[#This Row],[Yhteensä  1]]</f>
        <v>0</v>
      </c>
      <c r="AQ66" s="204">
        <f>Opv.kohd.[[#This Row],[Ensikertaisella suoritepäätöksellä jaetut tavoitteelliset opiskelijavuodet yhteensä 4]]-Opv.kohd.[[#This Row],[Ensikertaisella suoritepäätöksellä jaetut tavoitteelliset opiskelijavuodet yhteensä 1]]</f>
        <v>0</v>
      </c>
      <c r="AR66" s="208">
        <f>IFERROR(Opv.kohd.[[#This Row],[Järjestämisluvan mukaiset 5]]/Opv.kohd.[[#This Row],[Järjestämisluvan mukaiset 4]],0)</f>
        <v>0</v>
      </c>
      <c r="AS66" s="208">
        <f>IFERROR(Opv.kohd.[[#This Row],[Kohdentamat-tomat 5]]/Opv.kohd.[[#This Row],[Kohdentamat-tomat 4]],0)</f>
        <v>0</v>
      </c>
      <c r="AT66" s="208">
        <f>IFERROR(Opv.kohd.[[#This Row],[Työvoima-koulutus 5]]/Opv.kohd.[[#This Row],[Työvoima-koulutus 4]],0)</f>
        <v>0</v>
      </c>
      <c r="AU66" s="208">
        <f>IFERROR(Opv.kohd.[[#This Row],[Maahan-muuttajien koulutus 5]]/Opv.kohd.[[#This Row],[Maahan-muuttajien koulutus 4]],0)</f>
        <v>0</v>
      </c>
      <c r="AV66" s="208">
        <f>IFERROR(Opv.kohd.[[#This Row],[Nuorisotyöt. väh. ja osaamistarp. vast., muu kuin työvoima-koulutus 5]]/Opv.kohd.[[#This Row],[Nuorisotyöt. väh. ja osaamistarp. vast., muu kuin työvoima-koulutus 4]],0)</f>
        <v>0</v>
      </c>
      <c r="AW66" s="208">
        <f>IFERROR(Opv.kohd.[[#This Row],[Nuorisotyöt. väh. ja osaamistarp. vast., työvoima-koulutus 5]]/Opv.kohd.[[#This Row],[Nuorisotyöt. väh. ja osaamistarp. vast., työvoima-koulutus 4]],0)</f>
        <v>0</v>
      </c>
      <c r="AX66" s="208">
        <f>IFERROR(Opv.kohd.[[#This Row],[Yhteensä 5]]/Opv.kohd.[[#This Row],[Yhteensä 4]],0)</f>
        <v>0</v>
      </c>
      <c r="AY66" s="208">
        <f>IFERROR(Opv.kohd.[[#This Row],[Ensikertaisella suoritepäätöksellä jaetut tavoitteelliset opiskelijavuodet yhteensä 5]]/Opv.kohd.[[#This Row],[Ensikertaisella suoritepäätöksellä jaetut tavoitteelliset opiskelijavuodet yhteensä 4]],0)</f>
        <v>0</v>
      </c>
      <c r="AZ66" s="207">
        <f>Opv.kohd.[[#This Row],[Yhteensä 7a]]-Opv.kohd.[[#This Row],[Työvoima-koulutus 7a]]</f>
        <v>0</v>
      </c>
      <c r="BA66" s="207">
        <f>IFERROR(VLOOKUP(Opv.kohd.[[#This Row],[Y-tunnus]],#REF!,COLUMN(#REF!),FALSE),0)</f>
        <v>0</v>
      </c>
      <c r="BB66" s="207">
        <f>IFERROR(VLOOKUP(Opv.kohd.[[#This Row],[Y-tunnus]],#REF!,COLUMN(#REF!),FALSE),0)</f>
        <v>0</v>
      </c>
      <c r="BC66" s="207">
        <f>Opv.kohd.[[#This Row],[Muu kuin työvoima-koulutus 7c]]-Opv.kohd.[[#This Row],[Muu kuin työvoima-koulutus 7a]]</f>
        <v>0</v>
      </c>
      <c r="BD66" s="207">
        <f>Opv.kohd.[[#This Row],[Työvoima-koulutus 7c]]-Opv.kohd.[[#This Row],[Työvoima-koulutus 7a]]</f>
        <v>0</v>
      </c>
      <c r="BE66" s="207">
        <f>Opv.kohd.[[#This Row],[Yhteensä 7c]]-Opv.kohd.[[#This Row],[Yhteensä 7a]]</f>
        <v>0</v>
      </c>
      <c r="BF66" s="207">
        <f>Opv.kohd.[[#This Row],[Yhteensä 7c]]-Opv.kohd.[[#This Row],[Työvoima-koulutus 7c]]</f>
        <v>0</v>
      </c>
      <c r="BG66" s="207">
        <f>IFERROR(VLOOKUP(Opv.kohd.[[#This Row],[Y-tunnus]],#REF!,COLUMN(#REF!),FALSE),0)</f>
        <v>0</v>
      </c>
      <c r="BH66" s="207">
        <f>IFERROR(VLOOKUP(Opv.kohd.[[#This Row],[Y-tunnus]],#REF!,COLUMN(#REF!),FALSE),0)</f>
        <v>0</v>
      </c>
      <c r="BI66" s="207">
        <f>IFERROR(VLOOKUP(Opv.kohd.[[#This Row],[Y-tunnus]],#REF!,COLUMN(#REF!),FALSE),0)</f>
        <v>0</v>
      </c>
      <c r="BJ66" s="207">
        <f>IFERROR(VLOOKUP(Opv.kohd.[[#This Row],[Y-tunnus]],#REF!,COLUMN(#REF!),FALSE),0)</f>
        <v>0</v>
      </c>
      <c r="BK66" s="207">
        <f>Opv.kohd.[[#This Row],[Muu kuin työvoima-koulutus 7d]]+Opv.kohd.[[#This Row],[Työvoima-koulutus 7d]]</f>
        <v>0</v>
      </c>
      <c r="BL66" s="207">
        <f>Opv.kohd.[[#This Row],[Muu kuin työvoima-koulutus 7c]]-Opv.kohd.[[#This Row],[Muu kuin työvoima-koulutus 7d]]</f>
        <v>0</v>
      </c>
      <c r="BM66" s="207">
        <f>Opv.kohd.[[#This Row],[Työvoima-koulutus 7c]]-Opv.kohd.[[#This Row],[Työvoima-koulutus 7d]]</f>
        <v>0</v>
      </c>
      <c r="BN66" s="207">
        <f>Opv.kohd.[[#This Row],[Yhteensä 7c]]-Opv.kohd.[[#This Row],[Yhteensä 7d]]</f>
        <v>0</v>
      </c>
      <c r="BO66" s="207">
        <f>Opv.kohd.[[#This Row],[Muu kuin työvoima-koulutus 7e]]-(Opv.kohd.[[#This Row],[Järjestämisluvan mukaiset 4]]+Opv.kohd.[[#This Row],[Kohdentamat-tomat 4]]+Opv.kohd.[[#This Row],[Maahan-muuttajien koulutus 4]]+Opv.kohd.[[#This Row],[Nuorisotyöt. väh. ja osaamistarp. vast., muu kuin työvoima-koulutus 4]])</f>
        <v>0</v>
      </c>
      <c r="BP66" s="207">
        <f>Opv.kohd.[[#This Row],[Työvoima-koulutus 7e]]-(Opv.kohd.[[#This Row],[Työvoima-koulutus 4]]+Opv.kohd.[[#This Row],[Nuorisotyöt. väh. ja osaamistarp. vast., työvoima-koulutus 4]])</f>
        <v>0</v>
      </c>
      <c r="BQ66" s="207">
        <f>Opv.kohd.[[#This Row],[Yhteensä 7e]]-Opv.kohd.[[#This Row],[Ensikertaisella suoritepäätöksellä jaetut tavoitteelliset opiskelijavuodet yhteensä 4]]</f>
        <v>0</v>
      </c>
      <c r="BR66" s="263">
        <v>97</v>
      </c>
      <c r="BS66" s="263">
        <v>7</v>
      </c>
      <c r="BT66" s="263">
        <v>0</v>
      </c>
      <c r="BU66" s="263">
        <v>3</v>
      </c>
      <c r="BV66" s="263">
        <v>0</v>
      </c>
      <c r="BW66" s="263">
        <v>0</v>
      </c>
      <c r="BX66" s="263">
        <v>10</v>
      </c>
      <c r="BY66" s="263">
        <v>107</v>
      </c>
      <c r="BZ66" s="207">
        <f t="shared" si="2"/>
        <v>97</v>
      </c>
      <c r="CA66" s="207">
        <f t="shared" si="3"/>
        <v>7</v>
      </c>
      <c r="CB66" s="207">
        <f t="shared" si="4"/>
        <v>0</v>
      </c>
      <c r="CC66" s="207">
        <f t="shared" si="5"/>
        <v>3</v>
      </c>
      <c r="CD66" s="207">
        <f t="shared" si="6"/>
        <v>0</v>
      </c>
      <c r="CE66" s="207">
        <f t="shared" si="7"/>
        <v>0</v>
      </c>
      <c r="CF66" s="207">
        <f t="shared" si="8"/>
        <v>10</v>
      </c>
      <c r="CG66" s="207">
        <f t="shared" si="9"/>
        <v>107</v>
      </c>
      <c r="CH66" s="207">
        <f>Opv.kohd.[[#This Row],[Tavoitteelliset opiskelijavuodet yhteensä 9]]-Opv.kohd.[[#This Row],[Työvoima-koulutus 9]]-Opv.kohd.[[#This Row],[Nuorisotyöt. väh. ja osaamistarp. vast., työvoima-koulutus 9]]-Opv.kohd.[[#This Row],[Muu kuin työvoima-koulutus 7e]]</f>
        <v>107</v>
      </c>
      <c r="CI66" s="207">
        <f>(Opv.kohd.[[#This Row],[Työvoima-koulutus 9]]+Opv.kohd.[[#This Row],[Nuorisotyöt. väh. ja osaamistarp. vast., työvoima-koulutus 9]])-Opv.kohd.[[#This Row],[Työvoima-koulutus 7e]]</f>
        <v>0</v>
      </c>
      <c r="CJ66" s="207">
        <f>Opv.kohd.[[#This Row],[Tavoitteelliset opiskelijavuodet yhteensä 9]]-Opv.kohd.[[#This Row],[Yhteensä 7e]]</f>
        <v>107</v>
      </c>
      <c r="CK66" s="207">
        <f>Opv.kohd.[[#This Row],[Järjestämisluvan mukaiset 4]]+Opv.kohd.[[#This Row],[Järjestämisluvan mukaiset 13]]</f>
        <v>0</v>
      </c>
      <c r="CL66" s="207">
        <f>Opv.kohd.[[#This Row],[Kohdentamat-tomat 4]]+Opv.kohd.[[#This Row],[Kohdentamat-tomat 13]]</f>
        <v>0</v>
      </c>
      <c r="CM66" s="207">
        <f>Opv.kohd.[[#This Row],[Työvoima-koulutus 4]]+Opv.kohd.[[#This Row],[Työvoima-koulutus 13]]</f>
        <v>0</v>
      </c>
      <c r="CN66" s="207">
        <f>Opv.kohd.[[#This Row],[Maahan-muuttajien koulutus 4]]+Opv.kohd.[[#This Row],[Maahan-muuttajien koulutus 13]]</f>
        <v>0</v>
      </c>
      <c r="CO66" s="207">
        <f>Opv.kohd.[[#This Row],[Nuorisotyöt. väh. ja osaamistarp. vast., muu kuin työvoima-koulutus 4]]+Opv.kohd.[[#This Row],[Nuorisotyöt. väh. ja osaamistarp. vast., muu kuin työvoima-koulutus 13]]</f>
        <v>0</v>
      </c>
      <c r="CP66" s="207">
        <f>Opv.kohd.[[#This Row],[Nuorisotyöt. väh. ja osaamistarp. vast., työvoima-koulutus 4]]+Opv.kohd.[[#This Row],[Nuorisotyöt. väh. ja osaamistarp. vast., työvoima-koulutus 13]]</f>
        <v>0</v>
      </c>
      <c r="CQ66" s="207">
        <f>Opv.kohd.[[#This Row],[Yhteensä 4]]+Opv.kohd.[[#This Row],[Yhteensä 13]]</f>
        <v>0</v>
      </c>
      <c r="CR66" s="207">
        <f>Opv.kohd.[[#This Row],[Ensikertaisella suoritepäätöksellä jaetut tavoitteelliset opiskelijavuodet yhteensä 4]]+Opv.kohd.[[#This Row],[Tavoitteelliset opiskelijavuodet yhteensä 13]]</f>
        <v>0</v>
      </c>
      <c r="CS66" s="120">
        <v>0</v>
      </c>
      <c r="CT66" s="120">
        <v>0</v>
      </c>
      <c r="CU66" s="120">
        <v>0</v>
      </c>
      <c r="CV66" s="120">
        <v>0</v>
      </c>
      <c r="CW66" s="120">
        <v>0</v>
      </c>
      <c r="CX66" s="120">
        <v>0</v>
      </c>
      <c r="CY66" s="120">
        <v>0</v>
      </c>
      <c r="CZ66" s="120">
        <v>0</v>
      </c>
      <c r="DA66" s="209">
        <f>IFERROR(Opv.kohd.[[#This Row],[Järjestämisluvan mukaiset 13]]/Opv.kohd.[[#This Row],[Järjestämisluvan mukaiset 12]],0)</f>
        <v>0</v>
      </c>
      <c r="DB66" s="209">
        <f>IFERROR(Opv.kohd.[[#This Row],[Kohdentamat-tomat 13]]/Opv.kohd.[[#This Row],[Kohdentamat-tomat 12]],0)</f>
        <v>0</v>
      </c>
      <c r="DC66" s="209">
        <f>IFERROR(Opv.kohd.[[#This Row],[Työvoima-koulutus 13]]/Opv.kohd.[[#This Row],[Työvoima-koulutus 12]],0)</f>
        <v>0</v>
      </c>
      <c r="DD66" s="209">
        <f>IFERROR(Opv.kohd.[[#This Row],[Maahan-muuttajien koulutus 13]]/Opv.kohd.[[#This Row],[Maahan-muuttajien koulutus 12]],0)</f>
        <v>0</v>
      </c>
      <c r="DE66" s="209">
        <f>IFERROR(Opv.kohd.[[#This Row],[Nuorisotyöt. väh. ja osaamistarp. vast., muu kuin työvoima-koulutus 13]]/Opv.kohd.[[#This Row],[Nuorisotyöt. väh. ja osaamistarp. vast., muu kuin työvoima-koulutus 12]],0)</f>
        <v>0</v>
      </c>
      <c r="DF66" s="209">
        <f>IFERROR(Opv.kohd.[[#This Row],[Nuorisotyöt. väh. ja osaamistarp. vast., työvoima-koulutus 13]]/Opv.kohd.[[#This Row],[Nuorisotyöt. väh. ja osaamistarp. vast., työvoima-koulutus 12]],0)</f>
        <v>0</v>
      </c>
      <c r="DG66" s="209">
        <f>IFERROR(Opv.kohd.[[#This Row],[Yhteensä 13]]/Opv.kohd.[[#This Row],[Yhteensä 12]],0)</f>
        <v>0</v>
      </c>
      <c r="DH66" s="209">
        <f>IFERROR(Opv.kohd.[[#This Row],[Tavoitteelliset opiskelijavuodet yhteensä 13]]/Opv.kohd.[[#This Row],[Tavoitteelliset opiskelijavuodet yhteensä 12]],0)</f>
        <v>0</v>
      </c>
      <c r="DI66" s="207">
        <f>Opv.kohd.[[#This Row],[Järjestämisluvan mukaiset 12]]-Opv.kohd.[[#This Row],[Järjestämisluvan mukaiset 9]]</f>
        <v>-97</v>
      </c>
      <c r="DJ66" s="207">
        <f>Opv.kohd.[[#This Row],[Kohdentamat-tomat 12]]-Opv.kohd.[[#This Row],[Kohdentamat-tomat 9]]</f>
        <v>-7</v>
      </c>
      <c r="DK66" s="207">
        <f>Opv.kohd.[[#This Row],[Työvoima-koulutus 12]]-Opv.kohd.[[#This Row],[Työvoima-koulutus 9]]</f>
        <v>0</v>
      </c>
      <c r="DL66" s="207">
        <f>Opv.kohd.[[#This Row],[Maahan-muuttajien koulutus 12]]-Opv.kohd.[[#This Row],[Maahan-muuttajien koulutus 9]]</f>
        <v>-3</v>
      </c>
      <c r="DM66" s="207">
        <f>Opv.kohd.[[#This Row],[Nuorisotyöt. väh. ja osaamistarp. vast., muu kuin työvoima-koulutus 12]]-Opv.kohd.[[#This Row],[Nuorisotyöt. väh. ja osaamistarp. vast., muu kuin työvoima-koulutus 9]]</f>
        <v>0</v>
      </c>
      <c r="DN66" s="207">
        <f>Opv.kohd.[[#This Row],[Nuorisotyöt. väh. ja osaamistarp. vast., työvoima-koulutus 12]]-Opv.kohd.[[#This Row],[Nuorisotyöt. väh. ja osaamistarp. vast., työvoima-koulutus 9]]</f>
        <v>0</v>
      </c>
      <c r="DO66" s="207">
        <f>Opv.kohd.[[#This Row],[Yhteensä 12]]-Opv.kohd.[[#This Row],[Yhteensä 9]]</f>
        <v>-10</v>
      </c>
      <c r="DP66" s="207">
        <f>Opv.kohd.[[#This Row],[Tavoitteelliset opiskelijavuodet yhteensä 12]]-Opv.kohd.[[#This Row],[Tavoitteelliset opiskelijavuodet yhteensä 9]]</f>
        <v>-107</v>
      </c>
      <c r="DQ66" s="209">
        <f>IFERROR(Opv.kohd.[[#This Row],[Järjestämisluvan mukaiset 15]]/Opv.kohd.[[#This Row],[Järjestämisluvan mukaiset 9]],0)</f>
        <v>-1</v>
      </c>
      <c r="DR66" s="209">
        <f t="shared" si="10"/>
        <v>0</v>
      </c>
      <c r="DS66" s="209">
        <f t="shared" si="11"/>
        <v>0</v>
      </c>
      <c r="DT66" s="209">
        <f t="shared" si="12"/>
        <v>0</v>
      </c>
      <c r="DU66" s="209">
        <f t="shared" si="13"/>
        <v>0</v>
      </c>
      <c r="DV66" s="209">
        <f t="shared" si="14"/>
        <v>0</v>
      </c>
      <c r="DW66" s="209">
        <f t="shared" si="15"/>
        <v>0</v>
      </c>
      <c r="DX66" s="209">
        <f t="shared" si="16"/>
        <v>0</v>
      </c>
    </row>
    <row r="67" spans="1:128" x14ac:dyDescent="0.25">
      <c r="A67" s="204" t="e">
        <f>IF(INDEX(#REF!,ROW(67:67)-1,1)=0,"",INDEX(#REF!,ROW(67:67)-1,1))</f>
        <v>#REF!</v>
      </c>
      <c r="B67" s="205" t="str">
        <f>IFERROR(VLOOKUP(Opv.kohd.[[#This Row],[Y-tunnus]],'0 Järjestäjätiedot'!$A:$H,2,FALSE),"")</f>
        <v/>
      </c>
      <c r="C67" s="204" t="str">
        <f>IFERROR(VLOOKUP(Opv.kohd.[[#This Row],[Y-tunnus]],'0 Järjestäjätiedot'!$A:$H,COLUMN('0 Järjestäjätiedot'!D:D),FALSE),"")</f>
        <v/>
      </c>
      <c r="D67" s="204" t="str">
        <f>IFERROR(VLOOKUP(Opv.kohd.[[#This Row],[Y-tunnus]],'0 Järjestäjätiedot'!$A:$H,COLUMN('0 Järjestäjätiedot'!H:H),FALSE),"")</f>
        <v/>
      </c>
      <c r="E67" s="204">
        <f>IFERROR(VLOOKUP(Opv.kohd.[[#This Row],[Y-tunnus]],#REF!,COLUMN(#REF!),FALSE),0)</f>
        <v>0</v>
      </c>
      <c r="F67" s="204">
        <f>IFERROR(VLOOKUP(Opv.kohd.[[#This Row],[Y-tunnus]],#REF!,COLUMN(#REF!),FALSE),0)</f>
        <v>0</v>
      </c>
      <c r="G67" s="204">
        <f>IFERROR(VLOOKUP(Opv.kohd.[[#This Row],[Y-tunnus]],#REF!,COLUMN(#REF!),FALSE),0)</f>
        <v>0</v>
      </c>
      <c r="H67" s="204">
        <f>IFERROR(VLOOKUP(Opv.kohd.[[#This Row],[Y-tunnus]],#REF!,COLUMN(#REF!),FALSE),0)</f>
        <v>0</v>
      </c>
      <c r="I67" s="204">
        <f>IFERROR(VLOOKUP(Opv.kohd.[[#This Row],[Y-tunnus]],#REF!,COLUMN(#REF!),FALSE),0)</f>
        <v>0</v>
      </c>
      <c r="J67" s="204">
        <f>IFERROR(VLOOKUP(Opv.kohd.[[#This Row],[Y-tunnus]],#REF!,COLUMN(#REF!),FALSE),0)</f>
        <v>0</v>
      </c>
      <c r="K6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67" s="204">
        <f>Opv.kohd.[[#This Row],[Järjestämisluvan mukaiset 1]]+Opv.kohd.[[#This Row],[Yhteensä  1]]</f>
        <v>0</v>
      </c>
      <c r="M67" s="204">
        <f>IFERROR(VLOOKUP(Opv.kohd.[[#This Row],[Y-tunnus]],#REF!,COLUMN(#REF!),FALSE),0)</f>
        <v>0</v>
      </c>
      <c r="N67" s="204">
        <f>IFERROR(VLOOKUP(Opv.kohd.[[#This Row],[Y-tunnus]],#REF!,COLUMN(#REF!),FALSE),0)</f>
        <v>0</v>
      </c>
      <c r="O67" s="204">
        <f>IFERROR(VLOOKUP(Opv.kohd.[[#This Row],[Y-tunnus]],#REF!,COLUMN(#REF!),FALSE)+VLOOKUP(Opv.kohd.[[#This Row],[Y-tunnus]],#REF!,COLUMN(#REF!),FALSE),0)</f>
        <v>0</v>
      </c>
      <c r="P67" s="204">
        <f>Opv.kohd.[[#This Row],[Talousarvion perusteella kohdentamattomat]]+Opv.kohd.[[#This Row],[Talousarvion perusteella työvoimakoulutus 1]]+Opv.kohd.[[#This Row],[Lisätalousarvioiden perusteella]]</f>
        <v>0</v>
      </c>
      <c r="Q67" s="204">
        <f>IFERROR(VLOOKUP(Opv.kohd.[[#This Row],[Y-tunnus]],#REF!,COLUMN(#REF!),FALSE),0)</f>
        <v>0</v>
      </c>
      <c r="R67" s="210">
        <f>IFERROR(VLOOKUP(Opv.kohd.[[#This Row],[Y-tunnus]],#REF!,COLUMN(#REF!),FALSE)-(Opv.kohd.[[#This Row],[Kohdentamaton työvoima-koulutus 2]]+Opv.kohd.[[#This Row],[Maahan-muuttajien koulutus 2]]+Opv.kohd.[[#This Row],[Lisätalousarvioiden perusteella jaetut 2]]),0)</f>
        <v>0</v>
      </c>
      <c r="S67" s="210">
        <f>IFERROR(VLOOKUP(Opv.kohd.[[#This Row],[Y-tunnus]],#REF!,COLUMN(#REF!),FALSE)+VLOOKUP(Opv.kohd.[[#This Row],[Y-tunnus]],#REF!,COLUMN(#REF!),FALSE),0)</f>
        <v>0</v>
      </c>
      <c r="T67" s="210">
        <f>IFERROR(VLOOKUP(Opv.kohd.[[#This Row],[Y-tunnus]],#REF!,COLUMN(#REF!),FALSE)+VLOOKUP(Opv.kohd.[[#This Row],[Y-tunnus]],#REF!,COLUMN(#REF!),FALSE),0)</f>
        <v>0</v>
      </c>
      <c r="U6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67" s="210">
        <f>Opv.kohd.[[#This Row],[Kohdentamat-tomat 2]]+Opv.kohd.[[#This Row],[Kohdentamaton työvoima-koulutus 2]]+Opv.kohd.[[#This Row],[Maahan-muuttajien koulutus 2]]+Opv.kohd.[[#This Row],[Lisätalousarvioiden perusteella jaetut 2]]</f>
        <v>0</v>
      </c>
      <c r="W67" s="210">
        <f>Opv.kohd.[[#This Row],[Kohdentamat-tomat 2]]-(Opv.kohd.[[#This Row],[Järjestämisluvan mukaiset 1]]+Opv.kohd.[[#This Row],[Kohdentamat-tomat 1]]+Opv.kohd.[[#This Row],[Nuorisotyöt. väh. ja osaamistarp. vast., muu kuin työvoima-koulutus 1]]+Opv.kohd.[[#This Row],[Talousarvion perusteella kohdentamattomat]])</f>
        <v>0</v>
      </c>
      <c r="X67" s="210">
        <f>Opv.kohd.[[#This Row],[Kohdentamaton työvoima-koulutus 2]]-(Opv.kohd.[[#This Row],[Työvoima-koulutus 1]]+Opv.kohd.[[#This Row],[Nuorisotyöt. väh. ja osaamistarp. vast., työvoima-koulutus 1]]+Opv.kohd.[[#This Row],[Talousarvion perusteella työvoimakoulutus 1]])</f>
        <v>0</v>
      </c>
      <c r="Y67" s="210">
        <f>Opv.kohd.[[#This Row],[Maahan-muuttajien koulutus 2]]-Opv.kohd.[[#This Row],[Maahan-muuttajien koulutus 1]]</f>
        <v>0</v>
      </c>
      <c r="Z67" s="210">
        <f>Opv.kohd.[[#This Row],[Lisätalousarvioiden perusteella jaetut 2]]-Opv.kohd.[[#This Row],[Lisätalousarvioiden perusteella]]</f>
        <v>0</v>
      </c>
      <c r="AA67" s="210">
        <f>Opv.kohd.[[#This Row],[Toteutuneet opiskelijavuodet yhteensä 2]]-Opv.kohd.[[#This Row],[Vuoden 2018 tavoitteelliset opiskelijavuodet yhteensä 1]]</f>
        <v>0</v>
      </c>
      <c r="AB67" s="207">
        <f>IFERROR(VLOOKUP(Opv.kohd.[[#This Row],[Y-tunnus]],#REF!,3,FALSE),0)</f>
        <v>0</v>
      </c>
      <c r="AC67" s="207">
        <f>IFERROR(VLOOKUP(Opv.kohd.[[#This Row],[Y-tunnus]],#REF!,4,FALSE),0)</f>
        <v>0</v>
      </c>
      <c r="AD67" s="207">
        <f>IFERROR(VLOOKUP(Opv.kohd.[[#This Row],[Y-tunnus]],#REF!,5,FALSE),0)</f>
        <v>0</v>
      </c>
      <c r="AE67" s="207">
        <f>IFERROR(VLOOKUP(Opv.kohd.[[#This Row],[Y-tunnus]],#REF!,6,FALSE),0)</f>
        <v>0</v>
      </c>
      <c r="AF67" s="207">
        <f>IFERROR(VLOOKUP(Opv.kohd.[[#This Row],[Y-tunnus]],#REF!,7,FALSE),0)</f>
        <v>0</v>
      </c>
      <c r="AG67" s="207">
        <f>IFERROR(VLOOKUP(Opv.kohd.[[#This Row],[Y-tunnus]],#REF!,8,FALSE),0)</f>
        <v>0</v>
      </c>
      <c r="AH67" s="207">
        <f>IFERROR(VLOOKUP(Opv.kohd.[[#This Row],[Y-tunnus]],#REF!,9,FALSE),0)</f>
        <v>0</v>
      </c>
      <c r="AI67" s="207">
        <f>IFERROR(VLOOKUP(Opv.kohd.[[#This Row],[Y-tunnus]],#REF!,10,FALSE),0)</f>
        <v>0</v>
      </c>
      <c r="AJ67" s="204">
        <f>Opv.kohd.[[#This Row],[Järjestämisluvan mukaiset 4]]-Opv.kohd.[[#This Row],[Järjestämisluvan mukaiset 1]]</f>
        <v>0</v>
      </c>
      <c r="AK67" s="204">
        <f>Opv.kohd.[[#This Row],[Kohdentamat-tomat 4]]-Opv.kohd.[[#This Row],[Kohdentamat-tomat 1]]</f>
        <v>0</v>
      </c>
      <c r="AL67" s="204">
        <f>Opv.kohd.[[#This Row],[Työvoima-koulutus 4]]-Opv.kohd.[[#This Row],[Työvoima-koulutus 1]]</f>
        <v>0</v>
      </c>
      <c r="AM67" s="204">
        <f>Opv.kohd.[[#This Row],[Maahan-muuttajien koulutus 4]]-Opv.kohd.[[#This Row],[Maahan-muuttajien koulutus 1]]</f>
        <v>0</v>
      </c>
      <c r="AN67" s="204">
        <f>Opv.kohd.[[#This Row],[Nuorisotyöt. väh. ja osaamistarp. vast., muu kuin työvoima-koulutus 4]]-Opv.kohd.[[#This Row],[Nuorisotyöt. väh. ja osaamistarp. vast., muu kuin työvoima-koulutus 1]]</f>
        <v>0</v>
      </c>
      <c r="AO67" s="204">
        <f>Opv.kohd.[[#This Row],[Nuorisotyöt. väh. ja osaamistarp. vast., työvoima-koulutus 4]]-Opv.kohd.[[#This Row],[Nuorisotyöt. väh. ja osaamistarp. vast., työvoima-koulutus 1]]</f>
        <v>0</v>
      </c>
      <c r="AP67" s="204">
        <f>Opv.kohd.[[#This Row],[Yhteensä 4]]-Opv.kohd.[[#This Row],[Yhteensä  1]]</f>
        <v>0</v>
      </c>
      <c r="AQ67" s="204">
        <f>Opv.kohd.[[#This Row],[Ensikertaisella suoritepäätöksellä jaetut tavoitteelliset opiskelijavuodet yhteensä 4]]-Opv.kohd.[[#This Row],[Ensikertaisella suoritepäätöksellä jaetut tavoitteelliset opiskelijavuodet yhteensä 1]]</f>
        <v>0</v>
      </c>
      <c r="AR67" s="208">
        <f>IFERROR(Opv.kohd.[[#This Row],[Järjestämisluvan mukaiset 5]]/Opv.kohd.[[#This Row],[Järjestämisluvan mukaiset 4]],0)</f>
        <v>0</v>
      </c>
      <c r="AS67" s="208">
        <f>IFERROR(Opv.kohd.[[#This Row],[Kohdentamat-tomat 5]]/Opv.kohd.[[#This Row],[Kohdentamat-tomat 4]],0)</f>
        <v>0</v>
      </c>
      <c r="AT67" s="208">
        <f>IFERROR(Opv.kohd.[[#This Row],[Työvoima-koulutus 5]]/Opv.kohd.[[#This Row],[Työvoima-koulutus 4]],0)</f>
        <v>0</v>
      </c>
      <c r="AU67" s="208">
        <f>IFERROR(Opv.kohd.[[#This Row],[Maahan-muuttajien koulutus 5]]/Opv.kohd.[[#This Row],[Maahan-muuttajien koulutus 4]],0)</f>
        <v>0</v>
      </c>
      <c r="AV67" s="208">
        <f>IFERROR(Opv.kohd.[[#This Row],[Nuorisotyöt. väh. ja osaamistarp. vast., muu kuin työvoima-koulutus 5]]/Opv.kohd.[[#This Row],[Nuorisotyöt. väh. ja osaamistarp. vast., muu kuin työvoima-koulutus 4]],0)</f>
        <v>0</v>
      </c>
      <c r="AW67" s="208">
        <f>IFERROR(Opv.kohd.[[#This Row],[Nuorisotyöt. väh. ja osaamistarp. vast., työvoima-koulutus 5]]/Opv.kohd.[[#This Row],[Nuorisotyöt. väh. ja osaamistarp. vast., työvoima-koulutus 4]],0)</f>
        <v>0</v>
      </c>
      <c r="AX67" s="208">
        <f>IFERROR(Opv.kohd.[[#This Row],[Yhteensä 5]]/Opv.kohd.[[#This Row],[Yhteensä 4]],0)</f>
        <v>0</v>
      </c>
      <c r="AY67" s="208">
        <f>IFERROR(Opv.kohd.[[#This Row],[Ensikertaisella suoritepäätöksellä jaetut tavoitteelliset opiskelijavuodet yhteensä 5]]/Opv.kohd.[[#This Row],[Ensikertaisella suoritepäätöksellä jaetut tavoitteelliset opiskelijavuodet yhteensä 4]],0)</f>
        <v>0</v>
      </c>
      <c r="AZ67" s="207">
        <f>Opv.kohd.[[#This Row],[Yhteensä 7a]]-Opv.kohd.[[#This Row],[Työvoima-koulutus 7a]]</f>
        <v>0</v>
      </c>
      <c r="BA67" s="207">
        <f>IFERROR(VLOOKUP(Opv.kohd.[[#This Row],[Y-tunnus]],#REF!,COLUMN(#REF!),FALSE),0)</f>
        <v>0</v>
      </c>
      <c r="BB67" s="207">
        <f>IFERROR(VLOOKUP(Opv.kohd.[[#This Row],[Y-tunnus]],#REF!,COLUMN(#REF!),FALSE),0)</f>
        <v>0</v>
      </c>
      <c r="BC67" s="207">
        <f>Opv.kohd.[[#This Row],[Muu kuin työvoima-koulutus 7c]]-Opv.kohd.[[#This Row],[Muu kuin työvoima-koulutus 7a]]</f>
        <v>0</v>
      </c>
      <c r="BD67" s="207">
        <f>Opv.kohd.[[#This Row],[Työvoima-koulutus 7c]]-Opv.kohd.[[#This Row],[Työvoima-koulutus 7a]]</f>
        <v>0</v>
      </c>
      <c r="BE67" s="207">
        <f>Opv.kohd.[[#This Row],[Yhteensä 7c]]-Opv.kohd.[[#This Row],[Yhteensä 7a]]</f>
        <v>0</v>
      </c>
      <c r="BF67" s="207">
        <f>Opv.kohd.[[#This Row],[Yhteensä 7c]]-Opv.kohd.[[#This Row],[Työvoima-koulutus 7c]]</f>
        <v>0</v>
      </c>
      <c r="BG67" s="207">
        <f>IFERROR(VLOOKUP(Opv.kohd.[[#This Row],[Y-tunnus]],#REF!,COLUMN(#REF!),FALSE),0)</f>
        <v>0</v>
      </c>
      <c r="BH67" s="207">
        <f>IFERROR(VLOOKUP(Opv.kohd.[[#This Row],[Y-tunnus]],#REF!,COLUMN(#REF!),FALSE),0)</f>
        <v>0</v>
      </c>
      <c r="BI67" s="207">
        <f>IFERROR(VLOOKUP(Opv.kohd.[[#This Row],[Y-tunnus]],#REF!,COLUMN(#REF!),FALSE),0)</f>
        <v>0</v>
      </c>
      <c r="BJ67" s="207">
        <f>IFERROR(VLOOKUP(Opv.kohd.[[#This Row],[Y-tunnus]],#REF!,COLUMN(#REF!),FALSE),0)</f>
        <v>0</v>
      </c>
      <c r="BK67" s="207">
        <f>Opv.kohd.[[#This Row],[Muu kuin työvoima-koulutus 7d]]+Opv.kohd.[[#This Row],[Työvoima-koulutus 7d]]</f>
        <v>0</v>
      </c>
      <c r="BL67" s="207">
        <f>Opv.kohd.[[#This Row],[Muu kuin työvoima-koulutus 7c]]-Opv.kohd.[[#This Row],[Muu kuin työvoima-koulutus 7d]]</f>
        <v>0</v>
      </c>
      <c r="BM67" s="207">
        <f>Opv.kohd.[[#This Row],[Työvoima-koulutus 7c]]-Opv.kohd.[[#This Row],[Työvoima-koulutus 7d]]</f>
        <v>0</v>
      </c>
      <c r="BN67" s="207">
        <f>Opv.kohd.[[#This Row],[Yhteensä 7c]]-Opv.kohd.[[#This Row],[Yhteensä 7d]]</f>
        <v>0</v>
      </c>
      <c r="BO67" s="207">
        <f>Opv.kohd.[[#This Row],[Muu kuin työvoima-koulutus 7e]]-(Opv.kohd.[[#This Row],[Järjestämisluvan mukaiset 4]]+Opv.kohd.[[#This Row],[Kohdentamat-tomat 4]]+Opv.kohd.[[#This Row],[Maahan-muuttajien koulutus 4]]+Opv.kohd.[[#This Row],[Nuorisotyöt. väh. ja osaamistarp. vast., muu kuin työvoima-koulutus 4]])</f>
        <v>0</v>
      </c>
      <c r="BP67" s="207">
        <f>Opv.kohd.[[#This Row],[Työvoima-koulutus 7e]]-(Opv.kohd.[[#This Row],[Työvoima-koulutus 4]]+Opv.kohd.[[#This Row],[Nuorisotyöt. väh. ja osaamistarp. vast., työvoima-koulutus 4]])</f>
        <v>0</v>
      </c>
      <c r="BQ67" s="207">
        <f>Opv.kohd.[[#This Row],[Yhteensä 7e]]-Opv.kohd.[[#This Row],[Ensikertaisella suoritepäätöksellä jaetut tavoitteelliset opiskelijavuodet yhteensä 4]]</f>
        <v>0</v>
      </c>
      <c r="BR67" s="263">
        <v>2316</v>
      </c>
      <c r="BS67" s="263">
        <v>130</v>
      </c>
      <c r="BT67" s="263">
        <v>153</v>
      </c>
      <c r="BU67" s="263">
        <v>0</v>
      </c>
      <c r="BV67" s="263">
        <v>0</v>
      </c>
      <c r="BW67" s="263">
        <v>0</v>
      </c>
      <c r="BX67" s="263">
        <v>283</v>
      </c>
      <c r="BY67" s="263">
        <v>2599</v>
      </c>
      <c r="BZ67" s="207">
        <f t="shared" si="2"/>
        <v>2316</v>
      </c>
      <c r="CA67" s="207">
        <f t="shared" si="3"/>
        <v>130</v>
      </c>
      <c r="CB67" s="207">
        <f t="shared" si="4"/>
        <v>153</v>
      </c>
      <c r="CC67" s="207">
        <f t="shared" si="5"/>
        <v>0</v>
      </c>
      <c r="CD67" s="207">
        <f t="shared" si="6"/>
        <v>0</v>
      </c>
      <c r="CE67" s="207">
        <f t="shared" si="7"/>
        <v>0</v>
      </c>
      <c r="CF67" s="207">
        <f t="shared" si="8"/>
        <v>283</v>
      </c>
      <c r="CG67" s="207">
        <f t="shared" si="9"/>
        <v>2599</v>
      </c>
      <c r="CH67" s="207">
        <f>Opv.kohd.[[#This Row],[Tavoitteelliset opiskelijavuodet yhteensä 9]]-Opv.kohd.[[#This Row],[Työvoima-koulutus 9]]-Opv.kohd.[[#This Row],[Nuorisotyöt. väh. ja osaamistarp. vast., työvoima-koulutus 9]]-Opv.kohd.[[#This Row],[Muu kuin työvoima-koulutus 7e]]</f>
        <v>2446</v>
      </c>
      <c r="CI67" s="207">
        <f>(Opv.kohd.[[#This Row],[Työvoima-koulutus 9]]+Opv.kohd.[[#This Row],[Nuorisotyöt. väh. ja osaamistarp. vast., työvoima-koulutus 9]])-Opv.kohd.[[#This Row],[Työvoima-koulutus 7e]]</f>
        <v>153</v>
      </c>
      <c r="CJ67" s="207">
        <f>Opv.kohd.[[#This Row],[Tavoitteelliset opiskelijavuodet yhteensä 9]]-Opv.kohd.[[#This Row],[Yhteensä 7e]]</f>
        <v>2599</v>
      </c>
      <c r="CK67" s="207">
        <f>Opv.kohd.[[#This Row],[Järjestämisluvan mukaiset 4]]+Opv.kohd.[[#This Row],[Järjestämisluvan mukaiset 13]]</f>
        <v>0</v>
      </c>
      <c r="CL67" s="207">
        <f>Opv.kohd.[[#This Row],[Kohdentamat-tomat 4]]+Opv.kohd.[[#This Row],[Kohdentamat-tomat 13]]</f>
        <v>0</v>
      </c>
      <c r="CM67" s="207">
        <f>Opv.kohd.[[#This Row],[Työvoima-koulutus 4]]+Opv.kohd.[[#This Row],[Työvoima-koulutus 13]]</f>
        <v>0</v>
      </c>
      <c r="CN67" s="207">
        <f>Opv.kohd.[[#This Row],[Maahan-muuttajien koulutus 4]]+Opv.kohd.[[#This Row],[Maahan-muuttajien koulutus 13]]</f>
        <v>0</v>
      </c>
      <c r="CO67" s="207">
        <f>Opv.kohd.[[#This Row],[Nuorisotyöt. väh. ja osaamistarp. vast., muu kuin työvoima-koulutus 4]]+Opv.kohd.[[#This Row],[Nuorisotyöt. väh. ja osaamistarp. vast., muu kuin työvoima-koulutus 13]]</f>
        <v>0</v>
      </c>
      <c r="CP67" s="207">
        <f>Opv.kohd.[[#This Row],[Nuorisotyöt. väh. ja osaamistarp. vast., työvoima-koulutus 4]]+Opv.kohd.[[#This Row],[Nuorisotyöt. väh. ja osaamistarp. vast., työvoima-koulutus 13]]</f>
        <v>0</v>
      </c>
      <c r="CQ67" s="207">
        <f>Opv.kohd.[[#This Row],[Yhteensä 4]]+Opv.kohd.[[#This Row],[Yhteensä 13]]</f>
        <v>0</v>
      </c>
      <c r="CR67" s="207">
        <f>Opv.kohd.[[#This Row],[Ensikertaisella suoritepäätöksellä jaetut tavoitteelliset opiskelijavuodet yhteensä 4]]+Opv.kohd.[[#This Row],[Tavoitteelliset opiskelijavuodet yhteensä 13]]</f>
        <v>0</v>
      </c>
      <c r="CS67" s="120">
        <v>0</v>
      </c>
      <c r="CT67" s="120">
        <v>0</v>
      </c>
      <c r="CU67" s="120">
        <v>0</v>
      </c>
      <c r="CV67" s="120">
        <v>0</v>
      </c>
      <c r="CW67" s="120">
        <v>0</v>
      </c>
      <c r="CX67" s="120">
        <v>0</v>
      </c>
      <c r="CY67" s="120">
        <v>0</v>
      </c>
      <c r="CZ67" s="120">
        <v>0</v>
      </c>
      <c r="DA67" s="209">
        <f>IFERROR(Opv.kohd.[[#This Row],[Järjestämisluvan mukaiset 13]]/Opv.kohd.[[#This Row],[Järjestämisluvan mukaiset 12]],0)</f>
        <v>0</v>
      </c>
      <c r="DB67" s="209">
        <f>IFERROR(Opv.kohd.[[#This Row],[Kohdentamat-tomat 13]]/Opv.kohd.[[#This Row],[Kohdentamat-tomat 12]],0)</f>
        <v>0</v>
      </c>
      <c r="DC67" s="209">
        <f>IFERROR(Opv.kohd.[[#This Row],[Työvoima-koulutus 13]]/Opv.kohd.[[#This Row],[Työvoima-koulutus 12]],0)</f>
        <v>0</v>
      </c>
      <c r="DD67" s="209">
        <f>IFERROR(Opv.kohd.[[#This Row],[Maahan-muuttajien koulutus 13]]/Opv.kohd.[[#This Row],[Maahan-muuttajien koulutus 12]],0)</f>
        <v>0</v>
      </c>
      <c r="DE67" s="209">
        <f>IFERROR(Opv.kohd.[[#This Row],[Nuorisotyöt. väh. ja osaamistarp. vast., muu kuin työvoima-koulutus 13]]/Opv.kohd.[[#This Row],[Nuorisotyöt. väh. ja osaamistarp. vast., muu kuin työvoima-koulutus 12]],0)</f>
        <v>0</v>
      </c>
      <c r="DF67" s="209">
        <f>IFERROR(Opv.kohd.[[#This Row],[Nuorisotyöt. väh. ja osaamistarp. vast., työvoima-koulutus 13]]/Opv.kohd.[[#This Row],[Nuorisotyöt. väh. ja osaamistarp. vast., työvoima-koulutus 12]],0)</f>
        <v>0</v>
      </c>
      <c r="DG67" s="209">
        <f>IFERROR(Opv.kohd.[[#This Row],[Yhteensä 13]]/Opv.kohd.[[#This Row],[Yhteensä 12]],0)</f>
        <v>0</v>
      </c>
      <c r="DH67" s="209">
        <f>IFERROR(Opv.kohd.[[#This Row],[Tavoitteelliset opiskelijavuodet yhteensä 13]]/Opv.kohd.[[#This Row],[Tavoitteelliset opiskelijavuodet yhteensä 12]],0)</f>
        <v>0</v>
      </c>
      <c r="DI67" s="207">
        <f>Opv.kohd.[[#This Row],[Järjestämisluvan mukaiset 12]]-Opv.kohd.[[#This Row],[Järjestämisluvan mukaiset 9]]</f>
        <v>-2316</v>
      </c>
      <c r="DJ67" s="207">
        <f>Opv.kohd.[[#This Row],[Kohdentamat-tomat 12]]-Opv.kohd.[[#This Row],[Kohdentamat-tomat 9]]</f>
        <v>-130</v>
      </c>
      <c r="DK67" s="207">
        <f>Opv.kohd.[[#This Row],[Työvoima-koulutus 12]]-Opv.kohd.[[#This Row],[Työvoima-koulutus 9]]</f>
        <v>-153</v>
      </c>
      <c r="DL67" s="207">
        <f>Opv.kohd.[[#This Row],[Maahan-muuttajien koulutus 12]]-Opv.kohd.[[#This Row],[Maahan-muuttajien koulutus 9]]</f>
        <v>0</v>
      </c>
      <c r="DM67" s="207">
        <f>Opv.kohd.[[#This Row],[Nuorisotyöt. väh. ja osaamistarp. vast., muu kuin työvoima-koulutus 12]]-Opv.kohd.[[#This Row],[Nuorisotyöt. väh. ja osaamistarp. vast., muu kuin työvoima-koulutus 9]]</f>
        <v>0</v>
      </c>
      <c r="DN67" s="207">
        <f>Opv.kohd.[[#This Row],[Nuorisotyöt. väh. ja osaamistarp. vast., työvoima-koulutus 12]]-Opv.kohd.[[#This Row],[Nuorisotyöt. väh. ja osaamistarp. vast., työvoima-koulutus 9]]</f>
        <v>0</v>
      </c>
      <c r="DO67" s="207">
        <f>Opv.kohd.[[#This Row],[Yhteensä 12]]-Opv.kohd.[[#This Row],[Yhteensä 9]]</f>
        <v>-283</v>
      </c>
      <c r="DP67" s="207">
        <f>Opv.kohd.[[#This Row],[Tavoitteelliset opiskelijavuodet yhteensä 12]]-Opv.kohd.[[#This Row],[Tavoitteelliset opiskelijavuodet yhteensä 9]]</f>
        <v>-2599</v>
      </c>
      <c r="DQ67" s="209">
        <f>IFERROR(Opv.kohd.[[#This Row],[Järjestämisluvan mukaiset 15]]/Opv.kohd.[[#This Row],[Järjestämisluvan mukaiset 9]],0)</f>
        <v>-1</v>
      </c>
      <c r="DR67" s="209">
        <f t="shared" si="10"/>
        <v>0</v>
      </c>
      <c r="DS67" s="209">
        <f t="shared" si="11"/>
        <v>0</v>
      </c>
      <c r="DT67" s="209">
        <f t="shared" si="12"/>
        <v>0</v>
      </c>
      <c r="DU67" s="209">
        <f t="shared" si="13"/>
        <v>0</v>
      </c>
      <c r="DV67" s="209">
        <f t="shared" si="14"/>
        <v>0</v>
      </c>
      <c r="DW67" s="209">
        <f t="shared" si="15"/>
        <v>0</v>
      </c>
      <c r="DX67" s="209">
        <f t="shared" si="16"/>
        <v>0</v>
      </c>
    </row>
    <row r="68" spans="1:128" x14ac:dyDescent="0.25">
      <c r="A68" s="204" t="e">
        <f>IF(INDEX(#REF!,ROW(68:68)-1,1)=0,"",INDEX(#REF!,ROW(68:68)-1,1))</f>
        <v>#REF!</v>
      </c>
      <c r="B68" s="205" t="str">
        <f>IFERROR(VLOOKUP(Opv.kohd.[[#This Row],[Y-tunnus]],'0 Järjestäjätiedot'!$A:$H,2,FALSE),"")</f>
        <v/>
      </c>
      <c r="C68" s="204" t="str">
        <f>IFERROR(VLOOKUP(Opv.kohd.[[#This Row],[Y-tunnus]],'0 Järjestäjätiedot'!$A:$H,COLUMN('0 Järjestäjätiedot'!D:D),FALSE),"")</f>
        <v/>
      </c>
      <c r="D68" s="204" t="str">
        <f>IFERROR(VLOOKUP(Opv.kohd.[[#This Row],[Y-tunnus]],'0 Järjestäjätiedot'!$A:$H,COLUMN('0 Järjestäjätiedot'!H:H),FALSE),"")</f>
        <v/>
      </c>
      <c r="E68" s="204">
        <f>IFERROR(VLOOKUP(Opv.kohd.[[#This Row],[Y-tunnus]],#REF!,COLUMN(#REF!),FALSE),0)</f>
        <v>0</v>
      </c>
      <c r="F68" s="204">
        <f>IFERROR(VLOOKUP(Opv.kohd.[[#This Row],[Y-tunnus]],#REF!,COLUMN(#REF!),FALSE),0)</f>
        <v>0</v>
      </c>
      <c r="G68" s="204">
        <f>IFERROR(VLOOKUP(Opv.kohd.[[#This Row],[Y-tunnus]],#REF!,COLUMN(#REF!),FALSE),0)</f>
        <v>0</v>
      </c>
      <c r="H68" s="204">
        <f>IFERROR(VLOOKUP(Opv.kohd.[[#This Row],[Y-tunnus]],#REF!,COLUMN(#REF!),FALSE),0)</f>
        <v>0</v>
      </c>
      <c r="I68" s="204">
        <f>IFERROR(VLOOKUP(Opv.kohd.[[#This Row],[Y-tunnus]],#REF!,COLUMN(#REF!),FALSE),0)</f>
        <v>0</v>
      </c>
      <c r="J68" s="204">
        <f>IFERROR(VLOOKUP(Opv.kohd.[[#This Row],[Y-tunnus]],#REF!,COLUMN(#REF!),FALSE),0)</f>
        <v>0</v>
      </c>
      <c r="K6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68" s="204">
        <f>Opv.kohd.[[#This Row],[Järjestämisluvan mukaiset 1]]+Opv.kohd.[[#This Row],[Yhteensä  1]]</f>
        <v>0</v>
      </c>
      <c r="M68" s="204">
        <f>IFERROR(VLOOKUP(Opv.kohd.[[#This Row],[Y-tunnus]],#REF!,COLUMN(#REF!),FALSE),0)</f>
        <v>0</v>
      </c>
      <c r="N68" s="204">
        <f>IFERROR(VLOOKUP(Opv.kohd.[[#This Row],[Y-tunnus]],#REF!,COLUMN(#REF!),FALSE),0)</f>
        <v>0</v>
      </c>
      <c r="O68" s="204">
        <f>IFERROR(VLOOKUP(Opv.kohd.[[#This Row],[Y-tunnus]],#REF!,COLUMN(#REF!),FALSE)+VLOOKUP(Opv.kohd.[[#This Row],[Y-tunnus]],#REF!,COLUMN(#REF!),FALSE),0)</f>
        <v>0</v>
      </c>
      <c r="P68" s="204">
        <f>Opv.kohd.[[#This Row],[Talousarvion perusteella kohdentamattomat]]+Opv.kohd.[[#This Row],[Talousarvion perusteella työvoimakoulutus 1]]+Opv.kohd.[[#This Row],[Lisätalousarvioiden perusteella]]</f>
        <v>0</v>
      </c>
      <c r="Q68" s="204">
        <f>IFERROR(VLOOKUP(Opv.kohd.[[#This Row],[Y-tunnus]],#REF!,COLUMN(#REF!),FALSE),0)</f>
        <v>0</v>
      </c>
      <c r="R68" s="210">
        <f>IFERROR(VLOOKUP(Opv.kohd.[[#This Row],[Y-tunnus]],#REF!,COLUMN(#REF!),FALSE)-(Opv.kohd.[[#This Row],[Kohdentamaton työvoima-koulutus 2]]+Opv.kohd.[[#This Row],[Maahan-muuttajien koulutus 2]]+Opv.kohd.[[#This Row],[Lisätalousarvioiden perusteella jaetut 2]]),0)</f>
        <v>0</v>
      </c>
      <c r="S68" s="210">
        <f>IFERROR(VLOOKUP(Opv.kohd.[[#This Row],[Y-tunnus]],#REF!,COLUMN(#REF!),FALSE)+VLOOKUP(Opv.kohd.[[#This Row],[Y-tunnus]],#REF!,COLUMN(#REF!),FALSE),0)</f>
        <v>0</v>
      </c>
      <c r="T68" s="210">
        <f>IFERROR(VLOOKUP(Opv.kohd.[[#This Row],[Y-tunnus]],#REF!,COLUMN(#REF!),FALSE)+VLOOKUP(Opv.kohd.[[#This Row],[Y-tunnus]],#REF!,COLUMN(#REF!),FALSE),0)</f>
        <v>0</v>
      </c>
      <c r="U6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68" s="210">
        <f>Opv.kohd.[[#This Row],[Kohdentamat-tomat 2]]+Opv.kohd.[[#This Row],[Kohdentamaton työvoima-koulutus 2]]+Opv.kohd.[[#This Row],[Maahan-muuttajien koulutus 2]]+Opv.kohd.[[#This Row],[Lisätalousarvioiden perusteella jaetut 2]]</f>
        <v>0</v>
      </c>
      <c r="W68" s="210">
        <f>Opv.kohd.[[#This Row],[Kohdentamat-tomat 2]]-(Opv.kohd.[[#This Row],[Järjestämisluvan mukaiset 1]]+Opv.kohd.[[#This Row],[Kohdentamat-tomat 1]]+Opv.kohd.[[#This Row],[Nuorisotyöt. väh. ja osaamistarp. vast., muu kuin työvoima-koulutus 1]]+Opv.kohd.[[#This Row],[Talousarvion perusteella kohdentamattomat]])</f>
        <v>0</v>
      </c>
      <c r="X68" s="210">
        <f>Opv.kohd.[[#This Row],[Kohdentamaton työvoima-koulutus 2]]-(Opv.kohd.[[#This Row],[Työvoima-koulutus 1]]+Opv.kohd.[[#This Row],[Nuorisotyöt. väh. ja osaamistarp. vast., työvoima-koulutus 1]]+Opv.kohd.[[#This Row],[Talousarvion perusteella työvoimakoulutus 1]])</f>
        <v>0</v>
      </c>
      <c r="Y68" s="210">
        <f>Opv.kohd.[[#This Row],[Maahan-muuttajien koulutus 2]]-Opv.kohd.[[#This Row],[Maahan-muuttajien koulutus 1]]</f>
        <v>0</v>
      </c>
      <c r="Z68" s="210">
        <f>Opv.kohd.[[#This Row],[Lisätalousarvioiden perusteella jaetut 2]]-Opv.kohd.[[#This Row],[Lisätalousarvioiden perusteella]]</f>
        <v>0</v>
      </c>
      <c r="AA68" s="210">
        <f>Opv.kohd.[[#This Row],[Toteutuneet opiskelijavuodet yhteensä 2]]-Opv.kohd.[[#This Row],[Vuoden 2018 tavoitteelliset opiskelijavuodet yhteensä 1]]</f>
        <v>0</v>
      </c>
      <c r="AB68" s="207">
        <f>IFERROR(VLOOKUP(Opv.kohd.[[#This Row],[Y-tunnus]],#REF!,3,FALSE),0)</f>
        <v>0</v>
      </c>
      <c r="AC68" s="207">
        <f>IFERROR(VLOOKUP(Opv.kohd.[[#This Row],[Y-tunnus]],#REF!,4,FALSE),0)</f>
        <v>0</v>
      </c>
      <c r="AD68" s="207">
        <f>IFERROR(VLOOKUP(Opv.kohd.[[#This Row],[Y-tunnus]],#REF!,5,FALSE),0)</f>
        <v>0</v>
      </c>
      <c r="AE68" s="207">
        <f>IFERROR(VLOOKUP(Opv.kohd.[[#This Row],[Y-tunnus]],#REF!,6,FALSE),0)</f>
        <v>0</v>
      </c>
      <c r="AF68" s="207">
        <f>IFERROR(VLOOKUP(Opv.kohd.[[#This Row],[Y-tunnus]],#REF!,7,FALSE),0)</f>
        <v>0</v>
      </c>
      <c r="AG68" s="207">
        <f>IFERROR(VLOOKUP(Opv.kohd.[[#This Row],[Y-tunnus]],#REF!,8,FALSE),0)</f>
        <v>0</v>
      </c>
      <c r="AH68" s="207">
        <f>IFERROR(VLOOKUP(Opv.kohd.[[#This Row],[Y-tunnus]],#REF!,9,FALSE),0)</f>
        <v>0</v>
      </c>
      <c r="AI68" s="207">
        <f>IFERROR(VLOOKUP(Opv.kohd.[[#This Row],[Y-tunnus]],#REF!,10,FALSE),0)</f>
        <v>0</v>
      </c>
      <c r="AJ68" s="204">
        <f>Opv.kohd.[[#This Row],[Järjestämisluvan mukaiset 4]]-Opv.kohd.[[#This Row],[Järjestämisluvan mukaiset 1]]</f>
        <v>0</v>
      </c>
      <c r="AK68" s="204">
        <f>Opv.kohd.[[#This Row],[Kohdentamat-tomat 4]]-Opv.kohd.[[#This Row],[Kohdentamat-tomat 1]]</f>
        <v>0</v>
      </c>
      <c r="AL68" s="204">
        <f>Opv.kohd.[[#This Row],[Työvoima-koulutus 4]]-Opv.kohd.[[#This Row],[Työvoima-koulutus 1]]</f>
        <v>0</v>
      </c>
      <c r="AM68" s="204">
        <f>Opv.kohd.[[#This Row],[Maahan-muuttajien koulutus 4]]-Opv.kohd.[[#This Row],[Maahan-muuttajien koulutus 1]]</f>
        <v>0</v>
      </c>
      <c r="AN68" s="204">
        <f>Opv.kohd.[[#This Row],[Nuorisotyöt. väh. ja osaamistarp. vast., muu kuin työvoima-koulutus 4]]-Opv.kohd.[[#This Row],[Nuorisotyöt. väh. ja osaamistarp. vast., muu kuin työvoima-koulutus 1]]</f>
        <v>0</v>
      </c>
      <c r="AO68" s="204">
        <f>Opv.kohd.[[#This Row],[Nuorisotyöt. väh. ja osaamistarp. vast., työvoima-koulutus 4]]-Opv.kohd.[[#This Row],[Nuorisotyöt. väh. ja osaamistarp. vast., työvoima-koulutus 1]]</f>
        <v>0</v>
      </c>
      <c r="AP68" s="204">
        <f>Opv.kohd.[[#This Row],[Yhteensä 4]]-Opv.kohd.[[#This Row],[Yhteensä  1]]</f>
        <v>0</v>
      </c>
      <c r="AQ68" s="204">
        <f>Opv.kohd.[[#This Row],[Ensikertaisella suoritepäätöksellä jaetut tavoitteelliset opiskelijavuodet yhteensä 4]]-Opv.kohd.[[#This Row],[Ensikertaisella suoritepäätöksellä jaetut tavoitteelliset opiskelijavuodet yhteensä 1]]</f>
        <v>0</v>
      </c>
      <c r="AR68" s="208">
        <f>IFERROR(Opv.kohd.[[#This Row],[Järjestämisluvan mukaiset 5]]/Opv.kohd.[[#This Row],[Järjestämisluvan mukaiset 4]],0)</f>
        <v>0</v>
      </c>
      <c r="AS68" s="208">
        <f>IFERROR(Opv.kohd.[[#This Row],[Kohdentamat-tomat 5]]/Opv.kohd.[[#This Row],[Kohdentamat-tomat 4]],0)</f>
        <v>0</v>
      </c>
      <c r="AT68" s="208">
        <f>IFERROR(Opv.kohd.[[#This Row],[Työvoima-koulutus 5]]/Opv.kohd.[[#This Row],[Työvoima-koulutus 4]],0)</f>
        <v>0</v>
      </c>
      <c r="AU68" s="208">
        <f>IFERROR(Opv.kohd.[[#This Row],[Maahan-muuttajien koulutus 5]]/Opv.kohd.[[#This Row],[Maahan-muuttajien koulutus 4]],0)</f>
        <v>0</v>
      </c>
      <c r="AV68" s="208">
        <f>IFERROR(Opv.kohd.[[#This Row],[Nuorisotyöt. väh. ja osaamistarp. vast., muu kuin työvoima-koulutus 5]]/Opv.kohd.[[#This Row],[Nuorisotyöt. väh. ja osaamistarp. vast., muu kuin työvoima-koulutus 4]],0)</f>
        <v>0</v>
      </c>
      <c r="AW68" s="208">
        <f>IFERROR(Opv.kohd.[[#This Row],[Nuorisotyöt. väh. ja osaamistarp. vast., työvoima-koulutus 5]]/Opv.kohd.[[#This Row],[Nuorisotyöt. väh. ja osaamistarp. vast., työvoima-koulutus 4]],0)</f>
        <v>0</v>
      </c>
      <c r="AX68" s="208">
        <f>IFERROR(Opv.kohd.[[#This Row],[Yhteensä 5]]/Opv.kohd.[[#This Row],[Yhteensä 4]],0)</f>
        <v>0</v>
      </c>
      <c r="AY68" s="208">
        <f>IFERROR(Opv.kohd.[[#This Row],[Ensikertaisella suoritepäätöksellä jaetut tavoitteelliset opiskelijavuodet yhteensä 5]]/Opv.kohd.[[#This Row],[Ensikertaisella suoritepäätöksellä jaetut tavoitteelliset opiskelijavuodet yhteensä 4]],0)</f>
        <v>0</v>
      </c>
      <c r="AZ68" s="207">
        <f>Opv.kohd.[[#This Row],[Yhteensä 7a]]-Opv.kohd.[[#This Row],[Työvoima-koulutus 7a]]</f>
        <v>0</v>
      </c>
      <c r="BA68" s="207">
        <f>IFERROR(VLOOKUP(Opv.kohd.[[#This Row],[Y-tunnus]],#REF!,COLUMN(#REF!),FALSE),0)</f>
        <v>0</v>
      </c>
      <c r="BB68" s="207">
        <f>IFERROR(VLOOKUP(Opv.kohd.[[#This Row],[Y-tunnus]],#REF!,COLUMN(#REF!),FALSE),0)</f>
        <v>0</v>
      </c>
      <c r="BC68" s="207">
        <f>Opv.kohd.[[#This Row],[Muu kuin työvoima-koulutus 7c]]-Opv.kohd.[[#This Row],[Muu kuin työvoima-koulutus 7a]]</f>
        <v>0</v>
      </c>
      <c r="BD68" s="207">
        <f>Opv.kohd.[[#This Row],[Työvoima-koulutus 7c]]-Opv.kohd.[[#This Row],[Työvoima-koulutus 7a]]</f>
        <v>0</v>
      </c>
      <c r="BE68" s="207">
        <f>Opv.kohd.[[#This Row],[Yhteensä 7c]]-Opv.kohd.[[#This Row],[Yhteensä 7a]]</f>
        <v>0</v>
      </c>
      <c r="BF68" s="207">
        <f>Opv.kohd.[[#This Row],[Yhteensä 7c]]-Opv.kohd.[[#This Row],[Työvoima-koulutus 7c]]</f>
        <v>0</v>
      </c>
      <c r="BG68" s="207">
        <f>IFERROR(VLOOKUP(Opv.kohd.[[#This Row],[Y-tunnus]],#REF!,COLUMN(#REF!),FALSE),0)</f>
        <v>0</v>
      </c>
      <c r="BH68" s="207">
        <f>IFERROR(VLOOKUP(Opv.kohd.[[#This Row],[Y-tunnus]],#REF!,COLUMN(#REF!),FALSE),0)</f>
        <v>0</v>
      </c>
      <c r="BI68" s="207">
        <f>IFERROR(VLOOKUP(Opv.kohd.[[#This Row],[Y-tunnus]],#REF!,COLUMN(#REF!),FALSE),0)</f>
        <v>0</v>
      </c>
      <c r="BJ68" s="207">
        <f>IFERROR(VLOOKUP(Opv.kohd.[[#This Row],[Y-tunnus]],#REF!,COLUMN(#REF!),FALSE),0)</f>
        <v>0</v>
      </c>
      <c r="BK68" s="207">
        <f>Opv.kohd.[[#This Row],[Muu kuin työvoima-koulutus 7d]]+Opv.kohd.[[#This Row],[Työvoima-koulutus 7d]]</f>
        <v>0</v>
      </c>
      <c r="BL68" s="207">
        <f>Opv.kohd.[[#This Row],[Muu kuin työvoima-koulutus 7c]]-Opv.kohd.[[#This Row],[Muu kuin työvoima-koulutus 7d]]</f>
        <v>0</v>
      </c>
      <c r="BM68" s="207">
        <f>Opv.kohd.[[#This Row],[Työvoima-koulutus 7c]]-Opv.kohd.[[#This Row],[Työvoima-koulutus 7d]]</f>
        <v>0</v>
      </c>
      <c r="BN68" s="207">
        <f>Opv.kohd.[[#This Row],[Yhteensä 7c]]-Opv.kohd.[[#This Row],[Yhteensä 7d]]</f>
        <v>0</v>
      </c>
      <c r="BO68" s="207">
        <f>Opv.kohd.[[#This Row],[Muu kuin työvoima-koulutus 7e]]-(Opv.kohd.[[#This Row],[Järjestämisluvan mukaiset 4]]+Opv.kohd.[[#This Row],[Kohdentamat-tomat 4]]+Opv.kohd.[[#This Row],[Maahan-muuttajien koulutus 4]]+Opv.kohd.[[#This Row],[Nuorisotyöt. väh. ja osaamistarp. vast., muu kuin työvoima-koulutus 4]])</f>
        <v>0</v>
      </c>
      <c r="BP68" s="207">
        <f>Opv.kohd.[[#This Row],[Työvoima-koulutus 7e]]-(Opv.kohd.[[#This Row],[Työvoima-koulutus 4]]+Opv.kohd.[[#This Row],[Nuorisotyöt. väh. ja osaamistarp. vast., työvoima-koulutus 4]])</f>
        <v>0</v>
      </c>
      <c r="BQ68" s="207">
        <f>Opv.kohd.[[#This Row],[Yhteensä 7e]]-Opv.kohd.[[#This Row],[Ensikertaisella suoritepäätöksellä jaetut tavoitteelliset opiskelijavuodet yhteensä 4]]</f>
        <v>0</v>
      </c>
      <c r="BR68" s="263">
        <v>5467</v>
      </c>
      <c r="BS68" s="263">
        <v>623</v>
      </c>
      <c r="BT68" s="263">
        <v>160</v>
      </c>
      <c r="BU68" s="263">
        <v>50</v>
      </c>
      <c r="BV68" s="263">
        <v>0</v>
      </c>
      <c r="BW68" s="263">
        <v>0</v>
      </c>
      <c r="BX68" s="263">
        <v>833</v>
      </c>
      <c r="BY68" s="263">
        <v>6300</v>
      </c>
      <c r="BZ68" s="207">
        <f t="shared" si="2"/>
        <v>5467</v>
      </c>
      <c r="CA68" s="207">
        <f t="shared" si="3"/>
        <v>623</v>
      </c>
      <c r="CB68" s="207">
        <f t="shared" si="4"/>
        <v>160</v>
      </c>
      <c r="CC68" s="207">
        <f t="shared" si="5"/>
        <v>50</v>
      </c>
      <c r="CD68" s="207">
        <f t="shared" si="6"/>
        <v>0</v>
      </c>
      <c r="CE68" s="207">
        <f t="shared" si="7"/>
        <v>0</v>
      </c>
      <c r="CF68" s="207">
        <f t="shared" si="8"/>
        <v>833</v>
      </c>
      <c r="CG68" s="207">
        <f t="shared" si="9"/>
        <v>6300</v>
      </c>
      <c r="CH68" s="207">
        <f>Opv.kohd.[[#This Row],[Tavoitteelliset opiskelijavuodet yhteensä 9]]-Opv.kohd.[[#This Row],[Työvoima-koulutus 9]]-Opv.kohd.[[#This Row],[Nuorisotyöt. väh. ja osaamistarp. vast., työvoima-koulutus 9]]-Opv.kohd.[[#This Row],[Muu kuin työvoima-koulutus 7e]]</f>
        <v>6140</v>
      </c>
      <c r="CI68" s="207">
        <f>(Opv.kohd.[[#This Row],[Työvoima-koulutus 9]]+Opv.kohd.[[#This Row],[Nuorisotyöt. väh. ja osaamistarp. vast., työvoima-koulutus 9]])-Opv.kohd.[[#This Row],[Työvoima-koulutus 7e]]</f>
        <v>160</v>
      </c>
      <c r="CJ68" s="207">
        <f>Opv.kohd.[[#This Row],[Tavoitteelliset opiskelijavuodet yhteensä 9]]-Opv.kohd.[[#This Row],[Yhteensä 7e]]</f>
        <v>6300</v>
      </c>
      <c r="CK68" s="207">
        <f>Opv.kohd.[[#This Row],[Järjestämisluvan mukaiset 4]]+Opv.kohd.[[#This Row],[Järjestämisluvan mukaiset 13]]</f>
        <v>0</v>
      </c>
      <c r="CL68" s="207">
        <f>Opv.kohd.[[#This Row],[Kohdentamat-tomat 4]]+Opv.kohd.[[#This Row],[Kohdentamat-tomat 13]]</f>
        <v>0</v>
      </c>
      <c r="CM68" s="207">
        <f>Opv.kohd.[[#This Row],[Työvoima-koulutus 4]]+Opv.kohd.[[#This Row],[Työvoima-koulutus 13]]</f>
        <v>0</v>
      </c>
      <c r="CN68" s="207">
        <f>Opv.kohd.[[#This Row],[Maahan-muuttajien koulutus 4]]+Opv.kohd.[[#This Row],[Maahan-muuttajien koulutus 13]]</f>
        <v>0</v>
      </c>
      <c r="CO68" s="207">
        <f>Opv.kohd.[[#This Row],[Nuorisotyöt. väh. ja osaamistarp. vast., muu kuin työvoima-koulutus 4]]+Opv.kohd.[[#This Row],[Nuorisotyöt. väh. ja osaamistarp. vast., muu kuin työvoima-koulutus 13]]</f>
        <v>0</v>
      </c>
      <c r="CP68" s="207">
        <f>Opv.kohd.[[#This Row],[Nuorisotyöt. väh. ja osaamistarp. vast., työvoima-koulutus 4]]+Opv.kohd.[[#This Row],[Nuorisotyöt. väh. ja osaamistarp. vast., työvoima-koulutus 13]]</f>
        <v>0</v>
      </c>
      <c r="CQ68" s="207">
        <f>Opv.kohd.[[#This Row],[Yhteensä 4]]+Opv.kohd.[[#This Row],[Yhteensä 13]]</f>
        <v>0</v>
      </c>
      <c r="CR68" s="207">
        <f>Opv.kohd.[[#This Row],[Ensikertaisella suoritepäätöksellä jaetut tavoitteelliset opiskelijavuodet yhteensä 4]]+Opv.kohd.[[#This Row],[Tavoitteelliset opiskelijavuodet yhteensä 13]]</f>
        <v>0</v>
      </c>
      <c r="CS68" s="120">
        <v>0</v>
      </c>
      <c r="CT68" s="120">
        <v>0</v>
      </c>
      <c r="CU68" s="120">
        <v>0</v>
      </c>
      <c r="CV68" s="120">
        <v>0</v>
      </c>
      <c r="CW68" s="120">
        <v>0</v>
      </c>
      <c r="CX68" s="120">
        <v>0</v>
      </c>
      <c r="CY68" s="120">
        <v>0</v>
      </c>
      <c r="CZ68" s="120">
        <v>0</v>
      </c>
      <c r="DA68" s="209">
        <f>IFERROR(Opv.kohd.[[#This Row],[Järjestämisluvan mukaiset 13]]/Opv.kohd.[[#This Row],[Järjestämisluvan mukaiset 12]],0)</f>
        <v>0</v>
      </c>
      <c r="DB68" s="209">
        <f>IFERROR(Opv.kohd.[[#This Row],[Kohdentamat-tomat 13]]/Opv.kohd.[[#This Row],[Kohdentamat-tomat 12]],0)</f>
        <v>0</v>
      </c>
      <c r="DC68" s="209">
        <f>IFERROR(Opv.kohd.[[#This Row],[Työvoima-koulutus 13]]/Opv.kohd.[[#This Row],[Työvoima-koulutus 12]],0)</f>
        <v>0</v>
      </c>
      <c r="DD68" s="209">
        <f>IFERROR(Opv.kohd.[[#This Row],[Maahan-muuttajien koulutus 13]]/Opv.kohd.[[#This Row],[Maahan-muuttajien koulutus 12]],0)</f>
        <v>0</v>
      </c>
      <c r="DE68" s="209">
        <f>IFERROR(Opv.kohd.[[#This Row],[Nuorisotyöt. väh. ja osaamistarp. vast., muu kuin työvoima-koulutus 13]]/Opv.kohd.[[#This Row],[Nuorisotyöt. väh. ja osaamistarp. vast., muu kuin työvoima-koulutus 12]],0)</f>
        <v>0</v>
      </c>
      <c r="DF68" s="209">
        <f>IFERROR(Opv.kohd.[[#This Row],[Nuorisotyöt. väh. ja osaamistarp. vast., työvoima-koulutus 13]]/Opv.kohd.[[#This Row],[Nuorisotyöt. väh. ja osaamistarp. vast., työvoima-koulutus 12]],0)</f>
        <v>0</v>
      </c>
      <c r="DG68" s="209">
        <f>IFERROR(Opv.kohd.[[#This Row],[Yhteensä 13]]/Opv.kohd.[[#This Row],[Yhteensä 12]],0)</f>
        <v>0</v>
      </c>
      <c r="DH68" s="209">
        <f>IFERROR(Opv.kohd.[[#This Row],[Tavoitteelliset opiskelijavuodet yhteensä 13]]/Opv.kohd.[[#This Row],[Tavoitteelliset opiskelijavuodet yhteensä 12]],0)</f>
        <v>0</v>
      </c>
      <c r="DI68" s="207">
        <f>Opv.kohd.[[#This Row],[Järjestämisluvan mukaiset 12]]-Opv.kohd.[[#This Row],[Järjestämisluvan mukaiset 9]]</f>
        <v>-5467</v>
      </c>
      <c r="DJ68" s="207">
        <f>Opv.kohd.[[#This Row],[Kohdentamat-tomat 12]]-Opv.kohd.[[#This Row],[Kohdentamat-tomat 9]]</f>
        <v>-623</v>
      </c>
      <c r="DK68" s="207">
        <f>Opv.kohd.[[#This Row],[Työvoima-koulutus 12]]-Opv.kohd.[[#This Row],[Työvoima-koulutus 9]]</f>
        <v>-160</v>
      </c>
      <c r="DL68" s="207">
        <f>Opv.kohd.[[#This Row],[Maahan-muuttajien koulutus 12]]-Opv.kohd.[[#This Row],[Maahan-muuttajien koulutus 9]]</f>
        <v>-50</v>
      </c>
      <c r="DM68" s="207">
        <f>Opv.kohd.[[#This Row],[Nuorisotyöt. väh. ja osaamistarp. vast., muu kuin työvoima-koulutus 12]]-Opv.kohd.[[#This Row],[Nuorisotyöt. väh. ja osaamistarp. vast., muu kuin työvoima-koulutus 9]]</f>
        <v>0</v>
      </c>
      <c r="DN68" s="207">
        <f>Opv.kohd.[[#This Row],[Nuorisotyöt. väh. ja osaamistarp. vast., työvoima-koulutus 12]]-Opv.kohd.[[#This Row],[Nuorisotyöt. väh. ja osaamistarp. vast., työvoima-koulutus 9]]</f>
        <v>0</v>
      </c>
      <c r="DO68" s="207">
        <f>Opv.kohd.[[#This Row],[Yhteensä 12]]-Opv.kohd.[[#This Row],[Yhteensä 9]]</f>
        <v>-833</v>
      </c>
      <c r="DP68" s="207">
        <f>Opv.kohd.[[#This Row],[Tavoitteelliset opiskelijavuodet yhteensä 12]]-Opv.kohd.[[#This Row],[Tavoitteelliset opiskelijavuodet yhteensä 9]]</f>
        <v>-6300</v>
      </c>
      <c r="DQ68" s="209">
        <f>IFERROR(Opv.kohd.[[#This Row],[Järjestämisluvan mukaiset 15]]/Opv.kohd.[[#This Row],[Järjestämisluvan mukaiset 9]],0)</f>
        <v>-1</v>
      </c>
      <c r="DR68" s="209">
        <f t="shared" si="10"/>
        <v>0</v>
      </c>
      <c r="DS68" s="209">
        <f t="shared" si="11"/>
        <v>0</v>
      </c>
      <c r="DT68" s="209">
        <f t="shared" si="12"/>
        <v>0</v>
      </c>
      <c r="DU68" s="209">
        <f t="shared" si="13"/>
        <v>0</v>
      </c>
      <c r="DV68" s="209">
        <f t="shared" si="14"/>
        <v>0</v>
      </c>
      <c r="DW68" s="209">
        <f t="shared" si="15"/>
        <v>0</v>
      </c>
      <c r="DX68" s="209">
        <f t="shared" si="16"/>
        <v>0</v>
      </c>
    </row>
    <row r="69" spans="1:128" x14ac:dyDescent="0.25">
      <c r="A69" s="204" t="e">
        <f>IF(INDEX(#REF!,ROW(69:69)-1,1)=0,"",INDEX(#REF!,ROW(69:69)-1,1))</f>
        <v>#REF!</v>
      </c>
      <c r="B69" s="205" t="str">
        <f>IFERROR(VLOOKUP(Opv.kohd.[[#This Row],[Y-tunnus]],'0 Järjestäjätiedot'!$A:$H,2,FALSE),"")</f>
        <v/>
      </c>
      <c r="C69" s="204" t="str">
        <f>IFERROR(VLOOKUP(Opv.kohd.[[#This Row],[Y-tunnus]],'0 Järjestäjätiedot'!$A:$H,COLUMN('0 Järjestäjätiedot'!D:D),FALSE),"")</f>
        <v/>
      </c>
      <c r="D69" s="204" t="str">
        <f>IFERROR(VLOOKUP(Opv.kohd.[[#This Row],[Y-tunnus]],'0 Järjestäjätiedot'!$A:$H,COLUMN('0 Järjestäjätiedot'!H:H),FALSE),"")</f>
        <v/>
      </c>
      <c r="E69" s="204">
        <f>IFERROR(VLOOKUP(Opv.kohd.[[#This Row],[Y-tunnus]],#REF!,COLUMN(#REF!),FALSE),0)</f>
        <v>0</v>
      </c>
      <c r="F69" s="204">
        <f>IFERROR(VLOOKUP(Opv.kohd.[[#This Row],[Y-tunnus]],#REF!,COLUMN(#REF!),FALSE),0)</f>
        <v>0</v>
      </c>
      <c r="G69" s="204">
        <f>IFERROR(VLOOKUP(Opv.kohd.[[#This Row],[Y-tunnus]],#REF!,COLUMN(#REF!),FALSE),0)</f>
        <v>0</v>
      </c>
      <c r="H69" s="204">
        <f>IFERROR(VLOOKUP(Opv.kohd.[[#This Row],[Y-tunnus]],#REF!,COLUMN(#REF!),FALSE),0)</f>
        <v>0</v>
      </c>
      <c r="I69" s="204">
        <f>IFERROR(VLOOKUP(Opv.kohd.[[#This Row],[Y-tunnus]],#REF!,COLUMN(#REF!),FALSE),0)</f>
        <v>0</v>
      </c>
      <c r="J69" s="204">
        <f>IFERROR(VLOOKUP(Opv.kohd.[[#This Row],[Y-tunnus]],#REF!,COLUMN(#REF!),FALSE),0)</f>
        <v>0</v>
      </c>
      <c r="K6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69" s="204">
        <f>Opv.kohd.[[#This Row],[Järjestämisluvan mukaiset 1]]+Opv.kohd.[[#This Row],[Yhteensä  1]]</f>
        <v>0</v>
      </c>
      <c r="M69" s="204">
        <f>IFERROR(VLOOKUP(Opv.kohd.[[#This Row],[Y-tunnus]],#REF!,COLUMN(#REF!),FALSE),0)</f>
        <v>0</v>
      </c>
      <c r="N69" s="204">
        <f>IFERROR(VLOOKUP(Opv.kohd.[[#This Row],[Y-tunnus]],#REF!,COLUMN(#REF!),FALSE),0)</f>
        <v>0</v>
      </c>
      <c r="O69" s="204">
        <f>IFERROR(VLOOKUP(Opv.kohd.[[#This Row],[Y-tunnus]],#REF!,COLUMN(#REF!),FALSE)+VLOOKUP(Opv.kohd.[[#This Row],[Y-tunnus]],#REF!,COLUMN(#REF!),FALSE),0)</f>
        <v>0</v>
      </c>
      <c r="P69" s="204">
        <f>Opv.kohd.[[#This Row],[Talousarvion perusteella kohdentamattomat]]+Opv.kohd.[[#This Row],[Talousarvion perusteella työvoimakoulutus 1]]+Opv.kohd.[[#This Row],[Lisätalousarvioiden perusteella]]</f>
        <v>0</v>
      </c>
      <c r="Q69" s="204">
        <f>IFERROR(VLOOKUP(Opv.kohd.[[#This Row],[Y-tunnus]],#REF!,COLUMN(#REF!),FALSE),0)</f>
        <v>0</v>
      </c>
      <c r="R69" s="210">
        <f>IFERROR(VLOOKUP(Opv.kohd.[[#This Row],[Y-tunnus]],#REF!,COLUMN(#REF!),FALSE)-(Opv.kohd.[[#This Row],[Kohdentamaton työvoima-koulutus 2]]+Opv.kohd.[[#This Row],[Maahan-muuttajien koulutus 2]]+Opv.kohd.[[#This Row],[Lisätalousarvioiden perusteella jaetut 2]]),0)</f>
        <v>0</v>
      </c>
      <c r="S69" s="210">
        <f>IFERROR(VLOOKUP(Opv.kohd.[[#This Row],[Y-tunnus]],#REF!,COLUMN(#REF!),FALSE)+VLOOKUP(Opv.kohd.[[#This Row],[Y-tunnus]],#REF!,COLUMN(#REF!),FALSE),0)</f>
        <v>0</v>
      </c>
      <c r="T69" s="210">
        <f>IFERROR(VLOOKUP(Opv.kohd.[[#This Row],[Y-tunnus]],#REF!,COLUMN(#REF!),FALSE)+VLOOKUP(Opv.kohd.[[#This Row],[Y-tunnus]],#REF!,COLUMN(#REF!),FALSE),0)</f>
        <v>0</v>
      </c>
      <c r="U6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69" s="210">
        <f>Opv.kohd.[[#This Row],[Kohdentamat-tomat 2]]+Opv.kohd.[[#This Row],[Kohdentamaton työvoima-koulutus 2]]+Opv.kohd.[[#This Row],[Maahan-muuttajien koulutus 2]]+Opv.kohd.[[#This Row],[Lisätalousarvioiden perusteella jaetut 2]]</f>
        <v>0</v>
      </c>
      <c r="W69" s="210">
        <f>Opv.kohd.[[#This Row],[Kohdentamat-tomat 2]]-(Opv.kohd.[[#This Row],[Järjestämisluvan mukaiset 1]]+Opv.kohd.[[#This Row],[Kohdentamat-tomat 1]]+Opv.kohd.[[#This Row],[Nuorisotyöt. väh. ja osaamistarp. vast., muu kuin työvoima-koulutus 1]]+Opv.kohd.[[#This Row],[Talousarvion perusteella kohdentamattomat]])</f>
        <v>0</v>
      </c>
      <c r="X69" s="210">
        <f>Opv.kohd.[[#This Row],[Kohdentamaton työvoima-koulutus 2]]-(Opv.kohd.[[#This Row],[Työvoima-koulutus 1]]+Opv.kohd.[[#This Row],[Nuorisotyöt. väh. ja osaamistarp. vast., työvoima-koulutus 1]]+Opv.kohd.[[#This Row],[Talousarvion perusteella työvoimakoulutus 1]])</f>
        <v>0</v>
      </c>
      <c r="Y69" s="210">
        <f>Opv.kohd.[[#This Row],[Maahan-muuttajien koulutus 2]]-Opv.kohd.[[#This Row],[Maahan-muuttajien koulutus 1]]</f>
        <v>0</v>
      </c>
      <c r="Z69" s="210">
        <f>Opv.kohd.[[#This Row],[Lisätalousarvioiden perusteella jaetut 2]]-Opv.kohd.[[#This Row],[Lisätalousarvioiden perusteella]]</f>
        <v>0</v>
      </c>
      <c r="AA69" s="210">
        <f>Opv.kohd.[[#This Row],[Toteutuneet opiskelijavuodet yhteensä 2]]-Opv.kohd.[[#This Row],[Vuoden 2018 tavoitteelliset opiskelijavuodet yhteensä 1]]</f>
        <v>0</v>
      </c>
      <c r="AB69" s="207">
        <f>IFERROR(VLOOKUP(Opv.kohd.[[#This Row],[Y-tunnus]],#REF!,3,FALSE),0)</f>
        <v>0</v>
      </c>
      <c r="AC69" s="207">
        <f>IFERROR(VLOOKUP(Opv.kohd.[[#This Row],[Y-tunnus]],#REF!,4,FALSE),0)</f>
        <v>0</v>
      </c>
      <c r="AD69" s="207">
        <f>IFERROR(VLOOKUP(Opv.kohd.[[#This Row],[Y-tunnus]],#REF!,5,FALSE),0)</f>
        <v>0</v>
      </c>
      <c r="AE69" s="207">
        <f>IFERROR(VLOOKUP(Opv.kohd.[[#This Row],[Y-tunnus]],#REF!,6,FALSE),0)</f>
        <v>0</v>
      </c>
      <c r="AF69" s="207">
        <f>IFERROR(VLOOKUP(Opv.kohd.[[#This Row],[Y-tunnus]],#REF!,7,FALSE),0)</f>
        <v>0</v>
      </c>
      <c r="AG69" s="207">
        <f>IFERROR(VLOOKUP(Opv.kohd.[[#This Row],[Y-tunnus]],#REF!,8,FALSE),0)</f>
        <v>0</v>
      </c>
      <c r="AH69" s="207">
        <f>IFERROR(VLOOKUP(Opv.kohd.[[#This Row],[Y-tunnus]],#REF!,9,FALSE),0)</f>
        <v>0</v>
      </c>
      <c r="AI69" s="207">
        <f>IFERROR(VLOOKUP(Opv.kohd.[[#This Row],[Y-tunnus]],#REF!,10,FALSE),0)</f>
        <v>0</v>
      </c>
      <c r="AJ69" s="204">
        <f>Opv.kohd.[[#This Row],[Järjestämisluvan mukaiset 4]]-Opv.kohd.[[#This Row],[Järjestämisluvan mukaiset 1]]</f>
        <v>0</v>
      </c>
      <c r="AK69" s="204">
        <f>Opv.kohd.[[#This Row],[Kohdentamat-tomat 4]]-Opv.kohd.[[#This Row],[Kohdentamat-tomat 1]]</f>
        <v>0</v>
      </c>
      <c r="AL69" s="204">
        <f>Opv.kohd.[[#This Row],[Työvoima-koulutus 4]]-Opv.kohd.[[#This Row],[Työvoima-koulutus 1]]</f>
        <v>0</v>
      </c>
      <c r="AM69" s="204">
        <f>Opv.kohd.[[#This Row],[Maahan-muuttajien koulutus 4]]-Opv.kohd.[[#This Row],[Maahan-muuttajien koulutus 1]]</f>
        <v>0</v>
      </c>
      <c r="AN69" s="204">
        <f>Opv.kohd.[[#This Row],[Nuorisotyöt. väh. ja osaamistarp. vast., muu kuin työvoima-koulutus 4]]-Opv.kohd.[[#This Row],[Nuorisotyöt. väh. ja osaamistarp. vast., muu kuin työvoima-koulutus 1]]</f>
        <v>0</v>
      </c>
      <c r="AO69" s="204">
        <f>Opv.kohd.[[#This Row],[Nuorisotyöt. väh. ja osaamistarp. vast., työvoima-koulutus 4]]-Opv.kohd.[[#This Row],[Nuorisotyöt. väh. ja osaamistarp. vast., työvoima-koulutus 1]]</f>
        <v>0</v>
      </c>
      <c r="AP69" s="204">
        <f>Opv.kohd.[[#This Row],[Yhteensä 4]]-Opv.kohd.[[#This Row],[Yhteensä  1]]</f>
        <v>0</v>
      </c>
      <c r="AQ69" s="204">
        <f>Opv.kohd.[[#This Row],[Ensikertaisella suoritepäätöksellä jaetut tavoitteelliset opiskelijavuodet yhteensä 4]]-Opv.kohd.[[#This Row],[Ensikertaisella suoritepäätöksellä jaetut tavoitteelliset opiskelijavuodet yhteensä 1]]</f>
        <v>0</v>
      </c>
      <c r="AR69" s="208">
        <f>IFERROR(Opv.kohd.[[#This Row],[Järjestämisluvan mukaiset 5]]/Opv.kohd.[[#This Row],[Järjestämisluvan mukaiset 4]],0)</f>
        <v>0</v>
      </c>
      <c r="AS69" s="208">
        <f>IFERROR(Opv.kohd.[[#This Row],[Kohdentamat-tomat 5]]/Opv.kohd.[[#This Row],[Kohdentamat-tomat 4]],0)</f>
        <v>0</v>
      </c>
      <c r="AT69" s="208">
        <f>IFERROR(Opv.kohd.[[#This Row],[Työvoima-koulutus 5]]/Opv.kohd.[[#This Row],[Työvoima-koulutus 4]],0)</f>
        <v>0</v>
      </c>
      <c r="AU69" s="208">
        <f>IFERROR(Opv.kohd.[[#This Row],[Maahan-muuttajien koulutus 5]]/Opv.kohd.[[#This Row],[Maahan-muuttajien koulutus 4]],0)</f>
        <v>0</v>
      </c>
      <c r="AV69" s="208">
        <f>IFERROR(Opv.kohd.[[#This Row],[Nuorisotyöt. väh. ja osaamistarp. vast., muu kuin työvoima-koulutus 5]]/Opv.kohd.[[#This Row],[Nuorisotyöt. väh. ja osaamistarp. vast., muu kuin työvoima-koulutus 4]],0)</f>
        <v>0</v>
      </c>
      <c r="AW69" s="208">
        <f>IFERROR(Opv.kohd.[[#This Row],[Nuorisotyöt. väh. ja osaamistarp. vast., työvoima-koulutus 5]]/Opv.kohd.[[#This Row],[Nuorisotyöt. väh. ja osaamistarp. vast., työvoima-koulutus 4]],0)</f>
        <v>0</v>
      </c>
      <c r="AX69" s="208">
        <f>IFERROR(Opv.kohd.[[#This Row],[Yhteensä 5]]/Opv.kohd.[[#This Row],[Yhteensä 4]],0)</f>
        <v>0</v>
      </c>
      <c r="AY69" s="208">
        <f>IFERROR(Opv.kohd.[[#This Row],[Ensikertaisella suoritepäätöksellä jaetut tavoitteelliset opiskelijavuodet yhteensä 5]]/Opv.kohd.[[#This Row],[Ensikertaisella suoritepäätöksellä jaetut tavoitteelliset opiskelijavuodet yhteensä 4]],0)</f>
        <v>0</v>
      </c>
      <c r="AZ69" s="207">
        <f>Opv.kohd.[[#This Row],[Yhteensä 7a]]-Opv.kohd.[[#This Row],[Työvoima-koulutus 7a]]</f>
        <v>0</v>
      </c>
      <c r="BA69" s="207">
        <f>IFERROR(VLOOKUP(Opv.kohd.[[#This Row],[Y-tunnus]],#REF!,COLUMN(#REF!),FALSE),0)</f>
        <v>0</v>
      </c>
      <c r="BB69" s="207">
        <f>IFERROR(VLOOKUP(Opv.kohd.[[#This Row],[Y-tunnus]],#REF!,COLUMN(#REF!),FALSE),0)</f>
        <v>0</v>
      </c>
      <c r="BC69" s="207">
        <f>Opv.kohd.[[#This Row],[Muu kuin työvoima-koulutus 7c]]-Opv.kohd.[[#This Row],[Muu kuin työvoima-koulutus 7a]]</f>
        <v>0</v>
      </c>
      <c r="BD69" s="207">
        <f>Opv.kohd.[[#This Row],[Työvoima-koulutus 7c]]-Opv.kohd.[[#This Row],[Työvoima-koulutus 7a]]</f>
        <v>0</v>
      </c>
      <c r="BE69" s="207">
        <f>Opv.kohd.[[#This Row],[Yhteensä 7c]]-Opv.kohd.[[#This Row],[Yhteensä 7a]]</f>
        <v>0</v>
      </c>
      <c r="BF69" s="207">
        <f>Opv.kohd.[[#This Row],[Yhteensä 7c]]-Opv.kohd.[[#This Row],[Työvoima-koulutus 7c]]</f>
        <v>0</v>
      </c>
      <c r="BG69" s="207">
        <f>IFERROR(VLOOKUP(Opv.kohd.[[#This Row],[Y-tunnus]],#REF!,COLUMN(#REF!),FALSE),0)</f>
        <v>0</v>
      </c>
      <c r="BH69" s="207">
        <f>IFERROR(VLOOKUP(Opv.kohd.[[#This Row],[Y-tunnus]],#REF!,COLUMN(#REF!),FALSE),0)</f>
        <v>0</v>
      </c>
      <c r="BI69" s="207">
        <f>IFERROR(VLOOKUP(Opv.kohd.[[#This Row],[Y-tunnus]],#REF!,COLUMN(#REF!),FALSE),0)</f>
        <v>0</v>
      </c>
      <c r="BJ69" s="207">
        <f>IFERROR(VLOOKUP(Opv.kohd.[[#This Row],[Y-tunnus]],#REF!,COLUMN(#REF!),FALSE),0)</f>
        <v>0</v>
      </c>
      <c r="BK69" s="207">
        <f>Opv.kohd.[[#This Row],[Muu kuin työvoima-koulutus 7d]]+Opv.kohd.[[#This Row],[Työvoima-koulutus 7d]]</f>
        <v>0</v>
      </c>
      <c r="BL69" s="207">
        <f>Opv.kohd.[[#This Row],[Muu kuin työvoima-koulutus 7c]]-Opv.kohd.[[#This Row],[Muu kuin työvoima-koulutus 7d]]</f>
        <v>0</v>
      </c>
      <c r="BM69" s="207">
        <f>Opv.kohd.[[#This Row],[Työvoima-koulutus 7c]]-Opv.kohd.[[#This Row],[Työvoima-koulutus 7d]]</f>
        <v>0</v>
      </c>
      <c r="BN69" s="207">
        <f>Opv.kohd.[[#This Row],[Yhteensä 7c]]-Opv.kohd.[[#This Row],[Yhteensä 7d]]</f>
        <v>0</v>
      </c>
      <c r="BO69" s="207">
        <f>Opv.kohd.[[#This Row],[Muu kuin työvoima-koulutus 7e]]-(Opv.kohd.[[#This Row],[Järjestämisluvan mukaiset 4]]+Opv.kohd.[[#This Row],[Kohdentamat-tomat 4]]+Opv.kohd.[[#This Row],[Maahan-muuttajien koulutus 4]]+Opv.kohd.[[#This Row],[Nuorisotyöt. väh. ja osaamistarp. vast., muu kuin työvoima-koulutus 4]])</f>
        <v>0</v>
      </c>
      <c r="BP69" s="207">
        <f>Opv.kohd.[[#This Row],[Työvoima-koulutus 7e]]-(Opv.kohd.[[#This Row],[Työvoima-koulutus 4]]+Opv.kohd.[[#This Row],[Nuorisotyöt. väh. ja osaamistarp. vast., työvoima-koulutus 4]])</f>
        <v>0</v>
      </c>
      <c r="BQ69" s="207">
        <f>Opv.kohd.[[#This Row],[Yhteensä 7e]]-Opv.kohd.[[#This Row],[Ensikertaisella suoritepäätöksellä jaetut tavoitteelliset opiskelijavuodet yhteensä 4]]</f>
        <v>0</v>
      </c>
      <c r="BR69" s="263">
        <v>2145</v>
      </c>
      <c r="BS69" s="263">
        <v>75</v>
      </c>
      <c r="BT69" s="263">
        <v>70</v>
      </c>
      <c r="BU69" s="263">
        <v>33</v>
      </c>
      <c r="BV69" s="263">
        <v>0</v>
      </c>
      <c r="BW69" s="263">
        <v>10</v>
      </c>
      <c r="BX69" s="263">
        <v>188</v>
      </c>
      <c r="BY69" s="263">
        <v>2333</v>
      </c>
      <c r="BZ69" s="207">
        <f t="shared" si="2"/>
        <v>2145</v>
      </c>
      <c r="CA69" s="207">
        <f t="shared" si="3"/>
        <v>75</v>
      </c>
      <c r="CB69" s="207">
        <f t="shared" si="4"/>
        <v>70</v>
      </c>
      <c r="CC69" s="207">
        <f t="shared" si="5"/>
        <v>33</v>
      </c>
      <c r="CD69" s="207">
        <f t="shared" si="6"/>
        <v>0</v>
      </c>
      <c r="CE69" s="207">
        <f t="shared" si="7"/>
        <v>10</v>
      </c>
      <c r="CF69" s="207">
        <f t="shared" si="8"/>
        <v>188</v>
      </c>
      <c r="CG69" s="207">
        <f t="shared" si="9"/>
        <v>2333</v>
      </c>
      <c r="CH69" s="207">
        <f>Opv.kohd.[[#This Row],[Tavoitteelliset opiskelijavuodet yhteensä 9]]-Opv.kohd.[[#This Row],[Työvoima-koulutus 9]]-Opv.kohd.[[#This Row],[Nuorisotyöt. väh. ja osaamistarp. vast., työvoima-koulutus 9]]-Opv.kohd.[[#This Row],[Muu kuin työvoima-koulutus 7e]]</f>
        <v>2253</v>
      </c>
      <c r="CI69" s="207">
        <f>(Opv.kohd.[[#This Row],[Työvoima-koulutus 9]]+Opv.kohd.[[#This Row],[Nuorisotyöt. väh. ja osaamistarp. vast., työvoima-koulutus 9]])-Opv.kohd.[[#This Row],[Työvoima-koulutus 7e]]</f>
        <v>80</v>
      </c>
      <c r="CJ69" s="207">
        <f>Opv.kohd.[[#This Row],[Tavoitteelliset opiskelijavuodet yhteensä 9]]-Opv.kohd.[[#This Row],[Yhteensä 7e]]</f>
        <v>2333</v>
      </c>
      <c r="CK69" s="207">
        <f>Opv.kohd.[[#This Row],[Järjestämisluvan mukaiset 4]]+Opv.kohd.[[#This Row],[Järjestämisluvan mukaiset 13]]</f>
        <v>0</v>
      </c>
      <c r="CL69" s="207">
        <f>Opv.kohd.[[#This Row],[Kohdentamat-tomat 4]]+Opv.kohd.[[#This Row],[Kohdentamat-tomat 13]]</f>
        <v>0</v>
      </c>
      <c r="CM69" s="207">
        <f>Opv.kohd.[[#This Row],[Työvoima-koulutus 4]]+Opv.kohd.[[#This Row],[Työvoima-koulutus 13]]</f>
        <v>0</v>
      </c>
      <c r="CN69" s="207">
        <f>Opv.kohd.[[#This Row],[Maahan-muuttajien koulutus 4]]+Opv.kohd.[[#This Row],[Maahan-muuttajien koulutus 13]]</f>
        <v>0</v>
      </c>
      <c r="CO69" s="207">
        <f>Opv.kohd.[[#This Row],[Nuorisotyöt. väh. ja osaamistarp. vast., muu kuin työvoima-koulutus 4]]+Opv.kohd.[[#This Row],[Nuorisotyöt. väh. ja osaamistarp. vast., muu kuin työvoima-koulutus 13]]</f>
        <v>0</v>
      </c>
      <c r="CP69" s="207">
        <f>Opv.kohd.[[#This Row],[Nuorisotyöt. väh. ja osaamistarp. vast., työvoima-koulutus 4]]+Opv.kohd.[[#This Row],[Nuorisotyöt. väh. ja osaamistarp. vast., työvoima-koulutus 13]]</f>
        <v>0</v>
      </c>
      <c r="CQ69" s="207">
        <f>Opv.kohd.[[#This Row],[Yhteensä 4]]+Opv.kohd.[[#This Row],[Yhteensä 13]]</f>
        <v>0</v>
      </c>
      <c r="CR69" s="207">
        <f>Opv.kohd.[[#This Row],[Ensikertaisella suoritepäätöksellä jaetut tavoitteelliset opiskelijavuodet yhteensä 4]]+Opv.kohd.[[#This Row],[Tavoitteelliset opiskelijavuodet yhteensä 13]]</f>
        <v>0</v>
      </c>
      <c r="CS69" s="120">
        <v>0</v>
      </c>
      <c r="CT69" s="120">
        <v>0</v>
      </c>
      <c r="CU69" s="120">
        <v>0</v>
      </c>
      <c r="CV69" s="120">
        <v>0</v>
      </c>
      <c r="CW69" s="120">
        <v>0</v>
      </c>
      <c r="CX69" s="120">
        <v>0</v>
      </c>
      <c r="CY69" s="120">
        <v>0</v>
      </c>
      <c r="CZ69" s="120">
        <v>0</v>
      </c>
      <c r="DA69" s="209">
        <f>IFERROR(Opv.kohd.[[#This Row],[Järjestämisluvan mukaiset 13]]/Opv.kohd.[[#This Row],[Järjestämisluvan mukaiset 12]],0)</f>
        <v>0</v>
      </c>
      <c r="DB69" s="209">
        <f>IFERROR(Opv.kohd.[[#This Row],[Kohdentamat-tomat 13]]/Opv.kohd.[[#This Row],[Kohdentamat-tomat 12]],0)</f>
        <v>0</v>
      </c>
      <c r="DC69" s="209">
        <f>IFERROR(Opv.kohd.[[#This Row],[Työvoima-koulutus 13]]/Opv.kohd.[[#This Row],[Työvoima-koulutus 12]],0)</f>
        <v>0</v>
      </c>
      <c r="DD69" s="209">
        <f>IFERROR(Opv.kohd.[[#This Row],[Maahan-muuttajien koulutus 13]]/Opv.kohd.[[#This Row],[Maahan-muuttajien koulutus 12]],0)</f>
        <v>0</v>
      </c>
      <c r="DE69" s="209">
        <f>IFERROR(Opv.kohd.[[#This Row],[Nuorisotyöt. väh. ja osaamistarp. vast., muu kuin työvoima-koulutus 13]]/Opv.kohd.[[#This Row],[Nuorisotyöt. väh. ja osaamistarp. vast., muu kuin työvoima-koulutus 12]],0)</f>
        <v>0</v>
      </c>
      <c r="DF69" s="209">
        <f>IFERROR(Opv.kohd.[[#This Row],[Nuorisotyöt. väh. ja osaamistarp. vast., työvoima-koulutus 13]]/Opv.kohd.[[#This Row],[Nuorisotyöt. väh. ja osaamistarp. vast., työvoima-koulutus 12]],0)</f>
        <v>0</v>
      </c>
      <c r="DG69" s="209">
        <f>IFERROR(Opv.kohd.[[#This Row],[Yhteensä 13]]/Opv.kohd.[[#This Row],[Yhteensä 12]],0)</f>
        <v>0</v>
      </c>
      <c r="DH69" s="209">
        <f>IFERROR(Opv.kohd.[[#This Row],[Tavoitteelliset opiskelijavuodet yhteensä 13]]/Opv.kohd.[[#This Row],[Tavoitteelliset opiskelijavuodet yhteensä 12]],0)</f>
        <v>0</v>
      </c>
      <c r="DI69" s="207">
        <f>Opv.kohd.[[#This Row],[Järjestämisluvan mukaiset 12]]-Opv.kohd.[[#This Row],[Järjestämisluvan mukaiset 9]]</f>
        <v>-2145</v>
      </c>
      <c r="DJ69" s="207">
        <f>Opv.kohd.[[#This Row],[Kohdentamat-tomat 12]]-Opv.kohd.[[#This Row],[Kohdentamat-tomat 9]]</f>
        <v>-75</v>
      </c>
      <c r="DK69" s="207">
        <f>Opv.kohd.[[#This Row],[Työvoima-koulutus 12]]-Opv.kohd.[[#This Row],[Työvoima-koulutus 9]]</f>
        <v>-70</v>
      </c>
      <c r="DL69" s="207">
        <f>Opv.kohd.[[#This Row],[Maahan-muuttajien koulutus 12]]-Opv.kohd.[[#This Row],[Maahan-muuttajien koulutus 9]]</f>
        <v>-33</v>
      </c>
      <c r="DM69" s="207">
        <f>Opv.kohd.[[#This Row],[Nuorisotyöt. väh. ja osaamistarp. vast., muu kuin työvoima-koulutus 12]]-Opv.kohd.[[#This Row],[Nuorisotyöt. väh. ja osaamistarp. vast., muu kuin työvoima-koulutus 9]]</f>
        <v>0</v>
      </c>
      <c r="DN69" s="207">
        <f>Opv.kohd.[[#This Row],[Nuorisotyöt. väh. ja osaamistarp. vast., työvoima-koulutus 12]]-Opv.kohd.[[#This Row],[Nuorisotyöt. väh. ja osaamistarp. vast., työvoima-koulutus 9]]</f>
        <v>-10</v>
      </c>
      <c r="DO69" s="207">
        <f>Opv.kohd.[[#This Row],[Yhteensä 12]]-Opv.kohd.[[#This Row],[Yhteensä 9]]</f>
        <v>-188</v>
      </c>
      <c r="DP69" s="207">
        <f>Opv.kohd.[[#This Row],[Tavoitteelliset opiskelijavuodet yhteensä 12]]-Opv.kohd.[[#This Row],[Tavoitteelliset opiskelijavuodet yhteensä 9]]</f>
        <v>-2333</v>
      </c>
      <c r="DQ69" s="209">
        <f>IFERROR(Opv.kohd.[[#This Row],[Järjestämisluvan mukaiset 15]]/Opv.kohd.[[#This Row],[Järjestämisluvan mukaiset 9]],0)</f>
        <v>-1</v>
      </c>
      <c r="DR69" s="209">
        <f t="shared" si="10"/>
        <v>0</v>
      </c>
      <c r="DS69" s="209">
        <f t="shared" si="11"/>
        <v>0</v>
      </c>
      <c r="DT69" s="209">
        <f t="shared" si="12"/>
        <v>0</v>
      </c>
      <c r="DU69" s="209">
        <f t="shared" si="13"/>
        <v>0</v>
      </c>
      <c r="DV69" s="209">
        <f t="shared" si="14"/>
        <v>0</v>
      </c>
      <c r="DW69" s="209">
        <f t="shared" si="15"/>
        <v>0</v>
      </c>
      <c r="DX69" s="209">
        <f t="shared" si="16"/>
        <v>0</v>
      </c>
    </row>
    <row r="70" spans="1:128" x14ac:dyDescent="0.25">
      <c r="A70" s="204" t="e">
        <f>IF(INDEX(#REF!,ROW(70:70)-1,1)=0,"",INDEX(#REF!,ROW(70:70)-1,1))</f>
        <v>#REF!</v>
      </c>
      <c r="B70" s="205" t="str">
        <f>IFERROR(VLOOKUP(Opv.kohd.[[#This Row],[Y-tunnus]],'0 Järjestäjätiedot'!$A:$H,2,FALSE),"")</f>
        <v/>
      </c>
      <c r="C70" s="204" t="str">
        <f>IFERROR(VLOOKUP(Opv.kohd.[[#This Row],[Y-tunnus]],'0 Järjestäjätiedot'!$A:$H,COLUMN('0 Järjestäjätiedot'!D:D),FALSE),"")</f>
        <v/>
      </c>
      <c r="D70" s="204" t="str">
        <f>IFERROR(VLOOKUP(Opv.kohd.[[#This Row],[Y-tunnus]],'0 Järjestäjätiedot'!$A:$H,COLUMN('0 Järjestäjätiedot'!H:H),FALSE),"")</f>
        <v/>
      </c>
      <c r="E70" s="204">
        <f>IFERROR(VLOOKUP(Opv.kohd.[[#This Row],[Y-tunnus]],#REF!,COLUMN(#REF!),FALSE),0)</f>
        <v>0</v>
      </c>
      <c r="F70" s="204">
        <f>IFERROR(VLOOKUP(Opv.kohd.[[#This Row],[Y-tunnus]],#REF!,COLUMN(#REF!),FALSE),0)</f>
        <v>0</v>
      </c>
      <c r="G70" s="204">
        <f>IFERROR(VLOOKUP(Opv.kohd.[[#This Row],[Y-tunnus]],#REF!,COLUMN(#REF!),FALSE),0)</f>
        <v>0</v>
      </c>
      <c r="H70" s="204">
        <f>IFERROR(VLOOKUP(Opv.kohd.[[#This Row],[Y-tunnus]],#REF!,COLUMN(#REF!),FALSE),0)</f>
        <v>0</v>
      </c>
      <c r="I70" s="204">
        <f>IFERROR(VLOOKUP(Opv.kohd.[[#This Row],[Y-tunnus]],#REF!,COLUMN(#REF!),FALSE),0)</f>
        <v>0</v>
      </c>
      <c r="J70" s="204">
        <f>IFERROR(VLOOKUP(Opv.kohd.[[#This Row],[Y-tunnus]],#REF!,COLUMN(#REF!),FALSE),0)</f>
        <v>0</v>
      </c>
      <c r="K7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70" s="204">
        <f>Opv.kohd.[[#This Row],[Järjestämisluvan mukaiset 1]]+Opv.kohd.[[#This Row],[Yhteensä  1]]</f>
        <v>0</v>
      </c>
      <c r="M70" s="204">
        <f>IFERROR(VLOOKUP(Opv.kohd.[[#This Row],[Y-tunnus]],#REF!,COLUMN(#REF!),FALSE),0)</f>
        <v>0</v>
      </c>
      <c r="N70" s="204">
        <f>IFERROR(VLOOKUP(Opv.kohd.[[#This Row],[Y-tunnus]],#REF!,COLUMN(#REF!),FALSE),0)</f>
        <v>0</v>
      </c>
      <c r="O70" s="204">
        <f>IFERROR(VLOOKUP(Opv.kohd.[[#This Row],[Y-tunnus]],#REF!,COLUMN(#REF!),FALSE)+VLOOKUP(Opv.kohd.[[#This Row],[Y-tunnus]],#REF!,COLUMN(#REF!),FALSE),0)</f>
        <v>0</v>
      </c>
      <c r="P70" s="204">
        <f>Opv.kohd.[[#This Row],[Talousarvion perusteella kohdentamattomat]]+Opv.kohd.[[#This Row],[Talousarvion perusteella työvoimakoulutus 1]]+Opv.kohd.[[#This Row],[Lisätalousarvioiden perusteella]]</f>
        <v>0</v>
      </c>
      <c r="Q70" s="204">
        <f>IFERROR(VLOOKUP(Opv.kohd.[[#This Row],[Y-tunnus]],#REF!,COLUMN(#REF!),FALSE),0)</f>
        <v>0</v>
      </c>
      <c r="R70" s="210">
        <f>IFERROR(VLOOKUP(Opv.kohd.[[#This Row],[Y-tunnus]],#REF!,COLUMN(#REF!),FALSE)-(Opv.kohd.[[#This Row],[Kohdentamaton työvoima-koulutus 2]]+Opv.kohd.[[#This Row],[Maahan-muuttajien koulutus 2]]+Opv.kohd.[[#This Row],[Lisätalousarvioiden perusteella jaetut 2]]),0)</f>
        <v>0</v>
      </c>
      <c r="S70" s="210">
        <f>IFERROR(VLOOKUP(Opv.kohd.[[#This Row],[Y-tunnus]],#REF!,COLUMN(#REF!),FALSE)+VLOOKUP(Opv.kohd.[[#This Row],[Y-tunnus]],#REF!,COLUMN(#REF!),FALSE),0)</f>
        <v>0</v>
      </c>
      <c r="T70" s="210">
        <f>IFERROR(VLOOKUP(Opv.kohd.[[#This Row],[Y-tunnus]],#REF!,COLUMN(#REF!),FALSE)+VLOOKUP(Opv.kohd.[[#This Row],[Y-tunnus]],#REF!,COLUMN(#REF!),FALSE),0)</f>
        <v>0</v>
      </c>
      <c r="U7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70" s="210">
        <f>Opv.kohd.[[#This Row],[Kohdentamat-tomat 2]]+Opv.kohd.[[#This Row],[Kohdentamaton työvoima-koulutus 2]]+Opv.kohd.[[#This Row],[Maahan-muuttajien koulutus 2]]+Opv.kohd.[[#This Row],[Lisätalousarvioiden perusteella jaetut 2]]</f>
        <v>0</v>
      </c>
      <c r="W70" s="210">
        <f>Opv.kohd.[[#This Row],[Kohdentamat-tomat 2]]-(Opv.kohd.[[#This Row],[Järjestämisluvan mukaiset 1]]+Opv.kohd.[[#This Row],[Kohdentamat-tomat 1]]+Opv.kohd.[[#This Row],[Nuorisotyöt. väh. ja osaamistarp. vast., muu kuin työvoima-koulutus 1]]+Opv.kohd.[[#This Row],[Talousarvion perusteella kohdentamattomat]])</f>
        <v>0</v>
      </c>
      <c r="X70" s="210">
        <f>Opv.kohd.[[#This Row],[Kohdentamaton työvoima-koulutus 2]]-(Opv.kohd.[[#This Row],[Työvoima-koulutus 1]]+Opv.kohd.[[#This Row],[Nuorisotyöt. väh. ja osaamistarp. vast., työvoima-koulutus 1]]+Opv.kohd.[[#This Row],[Talousarvion perusteella työvoimakoulutus 1]])</f>
        <v>0</v>
      </c>
      <c r="Y70" s="210">
        <f>Opv.kohd.[[#This Row],[Maahan-muuttajien koulutus 2]]-Opv.kohd.[[#This Row],[Maahan-muuttajien koulutus 1]]</f>
        <v>0</v>
      </c>
      <c r="Z70" s="210">
        <f>Opv.kohd.[[#This Row],[Lisätalousarvioiden perusteella jaetut 2]]-Opv.kohd.[[#This Row],[Lisätalousarvioiden perusteella]]</f>
        <v>0</v>
      </c>
      <c r="AA70" s="210">
        <f>Opv.kohd.[[#This Row],[Toteutuneet opiskelijavuodet yhteensä 2]]-Opv.kohd.[[#This Row],[Vuoden 2018 tavoitteelliset opiskelijavuodet yhteensä 1]]</f>
        <v>0</v>
      </c>
      <c r="AB70" s="207">
        <f>IFERROR(VLOOKUP(Opv.kohd.[[#This Row],[Y-tunnus]],#REF!,3,FALSE),0)</f>
        <v>0</v>
      </c>
      <c r="AC70" s="207">
        <f>IFERROR(VLOOKUP(Opv.kohd.[[#This Row],[Y-tunnus]],#REF!,4,FALSE),0)</f>
        <v>0</v>
      </c>
      <c r="AD70" s="207">
        <f>IFERROR(VLOOKUP(Opv.kohd.[[#This Row],[Y-tunnus]],#REF!,5,FALSE),0)</f>
        <v>0</v>
      </c>
      <c r="AE70" s="207">
        <f>IFERROR(VLOOKUP(Opv.kohd.[[#This Row],[Y-tunnus]],#REF!,6,FALSE),0)</f>
        <v>0</v>
      </c>
      <c r="AF70" s="207">
        <f>IFERROR(VLOOKUP(Opv.kohd.[[#This Row],[Y-tunnus]],#REF!,7,FALSE),0)</f>
        <v>0</v>
      </c>
      <c r="AG70" s="207">
        <f>IFERROR(VLOOKUP(Opv.kohd.[[#This Row],[Y-tunnus]],#REF!,8,FALSE),0)</f>
        <v>0</v>
      </c>
      <c r="AH70" s="207">
        <f>IFERROR(VLOOKUP(Opv.kohd.[[#This Row],[Y-tunnus]],#REF!,9,FALSE),0)</f>
        <v>0</v>
      </c>
      <c r="AI70" s="207">
        <f>IFERROR(VLOOKUP(Opv.kohd.[[#This Row],[Y-tunnus]],#REF!,10,FALSE),0)</f>
        <v>0</v>
      </c>
      <c r="AJ70" s="204">
        <f>Opv.kohd.[[#This Row],[Järjestämisluvan mukaiset 4]]-Opv.kohd.[[#This Row],[Järjestämisluvan mukaiset 1]]</f>
        <v>0</v>
      </c>
      <c r="AK70" s="204">
        <f>Opv.kohd.[[#This Row],[Kohdentamat-tomat 4]]-Opv.kohd.[[#This Row],[Kohdentamat-tomat 1]]</f>
        <v>0</v>
      </c>
      <c r="AL70" s="204">
        <f>Opv.kohd.[[#This Row],[Työvoima-koulutus 4]]-Opv.kohd.[[#This Row],[Työvoima-koulutus 1]]</f>
        <v>0</v>
      </c>
      <c r="AM70" s="204">
        <f>Opv.kohd.[[#This Row],[Maahan-muuttajien koulutus 4]]-Opv.kohd.[[#This Row],[Maahan-muuttajien koulutus 1]]</f>
        <v>0</v>
      </c>
      <c r="AN70" s="204">
        <f>Opv.kohd.[[#This Row],[Nuorisotyöt. väh. ja osaamistarp. vast., muu kuin työvoima-koulutus 4]]-Opv.kohd.[[#This Row],[Nuorisotyöt. väh. ja osaamistarp. vast., muu kuin työvoima-koulutus 1]]</f>
        <v>0</v>
      </c>
      <c r="AO70" s="204">
        <f>Opv.kohd.[[#This Row],[Nuorisotyöt. väh. ja osaamistarp. vast., työvoima-koulutus 4]]-Opv.kohd.[[#This Row],[Nuorisotyöt. väh. ja osaamistarp. vast., työvoima-koulutus 1]]</f>
        <v>0</v>
      </c>
      <c r="AP70" s="204">
        <f>Opv.kohd.[[#This Row],[Yhteensä 4]]-Opv.kohd.[[#This Row],[Yhteensä  1]]</f>
        <v>0</v>
      </c>
      <c r="AQ70" s="204">
        <f>Opv.kohd.[[#This Row],[Ensikertaisella suoritepäätöksellä jaetut tavoitteelliset opiskelijavuodet yhteensä 4]]-Opv.kohd.[[#This Row],[Ensikertaisella suoritepäätöksellä jaetut tavoitteelliset opiskelijavuodet yhteensä 1]]</f>
        <v>0</v>
      </c>
      <c r="AR70" s="208">
        <f>IFERROR(Opv.kohd.[[#This Row],[Järjestämisluvan mukaiset 5]]/Opv.kohd.[[#This Row],[Järjestämisluvan mukaiset 4]],0)</f>
        <v>0</v>
      </c>
      <c r="AS70" s="208">
        <f>IFERROR(Opv.kohd.[[#This Row],[Kohdentamat-tomat 5]]/Opv.kohd.[[#This Row],[Kohdentamat-tomat 4]],0)</f>
        <v>0</v>
      </c>
      <c r="AT70" s="208">
        <f>IFERROR(Opv.kohd.[[#This Row],[Työvoima-koulutus 5]]/Opv.kohd.[[#This Row],[Työvoima-koulutus 4]],0)</f>
        <v>0</v>
      </c>
      <c r="AU70" s="208">
        <f>IFERROR(Opv.kohd.[[#This Row],[Maahan-muuttajien koulutus 5]]/Opv.kohd.[[#This Row],[Maahan-muuttajien koulutus 4]],0)</f>
        <v>0</v>
      </c>
      <c r="AV70" s="208">
        <f>IFERROR(Opv.kohd.[[#This Row],[Nuorisotyöt. väh. ja osaamistarp. vast., muu kuin työvoima-koulutus 5]]/Opv.kohd.[[#This Row],[Nuorisotyöt. väh. ja osaamistarp. vast., muu kuin työvoima-koulutus 4]],0)</f>
        <v>0</v>
      </c>
      <c r="AW70" s="208">
        <f>IFERROR(Opv.kohd.[[#This Row],[Nuorisotyöt. väh. ja osaamistarp. vast., työvoima-koulutus 5]]/Opv.kohd.[[#This Row],[Nuorisotyöt. väh. ja osaamistarp. vast., työvoima-koulutus 4]],0)</f>
        <v>0</v>
      </c>
      <c r="AX70" s="208">
        <f>IFERROR(Opv.kohd.[[#This Row],[Yhteensä 5]]/Opv.kohd.[[#This Row],[Yhteensä 4]],0)</f>
        <v>0</v>
      </c>
      <c r="AY70" s="208">
        <f>IFERROR(Opv.kohd.[[#This Row],[Ensikertaisella suoritepäätöksellä jaetut tavoitteelliset opiskelijavuodet yhteensä 5]]/Opv.kohd.[[#This Row],[Ensikertaisella suoritepäätöksellä jaetut tavoitteelliset opiskelijavuodet yhteensä 4]],0)</f>
        <v>0</v>
      </c>
      <c r="AZ70" s="207">
        <f>Opv.kohd.[[#This Row],[Yhteensä 7a]]-Opv.kohd.[[#This Row],[Työvoima-koulutus 7a]]</f>
        <v>0</v>
      </c>
      <c r="BA70" s="207">
        <f>IFERROR(VLOOKUP(Opv.kohd.[[#This Row],[Y-tunnus]],#REF!,COLUMN(#REF!),FALSE),0)</f>
        <v>0</v>
      </c>
      <c r="BB70" s="207">
        <f>IFERROR(VLOOKUP(Opv.kohd.[[#This Row],[Y-tunnus]],#REF!,COLUMN(#REF!),FALSE),0)</f>
        <v>0</v>
      </c>
      <c r="BC70" s="207">
        <f>Opv.kohd.[[#This Row],[Muu kuin työvoima-koulutus 7c]]-Opv.kohd.[[#This Row],[Muu kuin työvoima-koulutus 7a]]</f>
        <v>0</v>
      </c>
      <c r="BD70" s="207">
        <f>Opv.kohd.[[#This Row],[Työvoima-koulutus 7c]]-Opv.kohd.[[#This Row],[Työvoima-koulutus 7a]]</f>
        <v>0</v>
      </c>
      <c r="BE70" s="207">
        <f>Opv.kohd.[[#This Row],[Yhteensä 7c]]-Opv.kohd.[[#This Row],[Yhteensä 7a]]</f>
        <v>0</v>
      </c>
      <c r="BF70" s="207">
        <f>Opv.kohd.[[#This Row],[Yhteensä 7c]]-Opv.kohd.[[#This Row],[Työvoima-koulutus 7c]]</f>
        <v>0</v>
      </c>
      <c r="BG70" s="207">
        <f>IFERROR(VLOOKUP(Opv.kohd.[[#This Row],[Y-tunnus]],#REF!,COLUMN(#REF!),FALSE),0)</f>
        <v>0</v>
      </c>
      <c r="BH70" s="207">
        <f>IFERROR(VLOOKUP(Opv.kohd.[[#This Row],[Y-tunnus]],#REF!,COLUMN(#REF!),FALSE),0)</f>
        <v>0</v>
      </c>
      <c r="BI70" s="207">
        <f>IFERROR(VLOOKUP(Opv.kohd.[[#This Row],[Y-tunnus]],#REF!,COLUMN(#REF!),FALSE),0)</f>
        <v>0</v>
      </c>
      <c r="BJ70" s="207">
        <f>IFERROR(VLOOKUP(Opv.kohd.[[#This Row],[Y-tunnus]],#REF!,COLUMN(#REF!),FALSE),0)</f>
        <v>0</v>
      </c>
      <c r="BK70" s="207">
        <f>Opv.kohd.[[#This Row],[Muu kuin työvoima-koulutus 7d]]+Opv.kohd.[[#This Row],[Työvoima-koulutus 7d]]</f>
        <v>0</v>
      </c>
      <c r="BL70" s="207">
        <f>Opv.kohd.[[#This Row],[Muu kuin työvoima-koulutus 7c]]-Opv.kohd.[[#This Row],[Muu kuin työvoima-koulutus 7d]]</f>
        <v>0</v>
      </c>
      <c r="BM70" s="207">
        <f>Opv.kohd.[[#This Row],[Työvoima-koulutus 7c]]-Opv.kohd.[[#This Row],[Työvoima-koulutus 7d]]</f>
        <v>0</v>
      </c>
      <c r="BN70" s="207">
        <f>Opv.kohd.[[#This Row],[Yhteensä 7c]]-Opv.kohd.[[#This Row],[Yhteensä 7d]]</f>
        <v>0</v>
      </c>
      <c r="BO70" s="207">
        <f>Opv.kohd.[[#This Row],[Muu kuin työvoima-koulutus 7e]]-(Opv.kohd.[[#This Row],[Järjestämisluvan mukaiset 4]]+Opv.kohd.[[#This Row],[Kohdentamat-tomat 4]]+Opv.kohd.[[#This Row],[Maahan-muuttajien koulutus 4]]+Opv.kohd.[[#This Row],[Nuorisotyöt. väh. ja osaamistarp. vast., muu kuin työvoima-koulutus 4]])</f>
        <v>0</v>
      </c>
      <c r="BP70" s="207">
        <f>Opv.kohd.[[#This Row],[Työvoima-koulutus 7e]]-(Opv.kohd.[[#This Row],[Työvoima-koulutus 4]]+Opv.kohd.[[#This Row],[Nuorisotyöt. väh. ja osaamistarp. vast., työvoima-koulutus 4]])</f>
        <v>0</v>
      </c>
      <c r="BQ70" s="207">
        <f>Opv.kohd.[[#This Row],[Yhteensä 7e]]-Opv.kohd.[[#This Row],[Ensikertaisella suoritepäätöksellä jaetut tavoitteelliset opiskelijavuodet yhteensä 4]]</f>
        <v>0</v>
      </c>
      <c r="BR70" s="263">
        <v>77</v>
      </c>
      <c r="BS70" s="263">
        <v>63</v>
      </c>
      <c r="BT70" s="263">
        <v>100</v>
      </c>
      <c r="BU70" s="263">
        <v>50</v>
      </c>
      <c r="BV70" s="263">
        <v>20</v>
      </c>
      <c r="BW70" s="263">
        <v>20</v>
      </c>
      <c r="BX70" s="263">
        <v>253</v>
      </c>
      <c r="BY70" s="263">
        <v>330</v>
      </c>
      <c r="BZ70" s="207">
        <f t="shared" si="2"/>
        <v>77</v>
      </c>
      <c r="CA70" s="207">
        <f t="shared" si="3"/>
        <v>63</v>
      </c>
      <c r="CB70" s="207">
        <f t="shared" si="4"/>
        <v>100</v>
      </c>
      <c r="CC70" s="207">
        <f t="shared" si="5"/>
        <v>50</v>
      </c>
      <c r="CD70" s="207">
        <f t="shared" si="6"/>
        <v>20</v>
      </c>
      <c r="CE70" s="207">
        <f t="shared" si="7"/>
        <v>20</v>
      </c>
      <c r="CF70" s="207">
        <f t="shared" si="8"/>
        <v>253</v>
      </c>
      <c r="CG70" s="207">
        <f t="shared" si="9"/>
        <v>330</v>
      </c>
      <c r="CH70" s="207">
        <f>Opv.kohd.[[#This Row],[Tavoitteelliset opiskelijavuodet yhteensä 9]]-Opv.kohd.[[#This Row],[Työvoima-koulutus 9]]-Opv.kohd.[[#This Row],[Nuorisotyöt. väh. ja osaamistarp. vast., työvoima-koulutus 9]]-Opv.kohd.[[#This Row],[Muu kuin työvoima-koulutus 7e]]</f>
        <v>210</v>
      </c>
      <c r="CI70" s="207">
        <f>(Opv.kohd.[[#This Row],[Työvoima-koulutus 9]]+Opv.kohd.[[#This Row],[Nuorisotyöt. väh. ja osaamistarp. vast., työvoima-koulutus 9]])-Opv.kohd.[[#This Row],[Työvoima-koulutus 7e]]</f>
        <v>120</v>
      </c>
      <c r="CJ70" s="207">
        <f>Opv.kohd.[[#This Row],[Tavoitteelliset opiskelijavuodet yhteensä 9]]-Opv.kohd.[[#This Row],[Yhteensä 7e]]</f>
        <v>330</v>
      </c>
      <c r="CK70" s="207">
        <f>Opv.kohd.[[#This Row],[Järjestämisluvan mukaiset 4]]+Opv.kohd.[[#This Row],[Järjestämisluvan mukaiset 13]]</f>
        <v>0</v>
      </c>
      <c r="CL70" s="207">
        <f>Opv.kohd.[[#This Row],[Kohdentamat-tomat 4]]+Opv.kohd.[[#This Row],[Kohdentamat-tomat 13]]</f>
        <v>0</v>
      </c>
      <c r="CM70" s="207">
        <f>Opv.kohd.[[#This Row],[Työvoima-koulutus 4]]+Opv.kohd.[[#This Row],[Työvoima-koulutus 13]]</f>
        <v>0</v>
      </c>
      <c r="CN70" s="207">
        <f>Opv.kohd.[[#This Row],[Maahan-muuttajien koulutus 4]]+Opv.kohd.[[#This Row],[Maahan-muuttajien koulutus 13]]</f>
        <v>0</v>
      </c>
      <c r="CO70" s="207">
        <f>Opv.kohd.[[#This Row],[Nuorisotyöt. väh. ja osaamistarp. vast., muu kuin työvoima-koulutus 4]]+Opv.kohd.[[#This Row],[Nuorisotyöt. väh. ja osaamistarp. vast., muu kuin työvoima-koulutus 13]]</f>
        <v>0</v>
      </c>
      <c r="CP70" s="207">
        <f>Opv.kohd.[[#This Row],[Nuorisotyöt. väh. ja osaamistarp. vast., työvoima-koulutus 4]]+Opv.kohd.[[#This Row],[Nuorisotyöt. väh. ja osaamistarp. vast., työvoima-koulutus 13]]</f>
        <v>0</v>
      </c>
      <c r="CQ70" s="207">
        <f>Opv.kohd.[[#This Row],[Yhteensä 4]]+Opv.kohd.[[#This Row],[Yhteensä 13]]</f>
        <v>0</v>
      </c>
      <c r="CR70" s="207">
        <f>Opv.kohd.[[#This Row],[Ensikertaisella suoritepäätöksellä jaetut tavoitteelliset opiskelijavuodet yhteensä 4]]+Opv.kohd.[[#This Row],[Tavoitteelliset opiskelijavuodet yhteensä 13]]</f>
        <v>0</v>
      </c>
      <c r="CS70" s="120">
        <v>0</v>
      </c>
      <c r="CT70" s="120">
        <v>0</v>
      </c>
      <c r="CU70" s="120">
        <v>0</v>
      </c>
      <c r="CV70" s="120">
        <v>0</v>
      </c>
      <c r="CW70" s="120">
        <v>0</v>
      </c>
      <c r="CX70" s="120">
        <v>0</v>
      </c>
      <c r="CY70" s="120">
        <v>0</v>
      </c>
      <c r="CZ70" s="120">
        <v>0</v>
      </c>
      <c r="DA70" s="209">
        <f>IFERROR(Opv.kohd.[[#This Row],[Järjestämisluvan mukaiset 13]]/Opv.kohd.[[#This Row],[Järjestämisluvan mukaiset 12]],0)</f>
        <v>0</v>
      </c>
      <c r="DB70" s="209">
        <f>IFERROR(Opv.kohd.[[#This Row],[Kohdentamat-tomat 13]]/Opv.kohd.[[#This Row],[Kohdentamat-tomat 12]],0)</f>
        <v>0</v>
      </c>
      <c r="DC70" s="209">
        <f>IFERROR(Opv.kohd.[[#This Row],[Työvoima-koulutus 13]]/Opv.kohd.[[#This Row],[Työvoima-koulutus 12]],0)</f>
        <v>0</v>
      </c>
      <c r="DD70" s="209">
        <f>IFERROR(Opv.kohd.[[#This Row],[Maahan-muuttajien koulutus 13]]/Opv.kohd.[[#This Row],[Maahan-muuttajien koulutus 12]],0)</f>
        <v>0</v>
      </c>
      <c r="DE70" s="209">
        <f>IFERROR(Opv.kohd.[[#This Row],[Nuorisotyöt. väh. ja osaamistarp. vast., muu kuin työvoima-koulutus 13]]/Opv.kohd.[[#This Row],[Nuorisotyöt. väh. ja osaamistarp. vast., muu kuin työvoima-koulutus 12]],0)</f>
        <v>0</v>
      </c>
      <c r="DF70" s="209">
        <f>IFERROR(Opv.kohd.[[#This Row],[Nuorisotyöt. väh. ja osaamistarp. vast., työvoima-koulutus 13]]/Opv.kohd.[[#This Row],[Nuorisotyöt. väh. ja osaamistarp. vast., työvoima-koulutus 12]],0)</f>
        <v>0</v>
      </c>
      <c r="DG70" s="209">
        <f>IFERROR(Opv.kohd.[[#This Row],[Yhteensä 13]]/Opv.kohd.[[#This Row],[Yhteensä 12]],0)</f>
        <v>0</v>
      </c>
      <c r="DH70" s="209">
        <f>IFERROR(Opv.kohd.[[#This Row],[Tavoitteelliset opiskelijavuodet yhteensä 13]]/Opv.kohd.[[#This Row],[Tavoitteelliset opiskelijavuodet yhteensä 12]],0)</f>
        <v>0</v>
      </c>
      <c r="DI70" s="207">
        <f>Opv.kohd.[[#This Row],[Järjestämisluvan mukaiset 12]]-Opv.kohd.[[#This Row],[Järjestämisluvan mukaiset 9]]</f>
        <v>-77</v>
      </c>
      <c r="DJ70" s="207">
        <f>Opv.kohd.[[#This Row],[Kohdentamat-tomat 12]]-Opv.kohd.[[#This Row],[Kohdentamat-tomat 9]]</f>
        <v>-63</v>
      </c>
      <c r="DK70" s="207">
        <f>Opv.kohd.[[#This Row],[Työvoima-koulutus 12]]-Opv.kohd.[[#This Row],[Työvoima-koulutus 9]]</f>
        <v>-100</v>
      </c>
      <c r="DL70" s="207">
        <f>Opv.kohd.[[#This Row],[Maahan-muuttajien koulutus 12]]-Opv.kohd.[[#This Row],[Maahan-muuttajien koulutus 9]]</f>
        <v>-50</v>
      </c>
      <c r="DM70" s="207">
        <f>Opv.kohd.[[#This Row],[Nuorisotyöt. väh. ja osaamistarp. vast., muu kuin työvoima-koulutus 12]]-Opv.kohd.[[#This Row],[Nuorisotyöt. väh. ja osaamistarp. vast., muu kuin työvoima-koulutus 9]]</f>
        <v>-20</v>
      </c>
      <c r="DN70" s="207">
        <f>Opv.kohd.[[#This Row],[Nuorisotyöt. väh. ja osaamistarp. vast., työvoima-koulutus 12]]-Opv.kohd.[[#This Row],[Nuorisotyöt. väh. ja osaamistarp. vast., työvoima-koulutus 9]]</f>
        <v>-20</v>
      </c>
      <c r="DO70" s="207">
        <f>Opv.kohd.[[#This Row],[Yhteensä 12]]-Opv.kohd.[[#This Row],[Yhteensä 9]]</f>
        <v>-253</v>
      </c>
      <c r="DP70" s="207">
        <f>Opv.kohd.[[#This Row],[Tavoitteelliset opiskelijavuodet yhteensä 12]]-Opv.kohd.[[#This Row],[Tavoitteelliset opiskelijavuodet yhteensä 9]]</f>
        <v>-330</v>
      </c>
      <c r="DQ70" s="209">
        <f>IFERROR(Opv.kohd.[[#This Row],[Järjestämisluvan mukaiset 15]]/Opv.kohd.[[#This Row],[Järjestämisluvan mukaiset 9]],0)</f>
        <v>-1</v>
      </c>
      <c r="DR70" s="209">
        <f t="shared" si="10"/>
        <v>0</v>
      </c>
      <c r="DS70" s="209">
        <f t="shared" si="11"/>
        <v>0</v>
      </c>
      <c r="DT70" s="209">
        <f t="shared" si="12"/>
        <v>0</v>
      </c>
      <c r="DU70" s="209">
        <f t="shared" si="13"/>
        <v>0</v>
      </c>
      <c r="DV70" s="209">
        <f t="shared" si="14"/>
        <v>0</v>
      </c>
      <c r="DW70" s="209">
        <f t="shared" si="15"/>
        <v>0</v>
      </c>
      <c r="DX70" s="209">
        <f t="shared" si="16"/>
        <v>0</v>
      </c>
    </row>
    <row r="71" spans="1:128" x14ac:dyDescent="0.25">
      <c r="A71" s="204" t="e">
        <f>IF(INDEX(#REF!,ROW(71:71)-1,1)=0,"",INDEX(#REF!,ROW(71:71)-1,1))</f>
        <v>#REF!</v>
      </c>
      <c r="B71" s="205" t="str">
        <f>IFERROR(VLOOKUP(Opv.kohd.[[#This Row],[Y-tunnus]],'0 Järjestäjätiedot'!$A:$H,2,FALSE),"")</f>
        <v/>
      </c>
      <c r="C71" s="204" t="str">
        <f>IFERROR(VLOOKUP(Opv.kohd.[[#This Row],[Y-tunnus]],'0 Järjestäjätiedot'!$A:$H,COLUMN('0 Järjestäjätiedot'!D:D),FALSE),"")</f>
        <v/>
      </c>
      <c r="D71" s="204" t="str">
        <f>IFERROR(VLOOKUP(Opv.kohd.[[#This Row],[Y-tunnus]],'0 Järjestäjätiedot'!$A:$H,COLUMN('0 Järjestäjätiedot'!H:H),FALSE),"")</f>
        <v/>
      </c>
      <c r="E71" s="204">
        <f>IFERROR(VLOOKUP(Opv.kohd.[[#This Row],[Y-tunnus]],#REF!,COLUMN(#REF!),FALSE),0)</f>
        <v>0</v>
      </c>
      <c r="F71" s="204">
        <f>IFERROR(VLOOKUP(Opv.kohd.[[#This Row],[Y-tunnus]],#REF!,COLUMN(#REF!),FALSE),0)</f>
        <v>0</v>
      </c>
      <c r="G71" s="204">
        <f>IFERROR(VLOOKUP(Opv.kohd.[[#This Row],[Y-tunnus]],#REF!,COLUMN(#REF!),FALSE),0)</f>
        <v>0</v>
      </c>
      <c r="H71" s="204">
        <f>IFERROR(VLOOKUP(Opv.kohd.[[#This Row],[Y-tunnus]],#REF!,COLUMN(#REF!),FALSE),0)</f>
        <v>0</v>
      </c>
      <c r="I71" s="204">
        <f>IFERROR(VLOOKUP(Opv.kohd.[[#This Row],[Y-tunnus]],#REF!,COLUMN(#REF!),FALSE),0)</f>
        <v>0</v>
      </c>
      <c r="J71" s="204">
        <f>IFERROR(VLOOKUP(Opv.kohd.[[#This Row],[Y-tunnus]],#REF!,COLUMN(#REF!),FALSE),0)</f>
        <v>0</v>
      </c>
      <c r="K7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71" s="204">
        <f>Opv.kohd.[[#This Row],[Järjestämisluvan mukaiset 1]]+Opv.kohd.[[#This Row],[Yhteensä  1]]</f>
        <v>0</v>
      </c>
      <c r="M71" s="204">
        <f>IFERROR(VLOOKUP(Opv.kohd.[[#This Row],[Y-tunnus]],#REF!,COLUMN(#REF!),FALSE),0)</f>
        <v>0</v>
      </c>
      <c r="N71" s="204">
        <f>IFERROR(VLOOKUP(Opv.kohd.[[#This Row],[Y-tunnus]],#REF!,COLUMN(#REF!),FALSE),0)</f>
        <v>0</v>
      </c>
      <c r="O71" s="204">
        <f>IFERROR(VLOOKUP(Opv.kohd.[[#This Row],[Y-tunnus]],#REF!,COLUMN(#REF!),FALSE)+VLOOKUP(Opv.kohd.[[#This Row],[Y-tunnus]],#REF!,COLUMN(#REF!),FALSE),0)</f>
        <v>0</v>
      </c>
      <c r="P71" s="204">
        <f>Opv.kohd.[[#This Row],[Talousarvion perusteella kohdentamattomat]]+Opv.kohd.[[#This Row],[Talousarvion perusteella työvoimakoulutus 1]]+Opv.kohd.[[#This Row],[Lisätalousarvioiden perusteella]]</f>
        <v>0</v>
      </c>
      <c r="Q71" s="204">
        <f>IFERROR(VLOOKUP(Opv.kohd.[[#This Row],[Y-tunnus]],#REF!,COLUMN(#REF!),FALSE),0)</f>
        <v>0</v>
      </c>
      <c r="R71" s="210">
        <f>IFERROR(VLOOKUP(Opv.kohd.[[#This Row],[Y-tunnus]],#REF!,COLUMN(#REF!),FALSE)-(Opv.kohd.[[#This Row],[Kohdentamaton työvoima-koulutus 2]]+Opv.kohd.[[#This Row],[Maahan-muuttajien koulutus 2]]+Opv.kohd.[[#This Row],[Lisätalousarvioiden perusteella jaetut 2]]),0)</f>
        <v>0</v>
      </c>
      <c r="S71" s="210">
        <f>IFERROR(VLOOKUP(Opv.kohd.[[#This Row],[Y-tunnus]],#REF!,COLUMN(#REF!),FALSE)+VLOOKUP(Opv.kohd.[[#This Row],[Y-tunnus]],#REF!,COLUMN(#REF!),FALSE),0)</f>
        <v>0</v>
      </c>
      <c r="T71" s="210">
        <f>IFERROR(VLOOKUP(Opv.kohd.[[#This Row],[Y-tunnus]],#REF!,COLUMN(#REF!),FALSE)+VLOOKUP(Opv.kohd.[[#This Row],[Y-tunnus]],#REF!,COLUMN(#REF!),FALSE),0)</f>
        <v>0</v>
      </c>
      <c r="U7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71" s="210">
        <f>Opv.kohd.[[#This Row],[Kohdentamat-tomat 2]]+Opv.kohd.[[#This Row],[Kohdentamaton työvoima-koulutus 2]]+Opv.kohd.[[#This Row],[Maahan-muuttajien koulutus 2]]+Opv.kohd.[[#This Row],[Lisätalousarvioiden perusteella jaetut 2]]</f>
        <v>0</v>
      </c>
      <c r="W71" s="210">
        <f>Opv.kohd.[[#This Row],[Kohdentamat-tomat 2]]-(Opv.kohd.[[#This Row],[Järjestämisluvan mukaiset 1]]+Opv.kohd.[[#This Row],[Kohdentamat-tomat 1]]+Opv.kohd.[[#This Row],[Nuorisotyöt. väh. ja osaamistarp. vast., muu kuin työvoima-koulutus 1]]+Opv.kohd.[[#This Row],[Talousarvion perusteella kohdentamattomat]])</f>
        <v>0</v>
      </c>
      <c r="X71" s="210">
        <f>Opv.kohd.[[#This Row],[Kohdentamaton työvoima-koulutus 2]]-(Opv.kohd.[[#This Row],[Työvoima-koulutus 1]]+Opv.kohd.[[#This Row],[Nuorisotyöt. väh. ja osaamistarp. vast., työvoima-koulutus 1]]+Opv.kohd.[[#This Row],[Talousarvion perusteella työvoimakoulutus 1]])</f>
        <v>0</v>
      </c>
      <c r="Y71" s="210">
        <f>Opv.kohd.[[#This Row],[Maahan-muuttajien koulutus 2]]-Opv.kohd.[[#This Row],[Maahan-muuttajien koulutus 1]]</f>
        <v>0</v>
      </c>
      <c r="Z71" s="210">
        <f>Opv.kohd.[[#This Row],[Lisätalousarvioiden perusteella jaetut 2]]-Opv.kohd.[[#This Row],[Lisätalousarvioiden perusteella]]</f>
        <v>0</v>
      </c>
      <c r="AA71" s="210">
        <f>Opv.kohd.[[#This Row],[Toteutuneet opiskelijavuodet yhteensä 2]]-Opv.kohd.[[#This Row],[Vuoden 2018 tavoitteelliset opiskelijavuodet yhteensä 1]]</f>
        <v>0</v>
      </c>
      <c r="AB71" s="207">
        <f>IFERROR(VLOOKUP(Opv.kohd.[[#This Row],[Y-tunnus]],#REF!,3,FALSE),0)</f>
        <v>0</v>
      </c>
      <c r="AC71" s="207">
        <f>IFERROR(VLOOKUP(Opv.kohd.[[#This Row],[Y-tunnus]],#REF!,4,FALSE),0)</f>
        <v>0</v>
      </c>
      <c r="AD71" s="207">
        <f>IFERROR(VLOOKUP(Opv.kohd.[[#This Row],[Y-tunnus]],#REF!,5,FALSE),0)</f>
        <v>0</v>
      </c>
      <c r="AE71" s="207">
        <f>IFERROR(VLOOKUP(Opv.kohd.[[#This Row],[Y-tunnus]],#REF!,6,FALSE),0)</f>
        <v>0</v>
      </c>
      <c r="AF71" s="207">
        <f>IFERROR(VLOOKUP(Opv.kohd.[[#This Row],[Y-tunnus]],#REF!,7,FALSE),0)</f>
        <v>0</v>
      </c>
      <c r="AG71" s="207">
        <f>IFERROR(VLOOKUP(Opv.kohd.[[#This Row],[Y-tunnus]],#REF!,8,FALSE),0)</f>
        <v>0</v>
      </c>
      <c r="AH71" s="207">
        <f>IFERROR(VLOOKUP(Opv.kohd.[[#This Row],[Y-tunnus]],#REF!,9,FALSE),0)</f>
        <v>0</v>
      </c>
      <c r="AI71" s="207">
        <f>IFERROR(VLOOKUP(Opv.kohd.[[#This Row],[Y-tunnus]],#REF!,10,FALSE),0)</f>
        <v>0</v>
      </c>
      <c r="AJ71" s="204">
        <f>Opv.kohd.[[#This Row],[Järjestämisluvan mukaiset 4]]-Opv.kohd.[[#This Row],[Järjestämisluvan mukaiset 1]]</f>
        <v>0</v>
      </c>
      <c r="AK71" s="204">
        <f>Opv.kohd.[[#This Row],[Kohdentamat-tomat 4]]-Opv.kohd.[[#This Row],[Kohdentamat-tomat 1]]</f>
        <v>0</v>
      </c>
      <c r="AL71" s="204">
        <f>Opv.kohd.[[#This Row],[Työvoima-koulutus 4]]-Opv.kohd.[[#This Row],[Työvoima-koulutus 1]]</f>
        <v>0</v>
      </c>
      <c r="AM71" s="204">
        <f>Opv.kohd.[[#This Row],[Maahan-muuttajien koulutus 4]]-Opv.kohd.[[#This Row],[Maahan-muuttajien koulutus 1]]</f>
        <v>0</v>
      </c>
      <c r="AN71" s="204">
        <f>Opv.kohd.[[#This Row],[Nuorisotyöt. väh. ja osaamistarp. vast., muu kuin työvoima-koulutus 4]]-Opv.kohd.[[#This Row],[Nuorisotyöt. väh. ja osaamistarp. vast., muu kuin työvoima-koulutus 1]]</f>
        <v>0</v>
      </c>
      <c r="AO71" s="204">
        <f>Opv.kohd.[[#This Row],[Nuorisotyöt. väh. ja osaamistarp. vast., työvoima-koulutus 4]]-Opv.kohd.[[#This Row],[Nuorisotyöt. väh. ja osaamistarp. vast., työvoima-koulutus 1]]</f>
        <v>0</v>
      </c>
      <c r="AP71" s="204">
        <f>Opv.kohd.[[#This Row],[Yhteensä 4]]-Opv.kohd.[[#This Row],[Yhteensä  1]]</f>
        <v>0</v>
      </c>
      <c r="AQ71" s="204">
        <f>Opv.kohd.[[#This Row],[Ensikertaisella suoritepäätöksellä jaetut tavoitteelliset opiskelijavuodet yhteensä 4]]-Opv.kohd.[[#This Row],[Ensikertaisella suoritepäätöksellä jaetut tavoitteelliset opiskelijavuodet yhteensä 1]]</f>
        <v>0</v>
      </c>
      <c r="AR71" s="208">
        <f>IFERROR(Opv.kohd.[[#This Row],[Järjestämisluvan mukaiset 5]]/Opv.kohd.[[#This Row],[Järjestämisluvan mukaiset 4]],0)</f>
        <v>0</v>
      </c>
      <c r="AS71" s="208">
        <f>IFERROR(Opv.kohd.[[#This Row],[Kohdentamat-tomat 5]]/Opv.kohd.[[#This Row],[Kohdentamat-tomat 4]],0)</f>
        <v>0</v>
      </c>
      <c r="AT71" s="208">
        <f>IFERROR(Opv.kohd.[[#This Row],[Työvoima-koulutus 5]]/Opv.kohd.[[#This Row],[Työvoima-koulutus 4]],0)</f>
        <v>0</v>
      </c>
      <c r="AU71" s="208">
        <f>IFERROR(Opv.kohd.[[#This Row],[Maahan-muuttajien koulutus 5]]/Opv.kohd.[[#This Row],[Maahan-muuttajien koulutus 4]],0)</f>
        <v>0</v>
      </c>
      <c r="AV71" s="208">
        <f>IFERROR(Opv.kohd.[[#This Row],[Nuorisotyöt. väh. ja osaamistarp. vast., muu kuin työvoima-koulutus 5]]/Opv.kohd.[[#This Row],[Nuorisotyöt. väh. ja osaamistarp. vast., muu kuin työvoima-koulutus 4]],0)</f>
        <v>0</v>
      </c>
      <c r="AW71" s="208">
        <f>IFERROR(Opv.kohd.[[#This Row],[Nuorisotyöt. väh. ja osaamistarp. vast., työvoima-koulutus 5]]/Opv.kohd.[[#This Row],[Nuorisotyöt. väh. ja osaamistarp. vast., työvoima-koulutus 4]],0)</f>
        <v>0</v>
      </c>
      <c r="AX71" s="208">
        <f>IFERROR(Opv.kohd.[[#This Row],[Yhteensä 5]]/Opv.kohd.[[#This Row],[Yhteensä 4]],0)</f>
        <v>0</v>
      </c>
      <c r="AY71" s="208">
        <f>IFERROR(Opv.kohd.[[#This Row],[Ensikertaisella suoritepäätöksellä jaetut tavoitteelliset opiskelijavuodet yhteensä 5]]/Opv.kohd.[[#This Row],[Ensikertaisella suoritepäätöksellä jaetut tavoitteelliset opiskelijavuodet yhteensä 4]],0)</f>
        <v>0</v>
      </c>
      <c r="AZ71" s="207">
        <f>Opv.kohd.[[#This Row],[Yhteensä 7a]]-Opv.kohd.[[#This Row],[Työvoima-koulutus 7a]]</f>
        <v>0</v>
      </c>
      <c r="BA71" s="207">
        <f>IFERROR(VLOOKUP(Opv.kohd.[[#This Row],[Y-tunnus]],#REF!,COLUMN(#REF!),FALSE),0)</f>
        <v>0</v>
      </c>
      <c r="BB71" s="207">
        <f>IFERROR(VLOOKUP(Opv.kohd.[[#This Row],[Y-tunnus]],#REF!,COLUMN(#REF!),FALSE),0)</f>
        <v>0</v>
      </c>
      <c r="BC71" s="207">
        <f>Opv.kohd.[[#This Row],[Muu kuin työvoima-koulutus 7c]]-Opv.kohd.[[#This Row],[Muu kuin työvoima-koulutus 7a]]</f>
        <v>0</v>
      </c>
      <c r="BD71" s="207">
        <f>Opv.kohd.[[#This Row],[Työvoima-koulutus 7c]]-Opv.kohd.[[#This Row],[Työvoima-koulutus 7a]]</f>
        <v>0</v>
      </c>
      <c r="BE71" s="207">
        <f>Opv.kohd.[[#This Row],[Yhteensä 7c]]-Opv.kohd.[[#This Row],[Yhteensä 7a]]</f>
        <v>0</v>
      </c>
      <c r="BF71" s="207">
        <f>Opv.kohd.[[#This Row],[Yhteensä 7c]]-Opv.kohd.[[#This Row],[Työvoima-koulutus 7c]]</f>
        <v>0</v>
      </c>
      <c r="BG71" s="207">
        <f>IFERROR(VLOOKUP(Opv.kohd.[[#This Row],[Y-tunnus]],#REF!,COLUMN(#REF!),FALSE),0)</f>
        <v>0</v>
      </c>
      <c r="BH71" s="207">
        <f>IFERROR(VLOOKUP(Opv.kohd.[[#This Row],[Y-tunnus]],#REF!,COLUMN(#REF!),FALSE),0)</f>
        <v>0</v>
      </c>
      <c r="BI71" s="207">
        <f>IFERROR(VLOOKUP(Opv.kohd.[[#This Row],[Y-tunnus]],#REF!,COLUMN(#REF!),FALSE),0)</f>
        <v>0</v>
      </c>
      <c r="BJ71" s="207">
        <f>IFERROR(VLOOKUP(Opv.kohd.[[#This Row],[Y-tunnus]],#REF!,COLUMN(#REF!),FALSE),0)</f>
        <v>0</v>
      </c>
      <c r="BK71" s="207">
        <f>Opv.kohd.[[#This Row],[Muu kuin työvoima-koulutus 7d]]+Opv.kohd.[[#This Row],[Työvoima-koulutus 7d]]</f>
        <v>0</v>
      </c>
      <c r="BL71" s="207">
        <f>Opv.kohd.[[#This Row],[Muu kuin työvoima-koulutus 7c]]-Opv.kohd.[[#This Row],[Muu kuin työvoima-koulutus 7d]]</f>
        <v>0</v>
      </c>
      <c r="BM71" s="207">
        <f>Opv.kohd.[[#This Row],[Työvoima-koulutus 7c]]-Opv.kohd.[[#This Row],[Työvoima-koulutus 7d]]</f>
        <v>0</v>
      </c>
      <c r="BN71" s="207">
        <f>Opv.kohd.[[#This Row],[Yhteensä 7c]]-Opv.kohd.[[#This Row],[Yhteensä 7d]]</f>
        <v>0</v>
      </c>
      <c r="BO71" s="207">
        <f>Opv.kohd.[[#This Row],[Muu kuin työvoima-koulutus 7e]]-(Opv.kohd.[[#This Row],[Järjestämisluvan mukaiset 4]]+Opv.kohd.[[#This Row],[Kohdentamat-tomat 4]]+Opv.kohd.[[#This Row],[Maahan-muuttajien koulutus 4]]+Opv.kohd.[[#This Row],[Nuorisotyöt. väh. ja osaamistarp. vast., muu kuin työvoima-koulutus 4]])</f>
        <v>0</v>
      </c>
      <c r="BP71" s="207">
        <f>Opv.kohd.[[#This Row],[Työvoima-koulutus 7e]]-(Opv.kohd.[[#This Row],[Työvoima-koulutus 4]]+Opv.kohd.[[#This Row],[Nuorisotyöt. väh. ja osaamistarp. vast., työvoima-koulutus 4]])</f>
        <v>0</v>
      </c>
      <c r="BQ71" s="207">
        <f>Opv.kohd.[[#This Row],[Yhteensä 7e]]-Opv.kohd.[[#This Row],[Ensikertaisella suoritepäätöksellä jaetut tavoitteelliset opiskelijavuodet yhteensä 4]]</f>
        <v>0</v>
      </c>
      <c r="BR71" s="263">
        <v>2256</v>
      </c>
      <c r="BS71" s="263">
        <v>108</v>
      </c>
      <c r="BT71" s="263">
        <v>57</v>
      </c>
      <c r="BU71" s="263">
        <v>20</v>
      </c>
      <c r="BV71" s="263">
        <v>0</v>
      </c>
      <c r="BW71" s="263">
        <v>0</v>
      </c>
      <c r="BX71" s="263">
        <v>185</v>
      </c>
      <c r="BY71" s="263">
        <v>2441</v>
      </c>
      <c r="BZ71" s="207">
        <f t="shared" si="2"/>
        <v>2256</v>
      </c>
      <c r="CA71" s="207">
        <f t="shared" si="3"/>
        <v>108</v>
      </c>
      <c r="CB71" s="207">
        <f t="shared" si="4"/>
        <v>57</v>
      </c>
      <c r="CC71" s="207">
        <f t="shared" si="5"/>
        <v>20</v>
      </c>
      <c r="CD71" s="207">
        <f t="shared" si="6"/>
        <v>0</v>
      </c>
      <c r="CE71" s="207">
        <f t="shared" si="7"/>
        <v>0</v>
      </c>
      <c r="CF71" s="207">
        <f t="shared" si="8"/>
        <v>185</v>
      </c>
      <c r="CG71" s="207">
        <f t="shared" si="9"/>
        <v>2441</v>
      </c>
      <c r="CH71" s="207">
        <f>Opv.kohd.[[#This Row],[Tavoitteelliset opiskelijavuodet yhteensä 9]]-Opv.kohd.[[#This Row],[Työvoima-koulutus 9]]-Opv.kohd.[[#This Row],[Nuorisotyöt. väh. ja osaamistarp. vast., työvoima-koulutus 9]]-Opv.kohd.[[#This Row],[Muu kuin työvoima-koulutus 7e]]</f>
        <v>2384</v>
      </c>
      <c r="CI71" s="207">
        <f>(Opv.kohd.[[#This Row],[Työvoima-koulutus 9]]+Opv.kohd.[[#This Row],[Nuorisotyöt. väh. ja osaamistarp. vast., työvoima-koulutus 9]])-Opv.kohd.[[#This Row],[Työvoima-koulutus 7e]]</f>
        <v>57</v>
      </c>
      <c r="CJ71" s="207">
        <f>Opv.kohd.[[#This Row],[Tavoitteelliset opiskelijavuodet yhteensä 9]]-Opv.kohd.[[#This Row],[Yhteensä 7e]]</f>
        <v>2441</v>
      </c>
      <c r="CK71" s="207">
        <f>Opv.kohd.[[#This Row],[Järjestämisluvan mukaiset 4]]+Opv.kohd.[[#This Row],[Järjestämisluvan mukaiset 13]]</f>
        <v>0</v>
      </c>
      <c r="CL71" s="207">
        <f>Opv.kohd.[[#This Row],[Kohdentamat-tomat 4]]+Opv.kohd.[[#This Row],[Kohdentamat-tomat 13]]</f>
        <v>0</v>
      </c>
      <c r="CM71" s="207">
        <f>Opv.kohd.[[#This Row],[Työvoima-koulutus 4]]+Opv.kohd.[[#This Row],[Työvoima-koulutus 13]]</f>
        <v>0</v>
      </c>
      <c r="CN71" s="207">
        <f>Opv.kohd.[[#This Row],[Maahan-muuttajien koulutus 4]]+Opv.kohd.[[#This Row],[Maahan-muuttajien koulutus 13]]</f>
        <v>0</v>
      </c>
      <c r="CO71" s="207">
        <f>Opv.kohd.[[#This Row],[Nuorisotyöt. väh. ja osaamistarp. vast., muu kuin työvoima-koulutus 4]]+Opv.kohd.[[#This Row],[Nuorisotyöt. väh. ja osaamistarp. vast., muu kuin työvoima-koulutus 13]]</f>
        <v>0</v>
      </c>
      <c r="CP71" s="207">
        <f>Opv.kohd.[[#This Row],[Nuorisotyöt. väh. ja osaamistarp. vast., työvoima-koulutus 4]]+Opv.kohd.[[#This Row],[Nuorisotyöt. väh. ja osaamistarp. vast., työvoima-koulutus 13]]</f>
        <v>0</v>
      </c>
      <c r="CQ71" s="207">
        <f>Opv.kohd.[[#This Row],[Yhteensä 4]]+Opv.kohd.[[#This Row],[Yhteensä 13]]</f>
        <v>0</v>
      </c>
      <c r="CR71" s="207">
        <f>Opv.kohd.[[#This Row],[Ensikertaisella suoritepäätöksellä jaetut tavoitteelliset opiskelijavuodet yhteensä 4]]+Opv.kohd.[[#This Row],[Tavoitteelliset opiskelijavuodet yhteensä 13]]</f>
        <v>0</v>
      </c>
      <c r="CS71" s="120">
        <v>0</v>
      </c>
      <c r="CT71" s="120">
        <v>0</v>
      </c>
      <c r="CU71" s="120">
        <v>0</v>
      </c>
      <c r="CV71" s="120">
        <v>0</v>
      </c>
      <c r="CW71" s="120">
        <v>0</v>
      </c>
      <c r="CX71" s="120">
        <v>0</v>
      </c>
      <c r="CY71" s="120">
        <v>0</v>
      </c>
      <c r="CZ71" s="120">
        <v>0</v>
      </c>
      <c r="DA71" s="209">
        <f>IFERROR(Opv.kohd.[[#This Row],[Järjestämisluvan mukaiset 13]]/Opv.kohd.[[#This Row],[Järjestämisluvan mukaiset 12]],0)</f>
        <v>0</v>
      </c>
      <c r="DB71" s="209">
        <f>IFERROR(Opv.kohd.[[#This Row],[Kohdentamat-tomat 13]]/Opv.kohd.[[#This Row],[Kohdentamat-tomat 12]],0)</f>
        <v>0</v>
      </c>
      <c r="DC71" s="209">
        <f>IFERROR(Opv.kohd.[[#This Row],[Työvoima-koulutus 13]]/Opv.kohd.[[#This Row],[Työvoima-koulutus 12]],0)</f>
        <v>0</v>
      </c>
      <c r="DD71" s="209">
        <f>IFERROR(Opv.kohd.[[#This Row],[Maahan-muuttajien koulutus 13]]/Opv.kohd.[[#This Row],[Maahan-muuttajien koulutus 12]],0)</f>
        <v>0</v>
      </c>
      <c r="DE71" s="209">
        <f>IFERROR(Opv.kohd.[[#This Row],[Nuorisotyöt. väh. ja osaamistarp. vast., muu kuin työvoima-koulutus 13]]/Opv.kohd.[[#This Row],[Nuorisotyöt. väh. ja osaamistarp. vast., muu kuin työvoima-koulutus 12]],0)</f>
        <v>0</v>
      </c>
      <c r="DF71" s="209">
        <f>IFERROR(Opv.kohd.[[#This Row],[Nuorisotyöt. väh. ja osaamistarp. vast., työvoima-koulutus 13]]/Opv.kohd.[[#This Row],[Nuorisotyöt. väh. ja osaamistarp. vast., työvoima-koulutus 12]],0)</f>
        <v>0</v>
      </c>
      <c r="DG71" s="209">
        <f>IFERROR(Opv.kohd.[[#This Row],[Yhteensä 13]]/Opv.kohd.[[#This Row],[Yhteensä 12]],0)</f>
        <v>0</v>
      </c>
      <c r="DH71" s="209">
        <f>IFERROR(Opv.kohd.[[#This Row],[Tavoitteelliset opiskelijavuodet yhteensä 13]]/Opv.kohd.[[#This Row],[Tavoitteelliset opiskelijavuodet yhteensä 12]],0)</f>
        <v>0</v>
      </c>
      <c r="DI71" s="207">
        <f>Opv.kohd.[[#This Row],[Järjestämisluvan mukaiset 12]]-Opv.kohd.[[#This Row],[Järjestämisluvan mukaiset 9]]</f>
        <v>-2256</v>
      </c>
      <c r="DJ71" s="207">
        <f>Opv.kohd.[[#This Row],[Kohdentamat-tomat 12]]-Opv.kohd.[[#This Row],[Kohdentamat-tomat 9]]</f>
        <v>-108</v>
      </c>
      <c r="DK71" s="207">
        <f>Opv.kohd.[[#This Row],[Työvoima-koulutus 12]]-Opv.kohd.[[#This Row],[Työvoima-koulutus 9]]</f>
        <v>-57</v>
      </c>
      <c r="DL71" s="207">
        <f>Opv.kohd.[[#This Row],[Maahan-muuttajien koulutus 12]]-Opv.kohd.[[#This Row],[Maahan-muuttajien koulutus 9]]</f>
        <v>-20</v>
      </c>
      <c r="DM71" s="207">
        <f>Opv.kohd.[[#This Row],[Nuorisotyöt. väh. ja osaamistarp. vast., muu kuin työvoima-koulutus 12]]-Opv.kohd.[[#This Row],[Nuorisotyöt. väh. ja osaamistarp. vast., muu kuin työvoima-koulutus 9]]</f>
        <v>0</v>
      </c>
      <c r="DN71" s="207">
        <f>Opv.kohd.[[#This Row],[Nuorisotyöt. väh. ja osaamistarp. vast., työvoima-koulutus 12]]-Opv.kohd.[[#This Row],[Nuorisotyöt. väh. ja osaamistarp. vast., työvoima-koulutus 9]]</f>
        <v>0</v>
      </c>
      <c r="DO71" s="207">
        <f>Opv.kohd.[[#This Row],[Yhteensä 12]]-Opv.kohd.[[#This Row],[Yhteensä 9]]</f>
        <v>-185</v>
      </c>
      <c r="DP71" s="207">
        <f>Opv.kohd.[[#This Row],[Tavoitteelliset opiskelijavuodet yhteensä 12]]-Opv.kohd.[[#This Row],[Tavoitteelliset opiskelijavuodet yhteensä 9]]</f>
        <v>-2441</v>
      </c>
      <c r="DQ71" s="209">
        <f>IFERROR(Opv.kohd.[[#This Row],[Järjestämisluvan mukaiset 15]]/Opv.kohd.[[#This Row],[Järjestämisluvan mukaiset 9]],0)</f>
        <v>-1</v>
      </c>
      <c r="DR71" s="209">
        <f t="shared" si="10"/>
        <v>0</v>
      </c>
      <c r="DS71" s="209">
        <f t="shared" si="11"/>
        <v>0</v>
      </c>
      <c r="DT71" s="209">
        <f t="shared" si="12"/>
        <v>0</v>
      </c>
      <c r="DU71" s="209">
        <f t="shared" si="13"/>
        <v>0</v>
      </c>
      <c r="DV71" s="209">
        <f t="shared" si="14"/>
        <v>0</v>
      </c>
      <c r="DW71" s="209">
        <f t="shared" si="15"/>
        <v>0</v>
      </c>
      <c r="DX71" s="209">
        <f t="shared" si="16"/>
        <v>0</v>
      </c>
    </row>
    <row r="72" spans="1:128" x14ac:dyDescent="0.25">
      <c r="A72" s="204" t="e">
        <f>IF(INDEX(#REF!,ROW(72:72)-1,1)=0,"",INDEX(#REF!,ROW(72:72)-1,1))</f>
        <v>#REF!</v>
      </c>
      <c r="B72" s="205" t="str">
        <f>IFERROR(VLOOKUP(Opv.kohd.[[#This Row],[Y-tunnus]],'0 Järjestäjätiedot'!$A:$H,2,FALSE),"")</f>
        <v/>
      </c>
      <c r="C72" s="204" t="str">
        <f>IFERROR(VLOOKUP(Opv.kohd.[[#This Row],[Y-tunnus]],'0 Järjestäjätiedot'!$A:$H,COLUMN('0 Järjestäjätiedot'!D:D),FALSE),"")</f>
        <v/>
      </c>
      <c r="D72" s="204" t="str">
        <f>IFERROR(VLOOKUP(Opv.kohd.[[#This Row],[Y-tunnus]],'0 Järjestäjätiedot'!$A:$H,COLUMN('0 Järjestäjätiedot'!H:H),FALSE),"")</f>
        <v/>
      </c>
      <c r="E72" s="204">
        <f>IFERROR(VLOOKUP(Opv.kohd.[[#This Row],[Y-tunnus]],#REF!,COLUMN(#REF!),FALSE),0)</f>
        <v>0</v>
      </c>
      <c r="F72" s="204">
        <f>IFERROR(VLOOKUP(Opv.kohd.[[#This Row],[Y-tunnus]],#REF!,COLUMN(#REF!),FALSE),0)</f>
        <v>0</v>
      </c>
      <c r="G72" s="204">
        <f>IFERROR(VLOOKUP(Opv.kohd.[[#This Row],[Y-tunnus]],#REF!,COLUMN(#REF!),FALSE),0)</f>
        <v>0</v>
      </c>
      <c r="H72" s="204">
        <f>IFERROR(VLOOKUP(Opv.kohd.[[#This Row],[Y-tunnus]],#REF!,COLUMN(#REF!),FALSE),0)</f>
        <v>0</v>
      </c>
      <c r="I72" s="204">
        <f>IFERROR(VLOOKUP(Opv.kohd.[[#This Row],[Y-tunnus]],#REF!,COLUMN(#REF!),FALSE),0)</f>
        <v>0</v>
      </c>
      <c r="J72" s="204">
        <f>IFERROR(VLOOKUP(Opv.kohd.[[#This Row],[Y-tunnus]],#REF!,COLUMN(#REF!),FALSE),0)</f>
        <v>0</v>
      </c>
      <c r="K7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72" s="204">
        <f>Opv.kohd.[[#This Row],[Järjestämisluvan mukaiset 1]]+Opv.kohd.[[#This Row],[Yhteensä  1]]</f>
        <v>0</v>
      </c>
      <c r="M72" s="204">
        <f>IFERROR(VLOOKUP(Opv.kohd.[[#This Row],[Y-tunnus]],#REF!,COLUMN(#REF!),FALSE),0)</f>
        <v>0</v>
      </c>
      <c r="N72" s="204">
        <f>IFERROR(VLOOKUP(Opv.kohd.[[#This Row],[Y-tunnus]],#REF!,COLUMN(#REF!),FALSE),0)</f>
        <v>0</v>
      </c>
      <c r="O72" s="204">
        <f>IFERROR(VLOOKUP(Opv.kohd.[[#This Row],[Y-tunnus]],#REF!,COLUMN(#REF!),FALSE)+VLOOKUP(Opv.kohd.[[#This Row],[Y-tunnus]],#REF!,COLUMN(#REF!),FALSE),0)</f>
        <v>0</v>
      </c>
      <c r="P72" s="204">
        <f>Opv.kohd.[[#This Row],[Talousarvion perusteella kohdentamattomat]]+Opv.kohd.[[#This Row],[Talousarvion perusteella työvoimakoulutus 1]]+Opv.kohd.[[#This Row],[Lisätalousarvioiden perusteella]]</f>
        <v>0</v>
      </c>
      <c r="Q72" s="204">
        <f>IFERROR(VLOOKUP(Opv.kohd.[[#This Row],[Y-tunnus]],#REF!,COLUMN(#REF!),FALSE),0)</f>
        <v>0</v>
      </c>
      <c r="R72" s="210">
        <f>IFERROR(VLOOKUP(Opv.kohd.[[#This Row],[Y-tunnus]],#REF!,COLUMN(#REF!),FALSE)-(Opv.kohd.[[#This Row],[Kohdentamaton työvoima-koulutus 2]]+Opv.kohd.[[#This Row],[Maahan-muuttajien koulutus 2]]+Opv.kohd.[[#This Row],[Lisätalousarvioiden perusteella jaetut 2]]),0)</f>
        <v>0</v>
      </c>
      <c r="S72" s="210">
        <f>IFERROR(VLOOKUP(Opv.kohd.[[#This Row],[Y-tunnus]],#REF!,COLUMN(#REF!),FALSE)+VLOOKUP(Opv.kohd.[[#This Row],[Y-tunnus]],#REF!,COLUMN(#REF!),FALSE),0)</f>
        <v>0</v>
      </c>
      <c r="T72" s="210">
        <f>IFERROR(VLOOKUP(Opv.kohd.[[#This Row],[Y-tunnus]],#REF!,COLUMN(#REF!),FALSE)+VLOOKUP(Opv.kohd.[[#This Row],[Y-tunnus]],#REF!,COLUMN(#REF!),FALSE),0)</f>
        <v>0</v>
      </c>
      <c r="U7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72" s="210">
        <f>Opv.kohd.[[#This Row],[Kohdentamat-tomat 2]]+Opv.kohd.[[#This Row],[Kohdentamaton työvoima-koulutus 2]]+Opv.kohd.[[#This Row],[Maahan-muuttajien koulutus 2]]+Opv.kohd.[[#This Row],[Lisätalousarvioiden perusteella jaetut 2]]</f>
        <v>0</v>
      </c>
      <c r="W72" s="210">
        <f>Opv.kohd.[[#This Row],[Kohdentamat-tomat 2]]-(Opv.kohd.[[#This Row],[Järjestämisluvan mukaiset 1]]+Opv.kohd.[[#This Row],[Kohdentamat-tomat 1]]+Opv.kohd.[[#This Row],[Nuorisotyöt. väh. ja osaamistarp. vast., muu kuin työvoima-koulutus 1]]+Opv.kohd.[[#This Row],[Talousarvion perusteella kohdentamattomat]])</f>
        <v>0</v>
      </c>
      <c r="X72" s="210">
        <f>Opv.kohd.[[#This Row],[Kohdentamaton työvoima-koulutus 2]]-(Opv.kohd.[[#This Row],[Työvoima-koulutus 1]]+Opv.kohd.[[#This Row],[Nuorisotyöt. väh. ja osaamistarp. vast., työvoima-koulutus 1]]+Opv.kohd.[[#This Row],[Talousarvion perusteella työvoimakoulutus 1]])</f>
        <v>0</v>
      </c>
      <c r="Y72" s="210">
        <f>Opv.kohd.[[#This Row],[Maahan-muuttajien koulutus 2]]-Opv.kohd.[[#This Row],[Maahan-muuttajien koulutus 1]]</f>
        <v>0</v>
      </c>
      <c r="Z72" s="210">
        <f>Opv.kohd.[[#This Row],[Lisätalousarvioiden perusteella jaetut 2]]-Opv.kohd.[[#This Row],[Lisätalousarvioiden perusteella]]</f>
        <v>0</v>
      </c>
      <c r="AA72" s="210">
        <f>Opv.kohd.[[#This Row],[Toteutuneet opiskelijavuodet yhteensä 2]]-Opv.kohd.[[#This Row],[Vuoden 2018 tavoitteelliset opiskelijavuodet yhteensä 1]]</f>
        <v>0</v>
      </c>
      <c r="AB72" s="207">
        <f>IFERROR(VLOOKUP(Opv.kohd.[[#This Row],[Y-tunnus]],#REF!,3,FALSE),0)</f>
        <v>0</v>
      </c>
      <c r="AC72" s="207">
        <f>IFERROR(VLOOKUP(Opv.kohd.[[#This Row],[Y-tunnus]],#REF!,4,FALSE),0)</f>
        <v>0</v>
      </c>
      <c r="AD72" s="207">
        <f>IFERROR(VLOOKUP(Opv.kohd.[[#This Row],[Y-tunnus]],#REF!,5,FALSE),0)</f>
        <v>0</v>
      </c>
      <c r="AE72" s="207">
        <f>IFERROR(VLOOKUP(Opv.kohd.[[#This Row],[Y-tunnus]],#REF!,6,FALSE),0)</f>
        <v>0</v>
      </c>
      <c r="AF72" s="207">
        <f>IFERROR(VLOOKUP(Opv.kohd.[[#This Row],[Y-tunnus]],#REF!,7,FALSE),0)</f>
        <v>0</v>
      </c>
      <c r="AG72" s="207">
        <f>IFERROR(VLOOKUP(Opv.kohd.[[#This Row],[Y-tunnus]],#REF!,8,FALSE),0)</f>
        <v>0</v>
      </c>
      <c r="AH72" s="207">
        <f>IFERROR(VLOOKUP(Opv.kohd.[[#This Row],[Y-tunnus]],#REF!,9,FALSE),0)</f>
        <v>0</v>
      </c>
      <c r="AI72" s="207">
        <f>IFERROR(VLOOKUP(Opv.kohd.[[#This Row],[Y-tunnus]],#REF!,10,FALSE),0)</f>
        <v>0</v>
      </c>
      <c r="AJ72" s="204">
        <f>Opv.kohd.[[#This Row],[Järjestämisluvan mukaiset 4]]-Opv.kohd.[[#This Row],[Järjestämisluvan mukaiset 1]]</f>
        <v>0</v>
      </c>
      <c r="AK72" s="204">
        <f>Opv.kohd.[[#This Row],[Kohdentamat-tomat 4]]-Opv.kohd.[[#This Row],[Kohdentamat-tomat 1]]</f>
        <v>0</v>
      </c>
      <c r="AL72" s="204">
        <f>Opv.kohd.[[#This Row],[Työvoima-koulutus 4]]-Opv.kohd.[[#This Row],[Työvoima-koulutus 1]]</f>
        <v>0</v>
      </c>
      <c r="AM72" s="204">
        <f>Opv.kohd.[[#This Row],[Maahan-muuttajien koulutus 4]]-Opv.kohd.[[#This Row],[Maahan-muuttajien koulutus 1]]</f>
        <v>0</v>
      </c>
      <c r="AN72" s="204">
        <f>Opv.kohd.[[#This Row],[Nuorisotyöt. väh. ja osaamistarp. vast., muu kuin työvoima-koulutus 4]]-Opv.kohd.[[#This Row],[Nuorisotyöt. väh. ja osaamistarp. vast., muu kuin työvoima-koulutus 1]]</f>
        <v>0</v>
      </c>
      <c r="AO72" s="204">
        <f>Opv.kohd.[[#This Row],[Nuorisotyöt. väh. ja osaamistarp. vast., työvoima-koulutus 4]]-Opv.kohd.[[#This Row],[Nuorisotyöt. väh. ja osaamistarp. vast., työvoima-koulutus 1]]</f>
        <v>0</v>
      </c>
      <c r="AP72" s="204">
        <f>Opv.kohd.[[#This Row],[Yhteensä 4]]-Opv.kohd.[[#This Row],[Yhteensä  1]]</f>
        <v>0</v>
      </c>
      <c r="AQ72" s="204">
        <f>Opv.kohd.[[#This Row],[Ensikertaisella suoritepäätöksellä jaetut tavoitteelliset opiskelijavuodet yhteensä 4]]-Opv.kohd.[[#This Row],[Ensikertaisella suoritepäätöksellä jaetut tavoitteelliset opiskelijavuodet yhteensä 1]]</f>
        <v>0</v>
      </c>
      <c r="AR72" s="208">
        <f>IFERROR(Opv.kohd.[[#This Row],[Järjestämisluvan mukaiset 5]]/Opv.kohd.[[#This Row],[Järjestämisluvan mukaiset 4]],0)</f>
        <v>0</v>
      </c>
      <c r="AS72" s="208">
        <f>IFERROR(Opv.kohd.[[#This Row],[Kohdentamat-tomat 5]]/Opv.kohd.[[#This Row],[Kohdentamat-tomat 4]],0)</f>
        <v>0</v>
      </c>
      <c r="AT72" s="208">
        <f>IFERROR(Opv.kohd.[[#This Row],[Työvoima-koulutus 5]]/Opv.kohd.[[#This Row],[Työvoima-koulutus 4]],0)</f>
        <v>0</v>
      </c>
      <c r="AU72" s="208">
        <f>IFERROR(Opv.kohd.[[#This Row],[Maahan-muuttajien koulutus 5]]/Opv.kohd.[[#This Row],[Maahan-muuttajien koulutus 4]],0)</f>
        <v>0</v>
      </c>
      <c r="AV72" s="208">
        <f>IFERROR(Opv.kohd.[[#This Row],[Nuorisotyöt. väh. ja osaamistarp. vast., muu kuin työvoima-koulutus 5]]/Opv.kohd.[[#This Row],[Nuorisotyöt. väh. ja osaamistarp. vast., muu kuin työvoima-koulutus 4]],0)</f>
        <v>0</v>
      </c>
      <c r="AW72" s="208">
        <f>IFERROR(Opv.kohd.[[#This Row],[Nuorisotyöt. väh. ja osaamistarp. vast., työvoima-koulutus 5]]/Opv.kohd.[[#This Row],[Nuorisotyöt. väh. ja osaamistarp. vast., työvoima-koulutus 4]],0)</f>
        <v>0</v>
      </c>
      <c r="AX72" s="208">
        <f>IFERROR(Opv.kohd.[[#This Row],[Yhteensä 5]]/Opv.kohd.[[#This Row],[Yhteensä 4]],0)</f>
        <v>0</v>
      </c>
      <c r="AY72" s="208">
        <f>IFERROR(Opv.kohd.[[#This Row],[Ensikertaisella suoritepäätöksellä jaetut tavoitteelliset opiskelijavuodet yhteensä 5]]/Opv.kohd.[[#This Row],[Ensikertaisella suoritepäätöksellä jaetut tavoitteelliset opiskelijavuodet yhteensä 4]],0)</f>
        <v>0</v>
      </c>
      <c r="AZ72" s="207">
        <f>Opv.kohd.[[#This Row],[Yhteensä 7a]]-Opv.kohd.[[#This Row],[Työvoima-koulutus 7a]]</f>
        <v>0</v>
      </c>
      <c r="BA72" s="207">
        <f>IFERROR(VLOOKUP(Opv.kohd.[[#This Row],[Y-tunnus]],#REF!,COLUMN(#REF!),FALSE),0)</f>
        <v>0</v>
      </c>
      <c r="BB72" s="207">
        <f>IFERROR(VLOOKUP(Opv.kohd.[[#This Row],[Y-tunnus]],#REF!,COLUMN(#REF!),FALSE),0)</f>
        <v>0</v>
      </c>
      <c r="BC72" s="207">
        <f>Opv.kohd.[[#This Row],[Muu kuin työvoima-koulutus 7c]]-Opv.kohd.[[#This Row],[Muu kuin työvoima-koulutus 7a]]</f>
        <v>0</v>
      </c>
      <c r="BD72" s="207">
        <f>Opv.kohd.[[#This Row],[Työvoima-koulutus 7c]]-Opv.kohd.[[#This Row],[Työvoima-koulutus 7a]]</f>
        <v>0</v>
      </c>
      <c r="BE72" s="207">
        <f>Opv.kohd.[[#This Row],[Yhteensä 7c]]-Opv.kohd.[[#This Row],[Yhteensä 7a]]</f>
        <v>0</v>
      </c>
      <c r="BF72" s="207">
        <f>Opv.kohd.[[#This Row],[Yhteensä 7c]]-Opv.kohd.[[#This Row],[Työvoima-koulutus 7c]]</f>
        <v>0</v>
      </c>
      <c r="BG72" s="207">
        <f>IFERROR(VLOOKUP(Opv.kohd.[[#This Row],[Y-tunnus]],#REF!,COLUMN(#REF!),FALSE),0)</f>
        <v>0</v>
      </c>
      <c r="BH72" s="207">
        <f>IFERROR(VLOOKUP(Opv.kohd.[[#This Row],[Y-tunnus]],#REF!,COLUMN(#REF!),FALSE),0)</f>
        <v>0</v>
      </c>
      <c r="BI72" s="207">
        <f>IFERROR(VLOOKUP(Opv.kohd.[[#This Row],[Y-tunnus]],#REF!,COLUMN(#REF!),FALSE),0)</f>
        <v>0</v>
      </c>
      <c r="BJ72" s="207">
        <f>IFERROR(VLOOKUP(Opv.kohd.[[#This Row],[Y-tunnus]],#REF!,COLUMN(#REF!),FALSE),0)</f>
        <v>0</v>
      </c>
      <c r="BK72" s="207">
        <f>Opv.kohd.[[#This Row],[Muu kuin työvoima-koulutus 7d]]+Opv.kohd.[[#This Row],[Työvoima-koulutus 7d]]</f>
        <v>0</v>
      </c>
      <c r="BL72" s="207">
        <f>Opv.kohd.[[#This Row],[Muu kuin työvoima-koulutus 7c]]-Opv.kohd.[[#This Row],[Muu kuin työvoima-koulutus 7d]]</f>
        <v>0</v>
      </c>
      <c r="BM72" s="207">
        <f>Opv.kohd.[[#This Row],[Työvoima-koulutus 7c]]-Opv.kohd.[[#This Row],[Työvoima-koulutus 7d]]</f>
        <v>0</v>
      </c>
      <c r="BN72" s="207">
        <f>Opv.kohd.[[#This Row],[Yhteensä 7c]]-Opv.kohd.[[#This Row],[Yhteensä 7d]]</f>
        <v>0</v>
      </c>
      <c r="BO72" s="207">
        <f>Opv.kohd.[[#This Row],[Muu kuin työvoima-koulutus 7e]]-(Opv.kohd.[[#This Row],[Järjestämisluvan mukaiset 4]]+Opv.kohd.[[#This Row],[Kohdentamat-tomat 4]]+Opv.kohd.[[#This Row],[Maahan-muuttajien koulutus 4]]+Opv.kohd.[[#This Row],[Nuorisotyöt. väh. ja osaamistarp. vast., muu kuin työvoima-koulutus 4]])</f>
        <v>0</v>
      </c>
      <c r="BP72" s="207">
        <f>Opv.kohd.[[#This Row],[Työvoima-koulutus 7e]]-(Opv.kohd.[[#This Row],[Työvoima-koulutus 4]]+Opv.kohd.[[#This Row],[Nuorisotyöt. väh. ja osaamistarp. vast., työvoima-koulutus 4]])</f>
        <v>0</v>
      </c>
      <c r="BQ72" s="207">
        <f>Opv.kohd.[[#This Row],[Yhteensä 7e]]-Opv.kohd.[[#This Row],[Ensikertaisella suoritepäätöksellä jaetut tavoitteelliset opiskelijavuodet yhteensä 4]]</f>
        <v>0</v>
      </c>
      <c r="BR72" s="263">
        <v>82</v>
      </c>
      <c r="BS72" s="263">
        <v>6</v>
      </c>
      <c r="BT72" s="263">
        <v>25</v>
      </c>
      <c r="BU72" s="263">
        <v>4</v>
      </c>
      <c r="BV72" s="263">
        <v>0</v>
      </c>
      <c r="BW72" s="263">
        <v>0</v>
      </c>
      <c r="BX72" s="263">
        <v>35</v>
      </c>
      <c r="BY72" s="263">
        <v>117</v>
      </c>
      <c r="BZ72" s="207">
        <f t="shared" ref="BZ72:BZ135" si="17">BR72-AB72</f>
        <v>82</v>
      </c>
      <c r="CA72" s="207">
        <f t="shared" ref="CA72:CA135" si="18">BS72-AC72</f>
        <v>6</v>
      </c>
      <c r="CB72" s="207">
        <f t="shared" ref="CB72:CB135" si="19">BT72-AD72</f>
        <v>25</v>
      </c>
      <c r="CC72" s="207">
        <f t="shared" ref="CC72:CC135" si="20">BU72-AE72</f>
        <v>4</v>
      </c>
      <c r="CD72" s="207">
        <f t="shared" ref="CD72:CD135" si="21">BV72-AF72</f>
        <v>0</v>
      </c>
      <c r="CE72" s="207">
        <f t="shared" ref="CE72:CE135" si="22">BW72-AG72</f>
        <v>0</v>
      </c>
      <c r="CF72" s="207">
        <f t="shared" ref="CF72:CF135" si="23">BX72-AH72</f>
        <v>35</v>
      </c>
      <c r="CG72" s="207">
        <f t="shared" ref="CG72:CG135" si="24">BY72-AI72</f>
        <v>117</v>
      </c>
      <c r="CH72" s="207">
        <f>Opv.kohd.[[#This Row],[Tavoitteelliset opiskelijavuodet yhteensä 9]]-Opv.kohd.[[#This Row],[Työvoima-koulutus 9]]-Opv.kohd.[[#This Row],[Nuorisotyöt. väh. ja osaamistarp. vast., työvoima-koulutus 9]]-Opv.kohd.[[#This Row],[Muu kuin työvoima-koulutus 7e]]</f>
        <v>92</v>
      </c>
      <c r="CI72" s="207">
        <f>(Opv.kohd.[[#This Row],[Työvoima-koulutus 9]]+Opv.kohd.[[#This Row],[Nuorisotyöt. väh. ja osaamistarp. vast., työvoima-koulutus 9]])-Opv.kohd.[[#This Row],[Työvoima-koulutus 7e]]</f>
        <v>25</v>
      </c>
      <c r="CJ72" s="207">
        <f>Opv.kohd.[[#This Row],[Tavoitteelliset opiskelijavuodet yhteensä 9]]-Opv.kohd.[[#This Row],[Yhteensä 7e]]</f>
        <v>117</v>
      </c>
      <c r="CK72" s="207">
        <f>Opv.kohd.[[#This Row],[Järjestämisluvan mukaiset 4]]+Opv.kohd.[[#This Row],[Järjestämisluvan mukaiset 13]]</f>
        <v>0</v>
      </c>
      <c r="CL72" s="207">
        <f>Opv.kohd.[[#This Row],[Kohdentamat-tomat 4]]+Opv.kohd.[[#This Row],[Kohdentamat-tomat 13]]</f>
        <v>0</v>
      </c>
      <c r="CM72" s="207">
        <f>Opv.kohd.[[#This Row],[Työvoima-koulutus 4]]+Opv.kohd.[[#This Row],[Työvoima-koulutus 13]]</f>
        <v>0</v>
      </c>
      <c r="CN72" s="207">
        <f>Opv.kohd.[[#This Row],[Maahan-muuttajien koulutus 4]]+Opv.kohd.[[#This Row],[Maahan-muuttajien koulutus 13]]</f>
        <v>0</v>
      </c>
      <c r="CO72" s="207">
        <f>Opv.kohd.[[#This Row],[Nuorisotyöt. väh. ja osaamistarp. vast., muu kuin työvoima-koulutus 4]]+Opv.kohd.[[#This Row],[Nuorisotyöt. väh. ja osaamistarp. vast., muu kuin työvoima-koulutus 13]]</f>
        <v>0</v>
      </c>
      <c r="CP72" s="207">
        <f>Opv.kohd.[[#This Row],[Nuorisotyöt. väh. ja osaamistarp. vast., työvoima-koulutus 4]]+Opv.kohd.[[#This Row],[Nuorisotyöt. väh. ja osaamistarp. vast., työvoima-koulutus 13]]</f>
        <v>0</v>
      </c>
      <c r="CQ72" s="207">
        <f>Opv.kohd.[[#This Row],[Yhteensä 4]]+Opv.kohd.[[#This Row],[Yhteensä 13]]</f>
        <v>0</v>
      </c>
      <c r="CR72" s="207">
        <f>Opv.kohd.[[#This Row],[Ensikertaisella suoritepäätöksellä jaetut tavoitteelliset opiskelijavuodet yhteensä 4]]+Opv.kohd.[[#This Row],[Tavoitteelliset opiskelijavuodet yhteensä 13]]</f>
        <v>0</v>
      </c>
      <c r="CS72" s="120">
        <v>0</v>
      </c>
      <c r="CT72" s="120">
        <v>0</v>
      </c>
      <c r="CU72" s="120">
        <v>0</v>
      </c>
      <c r="CV72" s="120">
        <v>0</v>
      </c>
      <c r="CW72" s="120">
        <v>0</v>
      </c>
      <c r="CX72" s="120">
        <v>0</v>
      </c>
      <c r="CY72" s="120">
        <v>0</v>
      </c>
      <c r="CZ72" s="120">
        <v>0</v>
      </c>
      <c r="DA72" s="209">
        <f>IFERROR(Opv.kohd.[[#This Row],[Järjestämisluvan mukaiset 13]]/Opv.kohd.[[#This Row],[Järjestämisluvan mukaiset 12]],0)</f>
        <v>0</v>
      </c>
      <c r="DB72" s="209">
        <f>IFERROR(Opv.kohd.[[#This Row],[Kohdentamat-tomat 13]]/Opv.kohd.[[#This Row],[Kohdentamat-tomat 12]],0)</f>
        <v>0</v>
      </c>
      <c r="DC72" s="209">
        <f>IFERROR(Opv.kohd.[[#This Row],[Työvoima-koulutus 13]]/Opv.kohd.[[#This Row],[Työvoima-koulutus 12]],0)</f>
        <v>0</v>
      </c>
      <c r="DD72" s="209">
        <f>IFERROR(Opv.kohd.[[#This Row],[Maahan-muuttajien koulutus 13]]/Opv.kohd.[[#This Row],[Maahan-muuttajien koulutus 12]],0)</f>
        <v>0</v>
      </c>
      <c r="DE72" s="209">
        <f>IFERROR(Opv.kohd.[[#This Row],[Nuorisotyöt. väh. ja osaamistarp. vast., muu kuin työvoima-koulutus 13]]/Opv.kohd.[[#This Row],[Nuorisotyöt. väh. ja osaamistarp. vast., muu kuin työvoima-koulutus 12]],0)</f>
        <v>0</v>
      </c>
      <c r="DF72" s="209">
        <f>IFERROR(Opv.kohd.[[#This Row],[Nuorisotyöt. väh. ja osaamistarp. vast., työvoima-koulutus 13]]/Opv.kohd.[[#This Row],[Nuorisotyöt. väh. ja osaamistarp. vast., työvoima-koulutus 12]],0)</f>
        <v>0</v>
      </c>
      <c r="DG72" s="209">
        <f>IFERROR(Opv.kohd.[[#This Row],[Yhteensä 13]]/Opv.kohd.[[#This Row],[Yhteensä 12]],0)</f>
        <v>0</v>
      </c>
      <c r="DH72" s="209">
        <f>IFERROR(Opv.kohd.[[#This Row],[Tavoitteelliset opiskelijavuodet yhteensä 13]]/Opv.kohd.[[#This Row],[Tavoitteelliset opiskelijavuodet yhteensä 12]],0)</f>
        <v>0</v>
      </c>
      <c r="DI72" s="207">
        <f>Opv.kohd.[[#This Row],[Järjestämisluvan mukaiset 12]]-Opv.kohd.[[#This Row],[Järjestämisluvan mukaiset 9]]</f>
        <v>-82</v>
      </c>
      <c r="DJ72" s="207">
        <f>Opv.kohd.[[#This Row],[Kohdentamat-tomat 12]]-Opv.kohd.[[#This Row],[Kohdentamat-tomat 9]]</f>
        <v>-6</v>
      </c>
      <c r="DK72" s="207">
        <f>Opv.kohd.[[#This Row],[Työvoima-koulutus 12]]-Opv.kohd.[[#This Row],[Työvoima-koulutus 9]]</f>
        <v>-25</v>
      </c>
      <c r="DL72" s="207">
        <f>Opv.kohd.[[#This Row],[Maahan-muuttajien koulutus 12]]-Opv.kohd.[[#This Row],[Maahan-muuttajien koulutus 9]]</f>
        <v>-4</v>
      </c>
      <c r="DM72" s="207">
        <f>Opv.kohd.[[#This Row],[Nuorisotyöt. väh. ja osaamistarp. vast., muu kuin työvoima-koulutus 12]]-Opv.kohd.[[#This Row],[Nuorisotyöt. väh. ja osaamistarp. vast., muu kuin työvoima-koulutus 9]]</f>
        <v>0</v>
      </c>
      <c r="DN72" s="207">
        <f>Opv.kohd.[[#This Row],[Nuorisotyöt. väh. ja osaamistarp. vast., työvoima-koulutus 12]]-Opv.kohd.[[#This Row],[Nuorisotyöt. väh. ja osaamistarp. vast., työvoima-koulutus 9]]</f>
        <v>0</v>
      </c>
      <c r="DO72" s="207">
        <f>Opv.kohd.[[#This Row],[Yhteensä 12]]-Opv.kohd.[[#This Row],[Yhteensä 9]]</f>
        <v>-35</v>
      </c>
      <c r="DP72" s="207">
        <f>Opv.kohd.[[#This Row],[Tavoitteelliset opiskelijavuodet yhteensä 12]]-Opv.kohd.[[#This Row],[Tavoitteelliset opiskelijavuodet yhteensä 9]]</f>
        <v>-117</v>
      </c>
      <c r="DQ72" s="209">
        <f>IFERROR(Opv.kohd.[[#This Row],[Järjestämisluvan mukaiset 15]]/Opv.kohd.[[#This Row],[Järjestämisluvan mukaiset 9]],0)</f>
        <v>-1</v>
      </c>
      <c r="DR72" s="209">
        <f t="shared" ref="DR72:DR135" si="25">IFERROR(DJ72/AC72,0)</f>
        <v>0</v>
      </c>
      <c r="DS72" s="209">
        <f t="shared" ref="DS72:DS135" si="26">IFERROR(DK72/AD72,0)</f>
        <v>0</v>
      </c>
      <c r="DT72" s="209">
        <f t="shared" ref="DT72:DT135" si="27">IFERROR(DL72/AE72,0)</f>
        <v>0</v>
      </c>
      <c r="DU72" s="209">
        <f t="shared" ref="DU72:DU135" si="28">IFERROR(DM72/AF72,0)</f>
        <v>0</v>
      </c>
      <c r="DV72" s="209">
        <f t="shared" ref="DV72:DV135" si="29">IFERROR(DN72/AG72,0)</f>
        <v>0</v>
      </c>
      <c r="DW72" s="209">
        <f t="shared" ref="DW72:DW135" si="30">IFERROR(DO72/AH72,0)</f>
        <v>0</v>
      </c>
      <c r="DX72" s="209">
        <f t="shared" ref="DX72:DX135" si="31">IFERROR(DP72/AI72,0)</f>
        <v>0</v>
      </c>
    </row>
    <row r="73" spans="1:128" x14ac:dyDescent="0.25">
      <c r="A73" s="204" t="e">
        <f>IF(INDEX(#REF!,ROW(73:73)-1,1)=0,"",INDEX(#REF!,ROW(73:73)-1,1))</f>
        <v>#REF!</v>
      </c>
      <c r="B73" s="205" t="str">
        <f>IFERROR(VLOOKUP(Opv.kohd.[[#This Row],[Y-tunnus]],'0 Järjestäjätiedot'!$A:$H,2,FALSE),"")</f>
        <v/>
      </c>
      <c r="C73" s="204" t="str">
        <f>IFERROR(VLOOKUP(Opv.kohd.[[#This Row],[Y-tunnus]],'0 Järjestäjätiedot'!$A:$H,COLUMN('0 Järjestäjätiedot'!D:D),FALSE),"")</f>
        <v/>
      </c>
      <c r="D73" s="204" t="str">
        <f>IFERROR(VLOOKUP(Opv.kohd.[[#This Row],[Y-tunnus]],'0 Järjestäjätiedot'!$A:$H,COLUMN('0 Järjestäjätiedot'!H:H),FALSE),"")</f>
        <v/>
      </c>
      <c r="E73" s="204">
        <f>IFERROR(VLOOKUP(Opv.kohd.[[#This Row],[Y-tunnus]],#REF!,COLUMN(#REF!),FALSE),0)</f>
        <v>0</v>
      </c>
      <c r="F73" s="204">
        <f>IFERROR(VLOOKUP(Opv.kohd.[[#This Row],[Y-tunnus]],#REF!,COLUMN(#REF!),FALSE),0)</f>
        <v>0</v>
      </c>
      <c r="G73" s="204">
        <f>IFERROR(VLOOKUP(Opv.kohd.[[#This Row],[Y-tunnus]],#REF!,COLUMN(#REF!),FALSE),0)</f>
        <v>0</v>
      </c>
      <c r="H73" s="204">
        <f>IFERROR(VLOOKUP(Opv.kohd.[[#This Row],[Y-tunnus]],#REF!,COLUMN(#REF!),FALSE),0)</f>
        <v>0</v>
      </c>
      <c r="I73" s="204">
        <f>IFERROR(VLOOKUP(Opv.kohd.[[#This Row],[Y-tunnus]],#REF!,COLUMN(#REF!),FALSE),0)</f>
        <v>0</v>
      </c>
      <c r="J73" s="204">
        <f>IFERROR(VLOOKUP(Opv.kohd.[[#This Row],[Y-tunnus]],#REF!,COLUMN(#REF!),FALSE),0)</f>
        <v>0</v>
      </c>
      <c r="K7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73" s="204">
        <f>Opv.kohd.[[#This Row],[Järjestämisluvan mukaiset 1]]+Opv.kohd.[[#This Row],[Yhteensä  1]]</f>
        <v>0</v>
      </c>
      <c r="M73" s="204">
        <f>IFERROR(VLOOKUP(Opv.kohd.[[#This Row],[Y-tunnus]],#REF!,COLUMN(#REF!),FALSE),0)</f>
        <v>0</v>
      </c>
      <c r="N73" s="204">
        <f>IFERROR(VLOOKUP(Opv.kohd.[[#This Row],[Y-tunnus]],#REF!,COLUMN(#REF!),FALSE),0)</f>
        <v>0</v>
      </c>
      <c r="O73" s="204">
        <f>IFERROR(VLOOKUP(Opv.kohd.[[#This Row],[Y-tunnus]],#REF!,COLUMN(#REF!),FALSE)+VLOOKUP(Opv.kohd.[[#This Row],[Y-tunnus]],#REF!,COLUMN(#REF!),FALSE),0)</f>
        <v>0</v>
      </c>
      <c r="P73" s="204">
        <f>Opv.kohd.[[#This Row],[Talousarvion perusteella kohdentamattomat]]+Opv.kohd.[[#This Row],[Talousarvion perusteella työvoimakoulutus 1]]+Opv.kohd.[[#This Row],[Lisätalousarvioiden perusteella]]</f>
        <v>0</v>
      </c>
      <c r="Q73" s="204">
        <f>IFERROR(VLOOKUP(Opv.kohd.[[#This Row],[Y-tunnus]],#REF!,COLUMN(#REF!),FALSE),0)</f>
        <v>0</v>
      </c>
      <c r="R73" s="210">
        <f>IFERROR(VLOOKUP(Opv.kohd.[[#This Row],[Y-tunnus]],#REF!,COLUMN(#REF!),FALSE)-(Opv.kohd.[[#This Row],[Kohdentamaton työvoima-koulutus 2]]+Opv.kohd.[[#This Row],[Maahan-muuttajien koulutus 2]]+Opv.kohd.[[#This Row],[Lisätalousarvioiden perusteella jaetut 2]]),0)</f>
        <v>0</v>
      </c>
      <c r="S73" s="210">
        <f>IFERROR(VLOOKUP(Opv.kohd.[[#This Row],[Y-tunnus]],#REF!,COLUMN(#REF!),FALSE)+VLOOKUP(Opv.kohd.[[#This Row],[Y-tunnus]],#REF!,COLUMN(#REF!),FALSE),0)</f>
        <v>0</v>
      </c>
      <c r="T73" s="210">
        <f>IFERROR(VLOOKUP(Opv.kohd.[[#This Row],[Y-tunnus]],#REF!,COLUMN(#REF!),FALSE)+VLOOKUP(Opv.kohd.[[#This Row],[Y-tunnus]],#REF!,COLUMN(#REF!),FALSE),0)</f>
        <v>0</v>
      </c>
      <c r="U7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73" s="210">
        <f>Opv.kohd.[[#This Row],[Kohdentamat-tomat 2]]+Opv.kohd.[[#This Row],[Kohdentamaton työvoima-koulutus 2]]+Opv.kohd.[[#This Row],[Maahan-muuttajien koulutus 2]]+Opv.kohd.[[#This Row],[Lisätalousarvioiden perusteella jaetut 2]]</f>
        <v>0</v>
      </c>
      <c r="W73" s="210">
        <f>Opv.kohd.[[#This Row],[Kohdentamat-tomat 2]]-(Opv.kohd.[[#This Row],[Järjestämisluvan mukaiset 1]]+Opv.kohd.[[#This Row],[Kohdentamat-tomat 1]]+Opv.kohd.[[#This Row],[Nuorisotyöt. väh. ja osaamistarp. vast., muu kuin työvoima-koulutus 1]]+Opv.kohd.[[#This Row],[Talousarvion perusteella kohdentamattomat]])</f>
        <v>0</v>
      </c>
      <c r="X73" s="210">
        <f>Opv.kohd.[[#This Row],[Kohdentamaton työvoima-koulutus 2]]-(Opv.kohd.[[#This Row],[Työvoima-koulutus 1]]+Opv.kohd.[[#This Row],[Nuorisotyöt. väh. ja osaamistarp. vast., työvoima-koulutus 1]]+Opv.kohd.[[#This Row],[Talousarvion perusteella työvoimakoulutus 1]])</f>
        <v>0</v>
      </c>
      <c r="Y73" s="210">
        <f>Opv.kohd.[[#This Row],[Maahan-muuttajien koulutus 2]]-Opv.kohd.[[#This Row],[Maahan-muuttajien koulutus 1]]</f>
        <v>0</v>
      </c>
      <c r="Z73" s="210">
        <f>Opv.kohd.[[#This Row],[Lisätalousarvioiden perusteella jaetut 2]]-Opv.kohd.[[#This Row],[Lisätalousarvioiden perusteella]]</f>
        <v>0</v>
      </c>
      <c r="AA73" s="210">
        <f>Opv.kohd.[[#This Row],[Toteutuneet opiskelijavuodet yhteensä 2]]-Opv.kohd.[[#This Row],[Vuoden 2018 tavoitteelliset opiskelijavuodet yhteensä 1]]</f>
        <v>0</v>
      </c>
      <c r="AB73" s="207">
        <f>IFERROR(VLOOKUP(Opv.kohd.[[#This Row],[Y-tunnus]],#REF!,3,FALSE),0)</f>
        <v>0</v>
      </c>
      <c r="AC73" s="207">
        <f>IFERROR(VLOOKUP(Opv.kohd.[[#This Row],[Y-tunnus]],#REF!,4,FALSE),0)</f>
        <v>0</v>
      </c>
      <c r="AD73" s="207">
        <f>IFERROR(VLOOKUP(Opv.kohd.[[#This Row],[Y-tunnus]],#REF!,5,FALSE),0)</f>
        <v>0</v>
      </c>
      <c r="AE73" s="207">
        <f>IFERROR(VLOOKUP(Opv.kohd.[[#This Row],[Y-tunnus]],#REF!,6,FALSE),0)</f>
        <v>0</v>
      </c>
      <c r="AF73" s="207">
        <f>IFERROR(VLOOKUP(Opv.kohd.[[#This Row],[Y-tunnus]],#REF!,7,FALSE),0)</f>
        <v>0</v>
      </c>
      <c r="AG73" s="207">
        <f>IFERROR(VLOOKUP(Opv.kohd.[[#This Row],[Y-tunnus]],#REF!,8,FALSE),0)</f>
        <v>0</v>
      </c>
      <c r="AH73" s="207">
        <f>IFERROR(VLOOKUP(Opv.kohd.[[#This Row],[Y-tunnus]],#REF!,9,FALSE),0)</f>
        <v>0</v>
      </c>
      <c r="AI73" s="207">
        <f>IFERROR(VLOOKUP(Opv.kohd.[[#This Row],[Y-tunnus]],#REF!,10,FALSE),0)</f>
        <v>0</v>
      </c>
      <c r="AJ73" s="204">
        <f>Opv.kohd.[[#This Row],[Järjestämisluvan mukaiset 4]]-Opv.kohd.[[#This Row],[Järjestämisluvan mukaiset 1]]</f>
        <v>0</v>
      </c>
      <c r="AK73" s="204">
        <f>Opv.kohd.[[#This Row],[Kohdentamat-tomat 4]]-Opv.kohd.[[#This Row],[Kohdentamat-tomat 1]]</f>
        <v>0</v>
      </c>
      <c r="AL73" s="204">
        <f>Opv.kohd.[[#This Row],[Työvoima-koulutus 4]]-Opv.kohd.[[#This Row],[Työvoima-koulutus 1]]</f>
        <v>0</v>
      </c>
      <c r="AM73" s="204">
        <f>Opv.kohd.[[#This Row],[Maahan-muuttajien koulutus 4]]-Opv.kohd.[[#This Row],[Maahan-muuttajien koulutus 1]]</f>
        <v>0</v>
      </c>
      <c r="AN73" s="204">
        <f>Opv.kohd.[[#This Row],[Nuorisotyöt. väh. ja osaamistarp. vast., muu kuin työvoima-koulutus 4]]-Opv.kohd.[[#This Row],[Nuorisotyöt. väh. ja osaamistarp. vast., muu kuin työvoima-koulutus 1]]</f>
        <v>0</v>
      </c>
      <c r="AO73" s="204">
        <f>Opv.kohd.[[#This Row],[Nuorisotyöt. väh. ja osaamistarp. vast., työvoima-koulutus 4]]-Opv.kohd.[[#This Row],[Nuorisotyöt. väh. ja osaamistarp. vast., työvoima-koulutus 1]]</f>
        <v>0</v>
      </c>
      <c r="AP73" s="204">
        <f>Opv.kohd.[[#This Row],[Yhteensä 4]]-Opv.kohd.[[#This Row],[Yhteensä  1]]</f>
        <v>0</v>
      </c>
      <c r="AQ73" s="204">
        <f>Opv.kohd.[[#This Row],[Ensikertaisella suoritepäätöksellä jaetut tavoitteelliset opiskelijavuodet yhteensä 4]]-Opv.kohd.[[#This Row],[Ensikertaisella suoritepäätöksellä jaetut tavoitteelliset opiskelijavuodet yhteensä 1]]</f>
        <v>0</v>
      </c>
      <c r="AR73" s="208">
        <f>IFERROR(Opv.kohd.[[#This Row],[Järjestämisluvan mukaiset 5]]/Opv.kohd.[[#This Row],[Järjestämisluvan mukaiset 4]],0)</f>
        <v>0</v>
      </c>
      <c r="AS73" s="208">
        <f>IFERROR(Opv.kohd.[[#This Row],[Kohdentamat-tomat 5]]/Opv.kohd.[[#This Row],[Kohdentamat-tomat 4]],0)</f>
        <v>0</v>
      </c>
      <c r="AT73" s="208">
        <f>IFERROR(Opv.kohd.[[#This Row],[Työvoima-koulutus 5]]/Opv.kohd.[[#This Row],[Työvoima-koulutus 4]],0)</f>
        <v>0</v>
      </c>
      <c r="AU73" s="208">
        <f>IFERROR(Opv.kohd.[[#This Row],[Maahan-muuttajien koulutus 5]]/Opv.kohd.[[#This Row],[Maahan-muuttajien koulutus 4]],0)</f>
        <v>0</v>
      </c>
      <c r="AV73" s="208">
        <f>IFERROR(Opv.kohd.[[#This Row],[Nuorisotyöt. väh. ja osaamistarp. vast., muu kuin työvoima-koulutus 5]]/Opv.kohd.[[#This Row],[Nuorisotyöt. väh. ja osaamistarp. vast., muu kuin työvoima-koulutus 4]],0)</f>
        <v>0</v>
      </c>
      <c r="AW73" s="208">
        <f>IFERROR(Opv.kohd.[[#This Row],[Nuorisotyöt. väh. ja osaamistarp. vast., työvoima-koulutus 5]]/Opv.kohd.[[#This Row],[Nuorisotyöt. väh. ja osaamistarp. vast., työvoima-koulutus 4]],0)</f>
        <v>0</v>
      </c>
      <c r="AX73" s="208">
        <f>IFERROR(Opv.kohd.[[#This Row],[Yhteensä 5]]/Opv.kohd.[[#This Row],[Yhteensä 4]],0)</f>
        <v>0</v>
      </c>
      <c r="AY73" s="208">
        <f>IFERROR(Opv.kohd.[[#This Row],[Ensikertaisella suoritepäätöksellä jaetut tavoitteelliset opiskelijavuodet yhteensä 5]]/Opv.kohd.[[#This Row],[Ensikertaisella suoritepäätöksellä jaetut tavoitteelliset opiskelijavuodet yhteensä 4]],0)</f>
        <v>0</v>
      </c>
      <c r="AZ73" s="207">
        <f>Opv.kohd.[[#This Row],[Yhteensä 7a]]-Opv.kohd.[[#This Row],[Työvoima-koulutus 7a]]</f>
        <v>0</v>
      </c>
      <c r="BA73" s="207">
        <f>IFERROR(VLOOKUP(Opv.kohd.[[#This Row],[Y-tunnus]],#REF!,COLUMN(#REF!),FALSE),0)</f>
        <v>0</v>
      </c>
      <c r="BB73" s="207">
        <f>IFERROR(VLOOKUP(Opv.kohd.[[#This Row],[Y-tunnus]],#REF!,COLUMN(#REF!),FALSE),0)</f>
        <v>0</v>
      </c>
      <c r="BC73" s="207">
        <f>Opv.kohd.[[#This Row],[Muu kuin työvoima-koulutus 7c]]-Opv.kohd.[[#This Row],[Muu kuin työvoima-koulutus 7a]]</f>
        <v>0</v>
      </c>
      <c r="BD73" s="207">
        <f>Opv.kohd.[[#This Row],[Työvoima-koulutus 7c]]-Opv.kohd.[[#This Row],[Työvoima-koulutus 7a]]</f>
        <v>0</v>
      </c>
      <c r="BE73" s="207">
        <f>Opv.kohd.[[#This Row],[Yhteensä 7c]]-Opv.kohd.[[#This Row],[Yhteensä 7a]]</f>
        <v>0</v>
      </c>
      <c r="BF73" s="207">
        <f>Opv.kohd.[[#This Row],[Yhteensä 7c]]-Opv.kohd.[[#This Row],[Työvoima-koulutus 7c]]</f>
        <v>0</v>
      </c>
      <c r="BG73" s="207">
        <f>IFERROR(VLOOKUP(Opv.kohd.[[#This Row],[Y-tunnus]],#REF!,COLUMN(#REF!),FALSE),0)</f>
        <v>0</v>
      </c>
      <c r="BH73" s="207">
        <f>IFERROR(VLOOKUP(Opv.kohd.[[#This Row],[Y-tunnus]],#REF!,COLUMN(#REF!),FALSE),0)</f>
        <v>0</v>
      </c>
      <c r="BI73" s="207">
        <f>IFERROR(VLOOKUP(Opv.kohd.[[#This Row],[Y-tunnus]],#REF!,COLUMN(#REF!),FALSE),0)</f>
        <v>0</v>
      </c>
      <c r="BJ73" s="207">
        <f>IFERROR(VLOOKUP(Opv.kohd.[[#This Row],[Y-tunnus]],#REF!,COLUMN(#REF!),FALSE),0)</f>
        <v>0</v>
      </c>
      <c r="BK73" s="207">
        <f>Opv.kohd.[[#This Row],[Muu kuin työvoima-koulutus 7d]]+Opv.kohd.[[#This Row],[Työvoima-koulutus 7d]]</f>
        <v>0</v>
      </c>
      <c r="BL73" s="207">
        <f>Opv.kohd.[[#This Row],[Muu kuin työvoima-koulutus 7c]]-Opv.kohd.[[#This Row],[Muu kuin työvoima-koulutus 7d]]</f>
        <v>0</v>
      </c>
      <c r="BM73" s="207">
        <f>Opv.kohd.[[#This Row],[Työvoima-koulutus 7c]]-Opv.kohd.[[#This Row],[Työvoima-koulutus 7d]]</f>
        <v>0</v>
      </c>
      <c r="BN73" s="207">
        <f>Opv.kohd.[[#This Row],[Yhteensä 7c]]-Opv.kohd.[[#This Row],[Yhteensä 7d]]</f>
        <v>0</v>
      </c>
      <c r="BO73" s="207">
        <f>Opv.kohd.[[#This Row],[Muu kuin työvoima-koulutus 7e]]-(Opv.kohd.[[#This Row],[Järjestämisluvan mukaiset 4]]+Opv.kohd.[[#This Row],[Kohdentamat-tomat 4]]+Opv.kohd.[[#This Row],[Maahan-muuttajien koulutus 4]]+Opv.kohd.[[#This Row],[Nuorisotyöt. väh. ja osaamistarp. vast., muu kuin työvoima-koulutus 4]])</f>
        <v>0</v>
      </c>
      <c r="BP73" s="207">
        <f>Opv.kohd.[[#This Row],[Työvoima-koulutus 7e]]-(Opv.kohd.[[#This Row],[Työvoima-koulutus 4]]+Opv.kohd.[[#This Row],[Nuorisotyöt. väh. ja osaamistarp. vast., työvoima-koulutus 4]])</f>
        <v>0</v>
      </c>
      <c r="BQ73" s="207">
        <f>Opv.kohd.[[#This Row],[Yhteensä 7e]]-Opv.kohd.[[#This Row],[Ensikertaisella suoritepäätöksellä jaetut tavoitteelliset opiskelijavuodet yhteensä 4]]</f>
        <v>0</v>
      </c>
      <c r="BR73" s="263">
        <v>52</v>
      </c>
      <c r="BS73" s="263">
        <v>0</v>
      </c>
      <c r="BT73" s="263">
        <v>0</v>
      </c>
      <c r="BU73" s="263">
        <v>0</v>
      </c>
      <c r="BV73" s="263">
        <v>0</v>
      </c>
      <c r="BW73" s="263">
        <v>0</v>
      </c>
      <c r="BX73" s="263">
        <v>0</v>
      </c>
      <c r="BY73" s="263">
        <v>52</v>
      </c>
      <c r="BZ73" s="207">
        <f t="shared" si="17"/>
        <v>52</v>
      </c>
      <c r="CA73" s="207">
        <f t="shared" si="18"/>
        <v>0</v>
      </c>
      <c r="CB73" s="207">
        <f t="shared" si="19"/>
        <v>0</v>
      </c>
      <c r="CC73" s="207">
        <f t="shared" si="20"/>
        <v>0</v>
      </c>
      <c r="CD73" s="207">
        <f t="shared" si="21"/>
        <v>0</v>
      </c>
      <c r="CE73" s="207">
        <f t="shared" si="22"/>
        <v>0</v>
      </c>
      <c r="CF73" s="207">
        <f t="shared" si="23"/>
        <v>0</v>
      </c>
      <c r="CG73" s="207">
        <f t="shared" si="24"/>
        <v>52</v>
      </c>
      <c r="CH73" s="207">
        <f>Opv.kohd.[[#This Row],[Tavoitteelliset opiskelijavuodet yhteensä 9]]-Opv.kohd.[[#This Row],[Työvoima-koulutus 9]]-Opv.kohd.[[#This Row],[Nuorisotyöt. väh. ja osaamistarp. vast., työvoima-koulutus 9]]-Opv.kohd.[[#This Row],[Muu kuin työvoima-koulutus 7e]]</f>
        <v>52</v>
      </c>
      <c r="CI73" s="207">
        <f>(Opv.kohd.[[#This Row],[Työvoima-koulutus 9]]+Opv.kohd.[[#This Row],[Nuorisotyöt. väh. ja osaamistarp. vast., työvoima-koulutus 9]])-Opv.kohd.[[#This Row],[Työvoima-koulutus 7e]]</f>
        <v>0</v>
      </c>
      <c r="CJ73" s="207">
        <f>Opv.kohd.[[#This Row],[Tavoitteelliset opiskelijavuodet yhteensä 9]]-Opv.kohd.[[#This Row],[Yhteensä 7e]]</f>
        <v>52</v>
      </c>
      <c r="CK73" s="207">
        <f>Opv.kohd.[[#This Row],[Järjestämisluvan mukaiset 4]]+Opv.kohd.[[#This Row],[Järjestämisluvan mukaiset 13]]</f>
        <v>0</v>
      </c>
      <c r="CL73" s="207">
        <f>Opv.kohd.[[#This Row],[Kohdentamat-tomat 4]]+Opv.kohd.[[#This Row],[Kohdentamat-tomat 13]]</f>
        <v>0</v>
      </c>
      <c r="CM73" s="207">
        <f>Opv.kohd.[[#This Row],[Työvoima-koulutus 4]]+Opv.kohd.[[#This Row],[Työvoima-koulutus 13]]</f>
        <v>0</v>
      </c>
      <c r="CN73" s="207">
        <f>Opv.kohd.[[#This Row],[Maahan-muuttajien koulutus 4]]+Opv.kohd.[[#This Row],[Maahan-muuttajien koulutus 13]]</f>
        <v>0</v>
      </c>
      <c r="CO73" s="207">
        <f>Opv.kohd.[[#This Row],[Nuorisotyöt. väh. ja osaamistarp. vast., muu kuin työvoima-koulutus 4]]+Opv.kohd.[[#This Row],[Nuorisotyöt. väh. ja osaamistarp. vast., muu kuin työvoima-koulutus 13]]</f>
        <v>0</v>
      </c>
      <c r="CP73" s="207">
        <f>Opv.kohd.[[#This Row],[Nuorisotyöt. väh. ja osaamistarp. vast., työvoima-koulutus 4]]+Opv.kohd.[[#This Row],[Nuorisotyöt. väh. ja osaamistarp. vast., työvoima-koulutus 13]]</f>
        <v>0</v>
      </c>
      <c r="CQ73" s="207">
        <f>Opv.kohd.[[#This Row],[Yhteensä 4]]+Opv.kohd.[[#This Row],[Yhteensä 13]]</f>
        <v>0</v>
      </c>
      <c r="CR73" s="207">
        <f>Opv.kohd.[[#This Row],[Ensikertaisella suoritepäätöksellä jaetut tavoitteelliset opiskelijavuodet yhteensä 4]]+Opv.kohd.[[#This Row],[Tavoitteelliset opiskelijavuodet yhteensä 13]]</f>
        <v>0</v>
      </c>
      <c r="CS73" s="120">
        <v>0</v>
      </c>
      <c r="CT73" s="120">
        <v>0</v>
      </c>
      <c r="CU73" s="120">
        <v>0</v>
      </c>
      <c r="CV73" s="120">
        <v>0</v>
      </c>
      <c r="CW73" s="120">
        <v>0</v>
      </c>
      <c r="CX73" s="120">
        <v>0</v>
      </c>
      <c r="CY73" s="120">
        <v>0</v>
      </c>
      <c r="CZ73" s="120">
        <v>0</v>
      </c>
      <c r="DA73" s="209">
        <f>IFERROR(Opv.kohd.[[#This Row],[Järjestämisluvan mukaiset 13]]/Opv.kohd.[[#This Row],[Järjestämisluvan mukaiset 12]],0)</f>
        <v>0</v>
      </c>
      <c r="DB73" s="209">
        <f>IFERROR(Opv.kohd.[[#This Row],[Kohdentamat-tomat 13]]/Opv.kohd.[[#This Row],[Kohdentamat-tomat 12]],0)</f>
        <v>0</v>
      </c>
      <c r="DC73" s="209">
        <f>IFERROR(Opv.kohd.[[#This Row],[Työvoima-koulutus 13]]/Opv.kohd.[[#This Row],[Työvoima-koulutus 12]],0)</f>
        <v>0</v>
      </c>
      <c r="DD73" s="209">
        <f>IFERROR(Opv.kohd.[[#This Row],[Maahan-muuttajien koulutus 13]]/Opv.kohd.[[#This Row],[Maahan-muuttajien koulutus 12]],0)</f>
        <v>0</v>
      </c>
      <c r="DE73" s="209">
        <f>IFERROR(Opv.kohd.[[#This Row],[Nuorisotyöt. väh. ja osaamistarp. vast., muu kuin työvoima-koulutus 13]]/Opv.kohd.[[#This Row],[Nuorisotyöt. väh. ja osaamistarp. vast., muu kuin työvoima-koulutus 12]],0)</f>
        <v>0</v>
      </c>
      <c r="DF73" s="209">
        <f>IFERROR(Opv.kohd.[[#This Row],[Nuorisotyöt. väh. ja osaamistarp. vast., työvoima-koulutus 13]]/Opv.kohd.[[#This Row],[Nuorisotyöt. väh. ja osaamistarp. vast., työvoima-koulutus 12]],0)</f>
        <v>0</v>
      </c>
      <c r="DG73" s="209">
        <f>IFERROR(Opv.kohd.[[#This Row],[Yhteensä 13]]/Opv.kohd.[[#This Row],[Yhteensä 12]],0)</f>
        <v>0</v>
      </c>
      <c r="DH73" s="209">
        <f>IFERROR(Opv.kohd.[[#This Row],[Tavoitteelliset opiskelijavuodet yhteensä 13]]/Opv.kohd.[[#This Row],[Tavoitteelliset opiskelijavuodet yhteensä 12]],0)</f>
        <v>0</v>
      </c>
      <c r="DI73" s="207">
        <f>Opv.kohd.[[#This Row],[Järjestämisluvan mukaiset 12]]-Opv.kohd.[[#This Row],[Järjestämisluvan mukaiset 9]]</f>
        <v>-52</v>
      </c>
      <c r="DJ73" s="207">
        <f>Opv.kohd.[[#This Row],[Kohdentamat-tomat 12]]-Opv.kohd.[[#This Row],[Kohdentamat-tomat 9]]</f>
        <v>0</v>
      </c>
      <c r="DK73" s="207">
        <f>Opv.kohd.[[#This Row],[Työvoima-koulutus 12]]-Opv.kohd.[[#This Row],[Työvoima-koulutus 9]]</f>
        <v>0</v>
      </c>
      <c r="DL73" s="207">
        <f>Opv.kohd.[[#This Row],[Maahan-muuttajien koulutus 12]]-Opv.kohd.[[#This Row],[Maahan-muuttajien koulutus 9]]</f>
        <v>0</v>
      </c>
      <c r="DM73" s="207">
        <f>Opv.kohd.[[#This Row],[Nuorisotyöt. väh. ja osaamistarp. vast., muu kuin työvoima-koulutus 12]]-Opv.kohd.[[#This Row],[Nuorisotyöt. väh. ja osaamistarp. vast., muu kuin työvoima-koulutus 9]]</f>
        <v>0</v>
      </c>
      <c r="DN73" s="207">
        <f>Opv.kohd.[[#This Row],[Nuorisotyöt. väh. ja osaamistarp. vast., työvoima-koulutus 12]]-Opv.kohd.[[#This Row],[Nuorisotyöt. väh. ja osaamistarp. vast., työvoima-koulutus 9]]</f>
        <v>0</v>
      </c>
      <c r="DO73" s="207">
        <f>Opv.kohd.[[#This Row],[Yhteensä 12]]-Opv.kohd.[[#This Row],[Yhteensä 9]]</f>
        <v>0</v>
      </c>
      <c r="DP73" s="207">
        <f>Opv.kohd.[[#This Row],[Tavoitteelliset opiskelijavuodet yhteensä 12]]-Opv.kohd.[[#This Row],[Tavoitteelliset opiskelijavuodet yhteensä 9]]</f>
        <v>-52</v>
      </c>
      <c r="DQ73" s="209">
        <f>IFERROR(Opv.kohd.[[#This Row],[Järjestämisluvan mukaiset 15]]/Opv.kohd.[[#This Row],[Järjestämisluvan mukaiset 9]],0)</f>
        <v>-1</v>
      </c>
      <c r="DR73" s="209">
        <f t="shared" si="25"/>
        <v>0</v>
      </c>
      <c r="DS73" s="209">
        <f t="shared" si="26"/>
        <v>0</v>
      </c>
      <c r="DT73" s="209">
        <f t="shared" si="27"/>
        <v>0</v>
      </c>
      <c r="DU73" s="209">
        <f t="shared" si="28"/>
        <v>0</v>
      </c>
      <c r="DV73" s="209">
        <f t="shared" si="29"/>
        <v>0</v>
      </c>
      <c r="DW73" s="209">
        <f t="shared" si="30"/>
        <v>0</v>
      </c>
      <c r="DX73" s="209">
        <f t="shared" si="31"/>
        <v>0</v>
      </c>
    </row>
    <row r="74" spans="1:128" x14ac:dyDescent="0.25">
      <c r="A74" s="204" t="e">
        <f>IF(INDEX(#REF!,ROW(74:74)-1,1)=0,"",INDEX(#REF!,ROW(74:74)-1,1))</f>
        <v>#REF!</v>
      </c>
      <c r="B74" s="205" t="str">
        <f>IFERROR(VLOOKUP(Opv.kohd.[[#This Row],[Y-tunnus]],'0 Järjestäjätiedot'!$A:$H,2,FALSE),"")</f>
        <v/>
      </c>
      <c r="C74" s="204" t="str">
        <f>IFERROR(VLOOKUP(Opv.kohd.[[#This Row],[Y-tunnus]],'0 Järjestäjätiedot'!$A:$H,COLUMN('0 Järjestäjätiedot'!D:D),FALSE),"")</f>
        <v/>
      </c>
      <c r="D74" s="204" t="str">
        <f>IFERROR(VLOOKUP(Opv.kohd.[[#This Row],[Y-tunnus]],'0 Järjestäjätiedot'!$A:$H,COLUMN('0 Järjestäjätiedot'!H:H),FALSE),"")</f>
        <v/>
      </c>
      <c r="E74" s="204">
        <f>IFERROR(VLOOKUP(Opv.kohd.[[#This Row],[Y-tunnus]],#REF!,COLUMN(#REF!),FALSE),0)</f>
        <v>0</v>
      </c>
      <c r="F74" s="204">
        <f>IFERROR(VLOOKUP(Opv.kohd.[[#This Row],[Y-tunnus]],#REF!,COLUMN(#REF!),FALSE),0)</f>
        <v>0</v>
      </c>
      <c r="G74" s="204">
        <f>IFERROR(VLOOKUP(Opv.kohd.[[#This Row],[Y-tunnus]],#REF!,COLUMN(#REF!),FALSE),0)</f>
        <v>0</v>
      </c>
      <c r="H74" s="204">
        <f>IFERROR(VLOOKUP(Opv.kohd.[[#This Row],[Y-tunnus]],#REF!,COLUMN(#REF!),FALSE),0)</f>
        <v>0</v>
      </c>
      <c r="I74" s="204">
        <f>IFERROR(VLOOKUP(Opv.kohd.[[#This Row],[Y-tunnus]],#REF!,COLUMN(#REF!),FALSE),0)</f>
        <v>0</v>
      </c>
      <c r="J74" s="204">
        <f>IFERROR(VLOOKUP(Opv.kohd.[[#This Row],[Y-tunnus]],#REF!,COLUMN(#REF!),FALSE),0)</f>
        <v>0</v>
      </c>
      <c r="K7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74" s="204">
        <f>Opv.kohd.[[#This Row],[Järjestämisluvan mukaiset 1]]+Opv.kohd.[[#This Row],[Yhteensä  1]]</f>
        <v>0</v>
      </c>
      <c r="M74" s="204">
        <f>IFERROR(VLOOKUP(Opv.kohd.[[#This Row],[Y-tunnus]],#REF!,COLUMN(#REF!),FALSE),0)</f>
        <v>0</v>
      </c>
      <c r="N74" s="204">
        <f>IFERROR(VLOOKUP(Opv.kohd.[[#This Row],[Y-tunnus]],#REF!,COLUMN(#REF!),FALSE),0)</f>
        <v>0</v>
      </c>
      <c r="O74" s="204">
        <f>IFERROR(VLOOKUP(Opv.kohd.[[#This Row],[Y-tunnus]],#REF!,COLUMN(#REF!),FALSE)+VLOOKUP(Opv.kohd.[[#This Row],[Y-tunnus]],#REF!,COLUMN(#REF!),FALSE),0)</f>
        <v>0</v>
      </c>
      <c r="P74" s="204">
        <f>Opv.kohd.[[#This Row],[Talousarvion perusteella kohdentamattomat]]+Opv.kohd.[[#This Row],[Talousarvion perusteella työvoimakoulutus 1]]+Opv.kohd.[[#This Row],[Lisätalousarvioiden perusteella]]</f>
        <v>0</v>
      </c>
      <c r="Q74" s="204">
        <f>IFERROR(VLOOKUP(Opv.kohd.[[#This Row],[Y-tunnus]],#REF!,COLUMN(#REF!),FALSE),0)</f>
        <v>0</v>
      </c>
      <c r="R74" s="210">
        <f>IFERROR(VLOOKUP(Opv.kohd.[[#This Row],[Y-tunnus]],#REF!,COLUMN(#REF!),FALSE)-(Opv.kohd.[[#This Row],[Kohdentamaton työvoima-koulutus 2]]+Opv.kohd.[[#This Row],[Maahan-muuttajien koulutus 2]]+Opv.kohd.[[#This Row],[Lisätalousarvioiden perusteella jaetut 2]]),0)</f>
        <v>0</v>
      </c>
      <c r="S74" s="210">
        <f>IFERROR(VLOOKUP(Opv.kohd.[[#This Row],[Y-tunnus]],#REF!,COLUMN(#REF!),FALSE)+VLOOKUP(Opv.kohd.[[#This Row],[Y-tunnus]],#REF!,COLUMN(#REF!),FALSE),0)</f>
        <v>0</v>
      </c>
      <c r="T74" s="210">
        <f>IFERROR(VLOOKUP(Opv.kohd.[[#This Row],[Y-tunnus]],#REF!,COLUMN(#REF!),FALSE)+VLOOKUP(Opv.kohd.[[#This Row],[Y-tunnus]],#REF!,COLUMN(#REF!),FALSE),0)</f>
        <v>0</v>
      </c>
      <c r="U7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74" s="210">
        <f>Opv.kohd.[[#This Row],[Kohdentamat-tomat 2]]+Opv.kohd.[[#This Row],[Kohdentamaton työvoima-koulutus 2]]+Opv.kohd.[[#This Row],[Maahan-muuttajien koulutus 2]]+Opv.kohd.[[#This Row],[Lisätalousarvioiden perusteella jaetut 2]]</f>
        <v>0</v>
      </c>
      <c r="W74" s="210">
        <f>Opv.kohd.[[#This Row],[Kohdentamat-tomat 2]]-(Opv.kohd.[[#This Row],[Järjestämisluvan mukaiset 1]]+Opv.kohd.[[#This Row],[Kohdentamat-tomat 1]]+Opv.kohd.[[#This Row],[Nuorisotyöt. väh. ja osaamistarp. vast., muu kuin työvoima-koulutus 1]]+Opv.kohd.[[#This Row],[Talousarvion perusteella kohdentamattomat]])</f>
        <v>0</v>
      </c>
      <c r="X74" s="210">
        <f>Opv.kohd.[[#This Row],[Kohdentamaton työvoima-koulutus 2]]-(Opv.kohd.[[#This Row],[Työvoima-koulutus 1]]+Opv.kohd.[[#This Row],[Nuorisotyöt. väh. ja osaamistarp. vast., työvoima-koulutus 1]]+Opv.kohd.[[#This Row],[Talousarvion perusteella työvoimakoulutus 1]])</f>
        <v>0</v>
      </c>
      <c r="Y74" s="210">
        <f>Opv.kohd.[[#This Row],[Maahan-muuttajien koulutus 2]]-Opv.kohd.[[#This Row],[Maahan-muuttajien koulutus 1]]</f>
        <v>0</v>
      </c>
      <c r="Z74" s="210">
        <f>Opv.kohd.[[#This Row],[Lisätalousarvioiden perusteella jaetut 2]]-Opv.kohd.[[#This Row],[Lisätalousarvioiden perusteella]]</f>
        <v>0</v>
      </c>
      <c r="AA74" s="210">
        <f>Opv.kohd.[[#This Row],[Toteutuneet opiskelijavuodet yhteensä 2]]-Opv.kohd.[[#This Row],[Vuoden 2018 tavoitteelliset opiskelijavuodet yhteensä 1]]</f>
        <v>0</v>
      </c>
      <c r="AB74" s="207">
        <f>IFERROR(VLOOKUP(Opv.kohd.[[#This Row],[Y-tunnus]],#REF!,3,FALSE),0)</f>
        <v>0</v>
      </c>
      <c r="AC74" s="207">
        <f>IFERROR(VLOOKUP(Opv.kohd.[[#This Row],[Y-tunnus]],#REF!,4,FALSE),0)</f>
        <v>0</v>
      </c>
      <c r="AD74" s="207">
        <f>IFERROR(VLOOKUP(Opv.kohd.[[#This Row],[Y-tunnus]],#REF!,5,FALSE),0)</f>
        <v>0</v>
      </c>
      <c r="AE74" s="207">
        <f>IFERROR(VLOOKUP(Opv.kohd.[[#This Row],[Y-tunnus]],#REF!,6,FALSE),0)</f>
        <v>0</v>
      </c>
      <c r="AF74" s="207">
        <f>IFERROR(VLOOKUP(Opv.kohd.[[#This Row],[Y-tunnus]],#REF!,7,FALSE),0)</f>
        <v>0</v>
      </c>
      <c r="AG74" s="207">
        <f>IFERROR(VLOOKUP(Opv.kohd.[[#This Row],[Y-tunnus]],#REF!,8,FALSE),0)</f>
        <v>0</v>
      </c>
      <c r="AH74" s="207">
        <f>IFERROR(VLOOKUP(Opv.kohd.[[#This Row],[Y-tunnus]],#REF!,9,FALSE),0)</f>
        <v>0</v>
      </c>
      <c r="AI74" s="207">
        <f>IFERROR(VLOOKUP(Opv.kohd.[[#This Row],[Y-tunnus]],#REF!,10,FALSE),0)</f>
        <v>0</v>
      </c>
      <c r="AJ74" s="204">
        <f>Opv.kohd.[[#This Row],[Järjestämisluvan mukaiset 4]]-Opv.kohd.[[#This Row],[Järjestämisluvan mukaiset 1]]</f>
        <v>0</v>
      </c>
      <c r="AK74" s="204">
        <f>Opv.kohd.[[#This Row],[Kohdentamat-tomat 4]]-Opv.kohd.[[#This Row],[Kohdentamat-tomat 1]]</f>
        <v>0</v>
      </c>
      <c r="AL74" s="204">
        <f>Opv.kohd.[[#This Row],[Työvoima-koulutus 4]]-Opv.kohd.[[#This Row],[Työvoima-koulutus 1]]</f>
        <v>0</v>
      </c>
      <c r="AM74" s="204">
        <f>Opv.kohd.[[#This Row],[Maahan-muuttajien koulutus 4]]-Opv.kohd.[[#This Row],[Maahan-muuttajien koulutus 1]]</f>
        <v>0</v>
      </c>
      <c r="AN74" s="204">
        <f>Opv.kohd.[[#This Row],[Nuorisotyöt. väh. ja osaamistarp. vast., muu kuin työvoima-koulutus 4]]-Opv.kohd.[[#This Row],[Nuorisotyöt. väh. ja osaamistarp. vast., muu kuin työvoima-koulutus 1]]</f>
        <v>0</v>
      </c>
      <c r="AO74" s="204">
        <f>Opv.kohd.[[#This Row],[Nuorisotyöt. väh. ja osaamistarp. vast., työvoima-koulutus 4]]-Opv.kohd.[[#This Row],[Nuorisotyöt. väh. ja osaamistarp. vast., työvoima-koulutus 1]]</f>
        <v>0</v>
      </c>
      <c r="AP74" s="204">
        <f>Opv.kohd.[[#This Row],[Yhteensä 4]]-Opv.kohd.[[#This Row],[Yhteensä  1]]</f>
        <v>0</v>
      </c>
      <c r="AQ74" s="204">
        <f>Opv.kohd.[[#This Row],[Ensikertaisella suoritepäätöksellä jaetut tavoitteelliset opiskelijavuodet yhteensä 4]]-Opv.kohd.[[#This Row],[Ensikertaisella suoritepäätöksellä jaetut tavoitteelliset opiskelijavuodet yhteensä 1]]</f>
        <v>0</v>
      </c>
      <c r="AR74" s="208">
        <f>IFERROR(Opv.kohd.[[#This Row],[Järjestämisluvan mukaiset 5]]/Opv.kohd.[[#This Row],[Järjestämisluvan mukaiset 4]],0)</f>
        <v>0</v>
      </c>
      <c r="AS74" s="208">
        <f>IFERROR(Opv.kohd.[[#This Row],[Kohdentamat-tomat 5]]/Opv.kohd.[[#This Row],[Kohdentamat-tomat 4]],0)</f>
        <v>0</v>
      </c>
      <c r="AT74" s="208">
        <f>IFERROR(Opv.kohd.[[#This Row],[Työvoima-koulutus 5]]/Opv.kohd.[[#This Row],[Työvoima-koulutus 4]],0)</f>
        <v>0</v>
      </c>
      <c r="AU74" s="208">
        <f>IFERROR(Opv.kohd.[[#This Row],[Maahan-muuttajien koulutus 5]]/Opv.kohd.[[#This Row],[Maahan-muuttajien koulutus 4]],0)</f>
        <v>0</v>
      </c>
      <c r="AV74" s="208">
        <f>IFERROR(Opv.kohd.[[#This Row],[Nuorisotyöt. väh. ja osaamistarp. vast., muu kuin työvoima-koulutus 5]]/Opv.kohd.[[#This Row],[Nuorisotyöt. väh. ja osaamistarp. vast., muu kuin työvoima-koulutus 4]],0)</f>
        <v>0</v>
      </c>
      <c r="AW74" s="208">
        <f>IFERROR(Opv.kohd.[[#This Row],[Nuorisotyöt. väh. ja osaamistarp. vast., työvoima-koulutus 5]]/Opv.kohd.[[#This Row],[Nuorisotyöt. väh. ja osaamistarp. vast., työvoima-koulutus 4]],0)</f>
        <v>0</v>
      </c>
      <c r="AX74" s="208">
        <f>IFERROR(Opv.kohd.[[#This Row],[Yhteensä 5]]/Opv.kohd.[[#This Row],[Yhteensä 4]],0)</f>
        <v>0</v>
      </c>
      <c r="AY74" s="208">
        <f>IFERROR(Opv.kohd.[[#This Row],[Ensikertaisella suoritepäätöksellä jaetut tavoitteelliset opiskelijavuodet yhteensä 5]]/Opv.kohd.[[#This Row],[Ensikertaisella suoritepäätöksellä jaetut tavoitteelliset opiskelijavuodet yhteensä 4]],0)</f>
        <v>0</v>
      </c>
      <c r="AZ74" s="207">
        <f>Opv.kohd.[[#This Row],[Yhteensä 7a]]-Opv.kohd.[[#This Row],[Työvoima-koulutus 7a]]</f>
        <v>0</v>
      </c>
      <c r="BA74" s="207">
        <f>IFERROR(VLOOKUP(Opv.kohd.[[#This Row],[Y-tunnus]],#REF!,COLUMN(#REF!),FALSE),0)</f>
        <v>0</v>
      </c>
      <c r="BB74" s="207">
        <f>IFERROR(VLOOKUP(Opv.kohd.[[#This Row],[Y-tunnus]],#REF!,COLUMN(#REF!),FALSE),0)</f>
        <v>0</v>
      </c>
      <c r="BC74" s="207">
        <f>Opv.kohd.[[#This Row],[Muu kuin työvoima-koulutus 7c]]-Opv.kohd.[[#This Row],[Muu kuin työvoima-koulutus 7a]]</f>
        <v>0</v>
      </c>
      <c r="BD74" s="207">
        <f>Opv.kohd.[[#This Row],[Työvoima-koulutus 7c]]-Opv.kohd.[[#This Row],[Työvoima-koulutus 7a]]</f>
        <v>0</v>
      </c>
      <c r="BE74" s="207">
        <f>Opv.kohd.[[#This Row],[Yhteensä 7c]]-Opv.kohd.[[#This Row],[Yhteensä 7a]]</f>
        <v>0</v>
      </c>
      <c r="BF74" s="207">
        <f>Opv.kohd.[[#This Row],[Yhteensä 7c]]-Opv.kohd.[[#This Row],[Työvoima-koulutus 7c]]</f>
        <v>0</v>
      </c>
      <c r="BG74" s="207">
        <f>IFERROR(VLOOKUP(Opv.kohd.[[#This Row],[Y-tunnus]],#REF!,COLUMN(#REF!),FALSE),0)</f>
        <v>0</v>
      </c>
      <c r="BH74" s="207">
        <f>IFERROR(VLOOKUP(Opv.kohd.[[#This Row],[Y-tunnus]],#REF!,COLUMN(#REF!),FALSE),0)</f>
        <v>0</v>
      </c>
      <c r="BI74" s="207">
        <f>IFERROR(VLOOKUP(Opv.kohd.[[#This Row],[Y-tunnus]],#REF!,COLUMN(#REF!),FALSE),0)</f>
        <v>0</v>
      </c>
      <c r="BJ74" s="207">
        <f>IFERROR(VLOOKUP(Opv.kohd.[[#This Row],[Y-tunnus]],#REF!,COLUMN(#REF!),FALSE),0)</f>
        <v>0</v>
      </c>
      <c r="BK74" s="207">
        <f>Opv.kohd.[[#This Row],[Muu kuin työvoima-koulutus 7d]]+Opv.kohd.[[#This Row],[Työvoima-koulutus 7d]]</f>
        <v>0</v>
      </c>
      <c r="BL74" s="207">
        <f>Opv.kohd.[[#This Row],[Muu kuin työvoima-koulutus 7c]]-Opv.kohd.[[#This Row],[Muu kuin työvoima-koulutus 7d]]</f>
        <v>0</v>
      </c>
      <c r="BM74" s="207">
        <f>Opv.kohd.[[#This Row],[Työvoima-koulutus 7c]]-Opv.kohd.[[#This Row],[Työvoima-koulutus 7d]]</f>
        <v>0</v>
      </c>
      <c r="BN74" s="207">
        <f>Opv.kohd.[[#This Row],[Yhteensä 7c]]-Opv.kohd.[[#This Row],[Yhteensä 7d]]</f>
        <v>0</v>
      </c>
      <c r="BO74" s="207">
        <f>Opv.kohd.[[#This Row],[Muu kuin työvoima-koulutus 7e]]-(Opv.kohd.[[#This Row],[Järjestämisluvan mukaiset 4]]+Opv.kohd.[[#This Row],[Kohdentamat-tomat 4]]+Opv.kohd.[[#This Row],[Maahan-muuttajien koulutus 4]]+Opv.kohd.[[#This Row],[Nuorisotyöt. väh. ja osaamistarp. vast., muu kuin työvoima-koulutus 4]])</f>
        <v>0</v>
      </c>
      <c r="BP74" s="207">
        <f>Opv.kohd.[[#This Row],[Työvoima-koulutus 7e]]-(Opv.kohd.[[#This Row],[Työvoima-koulutus 4]]+Opv.kohd.[[#This Row],[Nuorisotyöt. väh. ja osaamistarp. vast., työvoima-koulutus 4]])</f>
        <v>0</v>
      </c>
      <c r="BQ74" s="207">
        <f>Opv.kohd.[[#This Row],[Yhteensä 7e]]-Opv.kohd.[[#This Row],[Ensikertaisella suoritepäätöksellä jaetut tavoitteelliset opiskelijavuodet yhteensä 4]]</f>
        <v>0</v>
      </c>
      <c r="BR74" s="263">
        <v>90</v>
      </c>
      <c r="BS74" s="263">
        <v>4</v>
      </c>
      <c r="BT74" s="263">
        <v>0</v>
      </c>
      <c r="BU74" s="263">
        <v>0</v>
      </c>
      <c r="BV74" s="263">
        <v>0</v>
      </c>
      <c r="BW74" s="263">
        <v>0</v>
      </c>
      <c r="BX74" s="263">
        <v>4</v>
      </c>
      <c r="BY74" s="263">
        <v>94</v>
      </c>
      <c r="BZ74" s="207">
        <f t="shared" si="17"/>
        <v>90</v>
      </c>
      <c r="CA74" s="207">
        <f t="shared" si="18"/>
        <v>4</v>
      </c>
      <c r="CB74" s="207">
        <f t="shared" si="19"/>
        <v>0</v>
      </c>
      <c r="CC74" s="207">
        <f t="shared" si="20"/>
        <v>0</v>
      </c>
      <c r="CD74" s="207">
        <f t="shared" si="21"/>
        <v>0</v>
      </c>
      <c r="CE74" s="207">
        <f t="shared" si="22"/>
        <v>0</v>
      </c>
      <c r="CF74" s="207">
        <f t="shared" si="23"/>
        <v>4</v>
      </c>
      <c r="CG74" s="207">
        <f t="shared" si="24"/>
        <v>94</v>
      </c>
      <c r="CH74" s="207">
        <f>Opv.kohd.[[#This Row],[Tavoitteelliset opiskelijavuodet yhteensä 9]]-Opv.kohd.[[#This Row],[Työvoima-koulutus 9]]-Opv.kohd.[[#This Row],[Nuorisotyöt. väh. ja osaamistarp. vast., työvoima-koulutus 9]]-Opv.kohd.[[#This Row],[Muu kuin työvoima-koulutus 7e]]</f>
        <v>94</v>
      </c>
      <c r="CI74" s="207">
        <f>(Opv.kohd.[[#This Row],[Työvoima-koulutus 9]]+Opv.kohd.[[#This Row],[Nuorisotyöt. väh. ja osaamistarp. vast., työvoima-koulutus 9]])-Opv.kohd.[[#This Row],[Työvoima-koulutus 7e]]</f>
        <v>0</v>
      </c>
      <c r="CJ74" s="207">
        <f>Opv.kohd.[[#This Row],[Tavoitteelliset opiskelijavuodet yhteensä 9]]-Opv.kohd.[[#This Row],[Yhteensä 7e]]</f>
        <v>94</v>
      </c>
      <c r="CK74" s="207">
        <f>Opv.kohd.[[#This Row],[Järjestämisluvan mukaiset 4]]+Opv.kohd.[[#This Row],[Järjestämisluvan mukaiset 13]]</f>
        <v>0</v>
      </c>
      <c r="CL74" s="207">
        <f>Opv.kohd.[[#This Row],[Kohdentamat-tomat 4]]+Opv.kohd.[[#This Row],[Kohdentamat-tomat 13]]</f>
        <v>0</v>
      </c>
      <c r="CM74" s="207">
        <f>Opv.kohd.[[#This Row],[Työvoima-koulutus 4]]+Opv.kohd.[[#This Row],[Työvoima-koulutus 13]]</f>
        <v>0</v>
      </c>
      <c r="CN74" s="207">
        <f>Opv.kohd.[[#This Row],[Maahan-muuttajien koulutus 4]]+Opv.kohd.[[#This Row],[Maahan-muuttajien koulutus 13]]</f>
        <v>0</v>
      </c>
      <c r="CO74" s="207">
        <f>Opv.kohd.[[#This Row],[Nuorisotyöt. väh. ja osaamistarp. vast., muu kuin työvoima-koulutus 4]]+Opv.kohd.[[#This Row],[Nuorisotyöt. väh. ja osaamistarp. vast., muu kuin työvoima-koulutus 13]]</f>
        <v>0</v>
      </c>
      <c r="CP74" s="207">
        <f>Opv.kohd.[[#This Row],[Nuorisotyöt. väh. ja osaamistarp. vast., työvoima-koulutus 4]]+Opv.kohd.[[#This Row],[Nuorisotyöt. väh. ja osaamistarp. vast., työvoima-koulutus 13]]</f>
        <v>0</v>
      </c>
      <c r="CQ74" s="207">
        <f>Opv.kohd.[[#This Row],[Yhteensä 4]]+Opv.kohd.[[#This Row],[Yhteensä 13]]</f>
        <v>0</v>
      </c>
      <c r="CR74" s="207">
        <f>Opv.kohd.[[#This Row],[Ensikertaisella suoritepäätöksellä jaetut tavoitteelliset opiskelijavuodet yhteensä 4]]+Opv.kohd.[[#This Row],[Tavoitteelliset opiskelijavuodet yhteensä 13]]</f>
        <v>0</v>
      </c>
      <c r="CS74" s="120">
        <v>0</v>
      </c>
      <c r="CT74" s="120">
        <v>0</v>
      </c>
      <c r="CU74" s="120">
        <v>0</v>
      </c>
      <c r="CV74" s="120">
        <v>0</v>
      </c>
      <c r="CW74" s="120">
        <v>0</v>
      </c>
      <c r="CX74" s="120">
        <v>0</v>
      </c>
      <c r="CY74" s="120">
        <v>0</v>
      </c>
      <c r="CZ74" s="120">
        <v>0</v>
      </c>
      <c r="DA74" s="209">
        <f>IFERROR(Opv.kohd.[[#This Row],[Järjestämisluvan mukaiset 13]]/Opv.kohd.[[#This Row],[Järjestämisluvan mukaiset 12]],0)</f>
        <v>0</v>
      </c>
      <c r="DB74" s="209">
        <f>IFERROR(Opv.kohd.[[#This Row],[Kohdentamat-tomat 13]]/Opv.kohd.[[#This Row],[Kohdentamat-tomat 12]],0)</f>
        <v>0</v>
      </c>
      <c r="DC74" s="209">
        <f>IFERROR(Opv.kohd.[[#This Row],[Työvoima-koulutus 13]]/Opv.kohd.[[#This Row],[Työvoima-koulutus 12]],0)</f>
        <v>0</v>
      </c>
      <c r="DD74" s="209">
        <f>IFERROR(Opv.kohd.[[#This Row],[Maahan-muuttajien koulutus 13]]/Opv.kohd.[[#This Row],[Maahan-muuttajien koulutus 12]],0)</f>
        <v>0</v>
      </c>
      <c r="DE74" s="209">
        <f>IFERROR(Opv.kohd.[[#This Row],[Nuorisotyöt. väh. ja osaamistarp. vast., muu kuin työvoima-koulutus 13]]/Opv.kohd.[[#This Row],[Nuorisotyöt. väh. ja osaamistarp. vast., muu kuin työvoima-koulutus 12]],0)</f>
        <v>0</v>
      </c>
      <c r="DF74" s="209">
        <f>IFERROR(Opv.kohd.[[#This Row],[Nuorisotyöt. väh. ja osaamistarp. vast., työvoima-koulutus 13]]/Opv.kohd.[[#This Row],[Nuorisotyöt. väh. ja osaamistarp. vast., työvoima-koulutus 12]],0)</f>
        <v>0</v>
      </c>
      <c r="DG74" s="209">
        <f>IFERROR(Opv.kohd.[[#This Row],[Yhteensä 13]]/Opv.kohd.[[#This Row],[Yhteensä 12]],0)</f>
        <v>0</v>
      </c>
      <c r="DH74" s="209">
        <f>IFERROR(Opv.kohd.[[#This Row],[Tavoitteelliset opiskelijavuodet yhteensä 13]]/Opv.kohd.[[#This Row],[Tavoitteelliset opiskelijavuodet yhteensä 12]],0)</f>
        <v>0</v>
      </c>
      <c r="DI74" s="207">
        <f>Opv.kohd.[[#This Row],[Järjestämisluvan mukaiset 12]]-Opv.kohd.[[#This Row],[Järjestämisluvan mukaiset 9]]</f>
        <v>-90</v>
      </c>
      <c r="DJ74" s="207">
        <f>Opv.kohd.[[#This Row],[Kohdentamat-tomat 12]]-Opv.kohd.[[#This Row],[Kohdentamat-tomat 9]]</f>
        <v>-4</v>
      </c>
      <c r="DK74" s="207">
        <f>Opv.kohd.[[#This Row],[Työvoima-koulutus 12]]-Opv.kohd.[[#This Row],[Työvoima-koulutus 9]]</f>
        <v>0</v>
      </c>
      <c r="DL74" s="207">
        <f>Opv.kohd.[[#This Row],[Maahan-muuttajien koulutus 12]]-Opv.kohd.[[#This Row],[Maahan-muuttajien koulutus 9]]</f>
        <v>0</v>
      </c>
      <c r="DM74" s="207">
        <f>Opv.kohd.[[#This Row],[Nuorisotyöt. väh. ja osaamistarp. vast., muu kuin työvoima-koulutus 12]]-Opv.kohd.[[#This Row],[Nuorisotyöt. väh. ja osaamistarp. vast., muu kuin työvoima-koulutus 9]]</f>
        <v>0</v>
      </c>
      <c r="DN74" s="207">
        <f>Opv.kohd.[[#This Row],[Nuorisotyöt. väh. ja osaamistarp. vast., työvoima-koulutus 12]]-Opv.kohd.[[#This Row],[Nuorisotyöt. väh. ja osaamistarp. vast., työvoima-koulutus 9]]</f>
        <v>0</v>
      </c>
      <c r="DO74" s="207">
        <f>Opv.kohd.[[#This Row],[Yhteensä 12]]-Opv.kohd.[[#This Row],[Yhteensä 9]]</f>
        <v>-4</v>
      </c>
      <c r="DP74" s="207">
        <f>Opv.kohd.[[#This Row],[Tavoitteelliset opiskelijavuodet yhteensä 12]]-Opv.kohd.[[#This Row],[Tavoitteelliset opiskelijavuodet yhteensä 9]]</f>
        <v>-94</v>
      </c>
      <c r="DQ74" s="209">
        <f>IFERROR(Opv.kohd.[[#This Row],[Järjestämisluvan mukaiset 15]]/Opv.kohd.[[#This Row],[Järjestämisluvan mukaiset 9]],0)</f>
        <v>-1</v>
      </c>
      <c r="DR74" s="209">
        <f t="shared" si="25"/>
        <v>0</v>
      </c>
      <c r="DS74" s="209">
        <f t="shared" si="26"/>
        <v>0</v>
      </c>
      <c r="DT74" s="209">
        <f t="shared" si="27"/>
        <v>0</v>
      </c>
      <c r="DU74" s="209">
        <f t="shared" si="28"/>
        <v>0</v>
      </c>
      <c r="DV74" s="209">
        <f t="shared" si="29"/>
        <v>0</v>
      </c>
      <c r="DW74" s="209">
        <f t="shared" si="30"/>
        <v>0</v>
      </c>
      <c r="DX74" s="209">
        <f t="shared" si="31"/>
        <v>0</v>
      </c>
    </row>
    <row r="75" spans="1:128" x14ac:dyDescent="0.25">
      <c r="A75" s="204" t="e">
        <f>IF(INDEX(#REF!,ROW(75:75)-1,1)=0,"",INDEX(#REF!,ROW(75:75)-1,1))</f>
        <v>#REF!</v>
      </c>
      <c r="B75" s="205" t="str">
        <f>IFERROR(VLOOKUP(Opv.kohd.[[#This Row],[Y-tunnus]],'0 Järjestäjätiedot'!$A:$H,2,FALSE),"")</f>
        <v/>
      </c>
      <c r="C75" s="204" t="str">
        <f>IFERROR(VLOOKUP(Opv.kohd.[[#This Row],[Y-tunnus]],'0 Järjestäjätiedot'!$A:$H,COLUMN('0 Järjestäjätiedot'!D:D),FALSE),"")</f>
        <v/>
      </c>
      <c r="D75" s="204" t="str">
        <f>IFERROR(VLOOKUP(Opv.kohd.[[#This Row],[Y-tunnus]],'0 Järjestäjätiedot'!$A:$H,COLUMN('0 Järjestäjätiedot'!H:H),FALSE),"")</f>
        <v/>
      </c>
      <c r="E75" s="204">
        <f>IFERROR(VLOOKUP(Opv.kohd.[[#This Row],[Y-tunnus]],#REF!,COLUMN(#REF!),FALSE),0)</f>
        <v>0</v>
      </c>
      <c r="F75" s="204">
        <f>IFERROR(VLOOKUP(Opv.kohd.[[#This Row],[Y-tunnus]],#REF!,COLUMN(#REF!),FALSE),0)</f>
        <v>0</v>
      </c>
      <c r="G75" s="204">
        <f>IFERROR(VLOOKUP(Opv.kohd.[[#This Row],[Y-tunnus]],#REF!,COLUMN(#REF!),FALSE),0)</f>
        <v>0</v>
      </c>
      <c r="H75" s="204">
        <f>IFERROR(VLOOKUP(Opv.kohd.[[#This Row],[Y-tunnus]],#REF!,COLUMN(#REF!),FALSE),0)</f>
        <v>0</v>
      </c>
      <c r="I75" s="204">
        <f>IFERROR(VLOOKUP(Opv.kohd.[[#This Row],[Y-tunnus]],#REF!,COLUMN(#REF!),FALSE),0)</f>
        <v>0</v>
      </c>
      <c r="J75" s="204">
        <f>IFERROR(VLOOKUP(Opv.kohd.[[#This Row],[Y-tunnus]],#REF!,COLUMN(#REF!),FALSE),0)</f>
        <v>0</v>
      </c>
      <c r="K7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75" s="204">
        <f>Opv.kohd.[[#This Row],[Järjestämisluvan mukaiset 1]]+Opv.kohd.[[#This Row],[Yhteensä  1]]</f>
        <v>0</v>
      </c>
      <c r="M75" s="204">
        <f>IFERROR(VLOOKUP(Opv.kohd.[[#This Row],[Y-tunnus]],#REF!,COLUMN(#REF!),FALSE),0)</f>
        <v>0</v>
      </c>
      <c r="N75" s="204">
        <f>IFERROR(VLOOKUP(Opv.kohd.[[#This Row],[Y-tunnus]],#REF!,COLUMN(#REF!),FALSE),0)</f>
        <v>0</v>
      </c>
      <c r="O75" s="204">
        <f>IFERROR(VLOOKUP(Opv.kohd.[[#This Row],[Y-tunnus]],#REF!,COLUMN(#REF!),FALSE)+VLOOKUP(Opv.kohd.[[#This Row],[Y-tunnus]],#REF!,COLUMN(#REF!),FALSE),0)</f>
        <v>0</v>
      </c>
      <c r="P75" s="204">
        <f>Opv.kohd.[[#This Row],[Talousarvion perusteella kohdentamattomat]]+Opv.kohd.[[#This Row],[Talousarvion perusteella työvoimakoulutus 1]]+Opv.kohd.[[#This Row],[Lisätalousarvioiden perusteella]]</f>
        <v>0</v>
      </c>
      <c r="Q75" s="204">
        <f>IFERROR(VLOOKUP(Opv.kohd.[[#This Row],[Y-tunnus]],#REF!,COLUMN(#REF!),FALSE),0)</f>
        <v>0</v>
      </c>
      <c r="R75" s="210">
        <f>IFERROR(VLOOKUP(Opv.kohd.[[#This Row],[Y-tunnus]],#REF!,COLUMN(#REF!),FALSE)-(Opv.kohd.[[#This Row],[Kohdentamaton työvoima-koulutus 2]]+Opv.kohd.[[#This Row],[Maahan-muuttajien koulutus 2]]+Opv.kohd.[[#This Row],[Lisätalousarvioiden perusteella jaetut 2]]),0)</f>
        <v>0</v>
      </c>
      <c r="S75" s="210">
        <f>IFERROR(VLOOKUP(Opv.kohd.[[#This Row],[Y-tunnus]],#REF!,COLUMN(#REF!),FALSE)+VLOOKUP(Opv.kohd.[[#This Row],[Y-tunnus]],#REF!,COLUMN(#REF!),FALSE),0)</f>
        <v>0</v>
      </c>
      <c r="T75" s="210">
        <f>IFERROR(VLOOKUP(Opv.kohd.[[#This Row],[Y-tunnus]],#REF!,COLUMN(#REF!),FALSE)+VLOOKUP(Opv.kohd.[[#This Row],[Y-tunnus]],#REF!,COLUMN(#REF!),FALSE),0)</f>
        <v>0</v>
      </c>
      <c r="U7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75" s="210">
        <f>Opv.kohd.[[#This Row],[Kohdentamat-tomat 2]]+Opv.kohd.[[#This Row],[Kohdentamaton työvoima-koulutus 2]]+Opv.kohd.[[#This Row],[Maahan-muuttajien koulutus 2]]+Opv.kohd.[[#This Row],[Lisätalousarvioiden perusteella jaetut 2]]</f>
        <v>0</v>
      </c>
      <c r="W75" s="210">
        <f>Opv.kohd.[[#This Row],[Kohdentamat-tomat 2]]-(Opv.kohd.[[#This Row],[Järjestämisluvan mukaiset 1]]+Opv.kohd.[[#This Row],[Kohdentamat-tomat 1]]+Opv.kohd.[[#This Row],[Nuorisotyöt. väh. ja osaamistarp. vast., muu kuin työvoima-koulutus 1]]+Opv.kohd.[[#This Row],[Talousarvion perusteella kohdentamattomat]])</f>
        <v>0</v>
      </c>
      <c r="X75" s="210">
        <f>Opv.kohd.[[#This Row],[Kohdentamaton työvoima-koulutus 2]]-(Opv.kohd.[[#This Row],[Työvoima-koulutus 1]]+Opv.kohd.[[#This Row],[Nuorisotyöt. väh. ja osaamistarp. vast., työvoima-koulutus 1]]+Opv.kohd.[[#This Row],[Talousarvion perusteella työvoimakoulutus 1]])</f>
        <v>0</v>
      </c>
      <c r="Y75" s="210">
        <f>Opv.kohd.[[#This Row],[Maahan-muuttajien koulutus 2]]-Opv.kohd.[[#This Row],[Maahan-muuttajien koulutus 1]]</f>
        <v>0</v>
      </c>
      <c r="Z75" s="210">
        <f>Opv.kohd.[[#This Row],[Lisätalousarvioiden perusteella jaetut 2]]-Opv.kohd.[[#This Row],[Lisätalousarvioiden perusteella]]</f>
        <v>0</v>
      </c>
      <c r="AA75" s="210">
        <f>Opv.kohd.[[#This Row],[Toteutuneet opiskelijavuodet yhteensä 2]]-Opv.kohd.[[#This Row],[Vuoden 2018 tavoitteelliset opiskelijavuodet yhteensä 1]]</f>
        <v>0</v>
      </c>
      <c r="AB75" s="207">
        <f>IFERROR(VLOOKUP(Opv.kohd.[[#This Row],[Y-tunnus]],#REF!,3,FALSE),0)</f>
        <v>0</v>
      </c>
      <c r="AC75" s="207">
        <f>IFERROR(VLOOKUP(Opv.kohd.[[#This Row],[Y-tunnus]],#REF!,4,FALSE),0)</f>
        <v>0</v>
      </c>
      <c r="AD75" s="207">
        <f>IFERROR(VLOOKUP(Opv.kohd.[[#This Row],[Y-tunnus]],#REF!,5,FALSE),0)</f>
        <v>0</v>
      </c>
      <c r="AE75" s="207">
        <f>IFERROR(VLOOKUP(Opv.kohd.[[#This Row],[Y-tunnus]],#REF!,6,FALSE),0)</f>
        <v>0</v>
      </c>
      <c r="AF75" s="207">
        <f>IFERROR(VLOOKUP(Opv.kohd.[[#This Row],[Y-tunnus]],#REF!,7,FALSE),0)</f>
        <v>0</v>
      </c>
      <c r="AG75" s="207">
        <f>IFERROR(VLOOKUP(Opv.kohd.[[#This Row],[Y-tunnus]],#REF!,8,FALSE),0)</f>
        <v>0</v>
      </c>
      <c r="AH75" s="207">
        <f>IFERROR(VLOOKUP(Opv.kohd.[[#This Row],[Y-tunnus]],#REF!,9,FALSE),0)</f>
        <v>0</v>
      </c>
      <c r="AI75" s="207">
        <f>IFERROR(VLOOKUP(Opv.kohd.[[#This Row],[Y-tunnus]],#REF!,10,FALSE),0)</f>
        <v>0</v>
      </c>
      <c r="AJ75" s="204">
        <f>Opv.kohd.[[#This Row],[Järjestämisluvan mukaiset 4]]-Opv.kohd.[[#This Row],[Järjestämisluvan mukaiset 1]]</f>
        <v>0</v>
      </c>
      <c r="AK75" s="204">
        <f>Opv.kohd.[[#This Row],[Kohdentamat-tomat 4]]-Opv.kohd.[[#This Row],[Kohdentamat-tomat 1]]</f>
        <v>0</v>
      </c>
      <c r="AL75" s="204">
        <f>Opv.kohd.[[#This Row],[Työvoima-koulutus 4]]-Opv.kohd.[[#This Row],[Työvoima-koulutus 1]]</f>
        <v>0</v>
      </c>
      <c r="AM75" s="204">
        <f>Opv.kohd.[[#This Row],[Maahan-muuttajien koulutus 4]]-Opv.kohd.[[#This Row],[Maahan-muuttajien koulutus 1]]</f>
        <v>0</v>
      </c>
      <c r="AN75" s="204">
        <f>Opv.kohd.[[#This Row],[Nuorisotyöt. väh. ja osaamistarp. vast., muu kuin työvoima-koulutus 4]]-Opv.kohd.[[#This Row],[Nuorisotyöt. väh. ja osaamistarp. vast., muu kuin työvoima-koulutus 1]]</f>
        <v>0</v>
      </c>
      <c r="AO75" s="204">
        <f>Opv.kohd.[[#This Row],[Nuorisotyöt. väh. ja osaamistarp. vast., työvoima-koulutus 4]]-Opv.kohd.[[#This Row],[Nuorisotyöt. väh. ja osaamistarp. vast., työvoima-koulutus 1]]</f>
        <v>0</v>
      </c>
      <c r="AP75" s="204">
        <f>Opv.kohd.[[#This Row],[Yhteensä 4]]-Opv.kohd.[[#This Row],[Yhteensä  1]]</f>
        <v>0</v>
      </c>
      <c r="AQ75" s="204">
        <f>Opv.kohd.[[#This Row],[Ensikertaisella suoritepäätöksellä jaetut tavoitteelliset opiskelijavuodet yhteensä 4]]-Opv.kohd.[[#This Row],[Ensikertaisella suoritepäätöksellä jaetut tavoitteelliset opiskelijavuodet yhteensä 1]]</f>
        <v>0</v>
      </c>
      <c r="AR75" s="208">
        <f>IFERROR(Opv.kohd.[[#This Row],[Järjestämisluvan mukaiset 5]]/Opv.kohd.[[#This Row],[Järjestämisluvan mukaiset 4]],0)</f>
        <v>0</v>
      </c>
      <c r="AS75" s="208">
        <f>IFERROR(Opv.kohd.[[#This Row],[Kohdentamat-tomat 5]]/Opv.kohd.[[#This Row],[Kohdentamat-tomat 4]],0)</f>
        <v>0</v>
      </c>
      <c r="AT75" s="208">
        <f>IFERROR(Opv.kohd.[[#This Row],[Työvoima-koulutus 5]]/Opv.kohd.[[#This Row],[Työvoima-koulutus 4]],0)</f>
        <v>0</v>
      </c>
      <c r="AU75" s="208">
        <f>IFERROR(Opv.kohd.[[#This Row],[Maahan-muuttajien koulutus 5]]/Opv.kohd.[[#This Row],[Maahan-muuttajien koulutus 4]],0)</f>
        <v>0</v>
      </c>
      <c r="AV75" s="208">
        <f>IFERROR(Opv.kohd.[[#This Row],[Nuorisotyöt. väh. ja osaamistarp. vast., muu kuin työvoima-koulutus 5]]/Opv.kohd.[[#This Row],[Nuorisotyöt. väh. ja osaamistarp. vast., muu kuin työvoima-koulutus 4]],0)</f>
        <v>0</v>
      </c>
      <c r="AW75" s="208">
        <f>IFERROR(Opv.kohd.[[#This Row],[Nuorisotyöt. väh. ja osaamistarp. vast., työvoima-koulutus 5]]/Opv.kohd.[[#This Row],[Nuorisotyöt. väh. ja osaamistarp. vast., työvoima-koulutus 4]],0)</f>
        <v>0</v>
      </c>
      <c r="AX75" s="208">
        <f>IFERROR(Opv.kohd.[[#This Row],[Yhteensä 5]]/Opv.kohd.[[#This Row],[Yhteensä 4]],0)</f>
        <v>0</v>
      </c>
      <c r="AY75" s="208">
        <f>IFERROR(Opv.kohd.[[#This Row],[Ensikertaisella suoritepäätöksellä jaetut tavoitteelliset opiskelijavuodet yhteensä 5]]/Opv.kohd.[[#This Row],[Ensikertaisella suoritepäätöksellä jaetut tavoitteelliset opiskelijavuodet yhteensä 4]],0)</f>
        <v>0</v>
      </c>
      <c r="AZ75" s="207">
        <f>Opv.kohd.[[#This Row],[Yhteensä 7a]]-Opv.kohd.[[#This Row],[Työvoima-koulutus 7a]]</f>
        <v>0</v>
      </c>
      <c r="BA75" s="207">
        <f>IFERROR(VLOOKUP(Opv.kohd.[[#This Row],[Y-tunnus]],#REF!,COLUMN(#REF!),FALSE),0)</f>
        <v>0</v>
      </c>
      <c r="BB75" s="207">
        <f>IFERROR(VLOOKUP(Opv.kohd.[[#This Row],[Y-tunnus]],#REF!,COLUMN(#REF!),FALSE),0)</f>
        <v>0</v>
      </c>
      <c r="BC75" s="207">
        <f>Opv.kohd.[[#This Row],[Muu kuin työvoima-koulutus 7c]]-Opv.kohd.[[#This Row],[Muu kuin työvoima-koulutus 7a]]</f>
        <v>0</v>
      </c>
      <c r="BD75" s="207">
        <f>Opv.kohd.[[#This Row],[Työvoima-koulutus 7c]]-Opv.kohd.[[#This Row],[Työvoima-koulutus 7a]]</f>
        <v>0</v>
      </c>
      <c r="BE75" s="207">
        <f>Opv.kohd.[[#This Row],[Yhteensä 7c]]-Opv.kohd.[[#This Row],[Yhteensä 7a]]</f>
        <v>0</v>
      </c>
      <c r="BF75" s="207">
        <f>Opv.kohd.[[#This Row],[Yhteensä 7c]]-Opv.kohd.[[#This Row],[Työvoima-koulutus 7c]]</f>
        <v>0</v>
      </c>
      <c r="BG75" s="207">
        <f>IFERROR(VLOOKUP(Opv.kohd.[[#This Row],[Y-tunnus]],#REF!,COLUMN(#REF!),FALSE),0)</f>
        <v>0</v>
      </c>
      <c r="BH75" s="207">
        <f>IFERROR(VLOOKUP(Opv.kohd.[[#This Row],[Y-tunnus]],#REF!,COLUMN(#REF!),FALSE),0)</f>
        <v>0</v>
      </c>
      <c r="BI75" s="207">
        <f>IFERROR(VLOOKUP(Opv.kohd.[[#This Row],[Y-tunnus]],#REF!,COLUMN(#REF!),FALSE),0)</f>
        <v>0</v>
      </c>
      <c r="BJ75" s="207">
        <f>IFERROR(VLOOKUP(Opv.kohd.[[#This Row],[Y-tunnus]],#REF!,COLUMN(#REF!),FALSE),0)</f>
        <v>0</v>
      </c>
      <c r="BK75" s="207">
        <f>Opv.kohd.[[#This Row],[Muu kuin työvoima-koulutus 7d]]+Opv.kohd.[[#This Row],[Työvoima-koulutus 7d]]</f>
        <v>0</v>
      </c>
      <c r="BL75" s="207">
        <f>Opv.kohd.[[#This Row],[Muu kuin työvoima-koulutus 7c]]-Opv.kohd.[[#This Row],[Muu kuin työvoima-koulutus 7d]]</f>
        <v>0</v>
      </c>
      <c r="BM75" s="207">
        <f>Opv.kohd.[[#This Row],[Työvoima-koulutus 7c]]-Opv.kohd.[[#This Row],[Työvoima-koulutus 7d]]</f>
        <v>0</v>
      </c>
      <c r="BN75" s="207">
        <f>Opv.kohd.[[#This Row],[Yhteensä 7c]]-Opv.kohd.[[#This Row],[Yhteensä 7d]]</f>
        <v>0</v>
      </c>
      <c r="BO75" s="207">
        <f>Opv.kohd.[[#This Row],[Muu kuin työvoima-koulutus 7e]]-(Opv.kohd.[[#This Row],[Järjestämisluvan mukaiset 4]]+Opv.kohd.[[#This Row],[Kohdentamat-tomat 4]]+Opv.kohd.[[#This Row],[Maahan-muuttajien koulutus 4]]+Opv.kohd.[[#This Row],[Nuorisotyöt. väh. ja osaamistarp. vast., muu kuin työvoima-koulutus 4]])</f>
        <v>0</v>
      </c>
      <c r="BP75" s="207">
        <f>Opv.kohd.[[#This Row],[Työvoima-koulutus 7e]]-(Opv.kohd.[[#This Row],[Työvoima-koulutus 4]]+Opv.kohd.[[#This Row],[Nuorisotyöt. väh. ja osaamistarp. vast., työvoima-koulutus 4]])</f>
        <v>0</v>
      </c>
      <c r="BQ75" s="207">
        <f>Opv.kohd.[[#This Row],[Yhteensä 7e]]-Opv.kohd.[[#This Row],[Ensikertaisella suoritepäätöksellä jaetut tavoitteelliset opiskelijavuodet yhteensä 4]]</f>
        <v>0</v>
      </c>
      <c r="BR75" s="263">
        <v>139</v>
      </c>
      <c r="BS75" s="263">
        <v>20</v>
      </c>
      <c r="BT75" s="263">
        <v>0</v>
      </c>
      <c r="BU75" s="263">
        <v>0</v>
      </c>
      <c r="BV75" s="263">
        <v>0</v>
      </c>
      <c r="BW75" s="263">
        <v>0</v>
      </c>
      <c r="BX75" s="263">
        <v>20</v>
      </c>
      <c r="BY75" s="263">
        <v>159</v>
      </c>
      <c r="BZ75" s="207">
        <f t="shared" si="17"/>
        <v>139</v>
      </c>
      <c r="CA75" s="207">
        <f t="shared" si="18"/>
        <v>20</v>
      </c>
      <c r="CB75" s="207">
        <f t="shared" si="19"/>
        <v>0</v>
      </c>
      <c r="CC75" s="207">
        <f t="shared" si="20"/>
        <v>0</v>
      </c>
      <c r="CD75" s="207">
        <f t="shared" si="21"/>
        <v>0</v>
      </c>
      <c r="CE75" s="207">
        <f t="shared" si="22"/>
        <v>0</v>
      </c>
      <c r="CF75" s="207">
        <f t="shared" si="23"/>
        <v>20</v>
      </c>
      <c r="CG75" s="207">
        <f t="shared" si="24"/>
        <v>159</v>
      </c>
      <c r="CH75" s="207">
        <f>Opv.kohd.[[#This Row],[Tavoitteelliset opiskelijavuodet yhteensä 9]]-Opv.kohd.[[#This Row],[Työvoima-koulutus 9]]-Opv.kohd.[[#This Row],[Nuorisotyöt. väh. ja osaamistarp. vast., työvoima-koulutus 9]]-Opv.kohd.[[#This Row],[Muu kuin työvoima-koulutus 7e]]</f>
        <v>159</v>
      </c>
      <c r="CI75" s="207">
        <f>(Opv.kohd.[[#This Row],[Työvoima-koulutus 9]]+Opv.kohd.[[#This Row],[Nuorisotyöt. väh. ja osaamistarp. vast., työvoima-koulutus 9]])-Opv.kohd.[[#This Row],[Työvoima-koulutus 7e]]</f>
        <v>0</v>
      </c>
      <c r="CJ75" s="207">
        <f>Opv.kohd.[[#This Row],[Tavoitteelliset opiskelijavuodet yhteensä 9]]-Opv.kohd.[[#This Row],[Yhteensä 7e]]</f>
        <v>159</v>
      </c>
      <c r="CK75" s="207">
        <f>Opv.kohd.[[#This Row],[Järjestämisluvan mukaiset 4]]+Opv.kohd.[[#This Row],[Järjestämisluvan mukaiset 13]]</f>
        <v>0</v>
      </c>
      <c r="CL75" s="207">
        <f>Opv.kohd.[[#This Row],[Kohdentamat-tomat 4]]+Opv.kohd.[[#This Row],[Kohdentamat-tomat 13]]</f>
        <v>0</v>
      </c>
      <c r="CM75" s="207">
        <f>Opv.kohd.[[#This Row],[Työvoima-koulutus 4]]+Opv.kohd.[[#This Row],[Työvoima-koulutus 13]]</f>
        <v>0</v>
      </c>
      <c r="CN75" s="207">
        <f>Opv.kohd.[[#This Row],[Maahan-muuttajien koulutus 4]]+Opv.kohd.[[#This Row],[Maahan-muuttajien koulutus 13]]</f>
        <v>0</v>
      </c>
      <c r="CO75" s="207">
        <f>Opv.kohd.[[#This Row],[Nuorisotyöt. väh. ja osaamistarp. vast., muu kuin työvoima-koulutus 4]]+Opv.kohd.[[#This Row],[Nuorisotyöt. väh. ja osaamistarp. vast., muu kuin työvoima-koulutus 13]]</f>
        <v>0</v>
      </c>
      <c r="CP75" s="207">
        <f>Opv.kohd.[[#This Row],[Nuorisotyöt. väh. ja osaamistarp. vast., työvoima-koulutus 4]]+Opv.kohd.[[#This Row],[Nuorisotyöt. väh. ja osaamistarp. vast., työvoima-koulutus 13]]</f>
        <v>0</v>
      </c>
      <c r="CQ75" s="207">
        <f>Opv.kohd.[[#This Row],[Yhteensä 4]]+Opv.kohd.[[#This Row],[Yhteensä 13]]</f>
        <v>0</v>
      </c>
      <c r="CR75" s="207">
        <f>Opv.kohd.[[#This Row],[Ensikertaisella suoritepäätöksellä jaetut tavoitteelliset opiskelijavuodet yhteensä 4]]+Opv.kohd.[[#This Row],[Tavoitteelliset opiskelijavuodet yhteensä 13]]</f>
        <v>0</v>
      </c>
      <c r="CS75" s="120">
        <v>0</v>
      </c>
      <c r="CT75" s="120">
        <v>0</v>
      </c>
      <c r="CU75" s="120">
        <v>0</v>
      </c>
      <c r="CV75" s="120">
        <v>0</v>
      </c>
      <c r="CW75" s="120">
        <v>0</v>
      </c>
      <c r="CX75" s="120">
        <v>0</v>
      </c>
      <c r="CY75" s="120">
        <v>0</v>
      </c>
      <c r="CZ75" s="120">
        <v>0</v>
      </c>
      <c r="DA75" s="209">
        <f>IFERROR(Opv.kohd.[[#This Row],[Järjestämisluvan mukaiset 13]]/Opv.kohd.[[#This Row],[Järjestämisluvan mukaiset 12]],0)</f>
        <v>0</v>
      </c>
      <c r="DB75" s="209">
        <f>IFERROR(Opv.kohd.[[#This Row],[Kohdentamat-tomat 13]]/Opv.kohd.[[#This Row],[Kohdentamat-tomat 12]],0)</f>
        <v>0</v>
      </c>
      <c r="DC75" s="209">
        <f>IFERROR(Opv.kohd.[[#This Row],[Työvoima-koulutus 13]]/Opv.kohd.[[#This Row],[Työvoima-koulutus 12]],0)</f>
        <v>0</v>
      </c>
      <c r="DD75" s="209">
        <f>IFERROR(Opv.kohd.[[#This Row],[Maahan-muuttajien koulutus 13]]/Opv.kohd.[[#This Row],[Maahan-muuttajien koulutus 12]],0)</f>
        <v>0</v>
      </c>
      <c r="DE75" s="209">
        <f>IFERROR(Opv.kohd.[[#This Row],[Nuorisotyöt. väh. ja osaamistarp. vast., muu kuin työvoima-koulutus 13]]/Opv.kohd.[[#This Row],[Nuorisotyöt. väh. ja osaamistarp. vast., muu kuin työvoima-koulutus 12]],0)</f>
        <v>0</v>
      </c>
      <c r="DF75" s="209">
        <f>IFERROR(Opv.kohd.[[#This Row],[Nuorisotyöt. väh. ja osaamistarp. vast., työvoima-koulutus 13]]/Opv.kohd.[[#This Row],[Nuorisotyöt. väh. ja osaamistarp. vast., työvoima-koulutus 12]],0)</f>
        <v>0</v>
      </c>
      <c r="DG75" s="209">
        <f>IFERROR(Opv.kohd.[[#This Row],[Yhteensä 13]]/Opv.kohd.[[#This Row],[Yhteensä 12]],0)</f>
        <v>0</v>
      </c>
      <c r="DH75" s="209">
        <f>IFERROR(Opv.kohd.[[#This Row],[Tavoitteelliset opiskelijavuodet yhteensä 13]]/Opv.kohd.[[#This Row],[Tavoitteelliset opiskelijavuodet yhteensä 12]],0)</f>
        <v>0</v>
      </c>
      <c r="DI75" s="207">
        <f>Opv.kohd.[[#This Row],[Järjestämisluvan mukaiset 12]]-Opv.kohd.[[#This Row],[Järjestämisluvan mukaiset 9]]</f>
        <v>-139</v>
      </c>
      <c r="DJ75" s="207">
        <f>Opv.kohd.[[#This Row],[Kohdentamat-tomat 12]]-Opv.kohd.[[#This Row],[Kohdentamat-tomat 9]]</f>
        <v>-20</v>
      </c>
      <c r="DK75" s="207">
        <f>Opv.kohd.[[#This Row],[Työvoima-koulutus 12]]-Opv.kohd.[[#This Row],[Työvoima-koulutus 9]]</f>
        <v>0</v>
      </c>
      <c r="DL75" s="207">
        <f>Opv.kohd.[[#This Row],[Maahan-muuttajien koulutus 12]]-Opv.kohd.[[#This Row],[Maahan-muuttajien koulutus 9]]</f>
        <v>0</v>
      </c>
      <c r="DM75" s="207">
        <f>Opv.kohd.[[#This Row],[Nuorisotyöt. väh. ja osaamistarp. vast., muu kuin työvoima-koulutus 12]]-Opv.kohd.[[#This Row],[Nuorisotyöt. väh. ja osaamistarp. vast., muu kuin työvoima-koulutus 9]]</f>
        <v>0</v>
      </c>
      <c r="DN75" s="207">
        <f>Opv.kohd.[[#This Row],[Nuorisotyöt. väh. ja osaamistarp. vast., työvoima-koulutus 12]]-Opv.kohd.[[#This Row],[Nuorisotyöt. väh. ja osaamistarp. vast., työvoima-koulutus 9]]</f>
        <v>0</v>
      </c>
      <c r="DO75" s="207">
        <f>Opv.kohd.[[#This Row],[Yhteensä 12]]-Opv.kohd.[[#This Row],[Yhteensä 9]]</f>
        <v>-20</v>
      </c>
      <c r="DP75" s="207">
        <f>Opv.kohd.[[#This Row],[Tavoitteelliset opiskelijavuodet yhteensä 12]]-Opv.kohd.[[#This Row],[Tavoitteelliset opiskelijavuodet yhteensä 9]]</f>
        <v>-159</v>
      </c>
      <c r="DQ75" s="209">
        <f>IFERROR(Opv.kohd.[[#This Row],[Järjestämisluvan mukaiset 15]]/Opv.kohd.[[#This Row],[Järjestämisluvan mukaiset 9]],0)</f>
        <v>-1</v>
      </c>
      <c r="DR75" s="209">
        <f t="shared" si="25"/>
        <v>0</v>
      </c>
      <c r="DS75" s="209">
        <f t="shared" si="26"/>
        <v>0</v>
      </c>
      <c r="DT75" s="209">
        <f t="shared" si="27"/>
        <v>0</v>
      </c>
      <c r="DU75" s="209">
        <f t="shared" si="28"/>
        <v>0</v>
      </c>
      <c r="DV75" s="209">
        <f t="shared" si="29"/>
        <v>0</v>
      </c>
      <c r="DW75" s="209">
        <f t="shared" si="30"/>
        <v>0</v>
      </c>
      <c r="DX75" s="209">
        <f t="shared" si="31"/>
        <v>0</v>
      </c>
    </row>
    <row r="76" spans="1:128" x14ac:dyDescent="0.25">
      <c r="A76" s="204" t="e">
        <f>IF(INDEX(#REF!,ROW(76:76)-1,1)=0,"",INDEX(#REF!,ROW(76:76)-1,1))</f>
        <v>#REF!</v>
      </c>
      <c r="B76" s="205" t="str">
        <f>IFERROR(VLOOKUP(Opv.kohd.[[#This Row],[Y-tunnus]],'0 Järjestäjätiedot'!$A:$H,2,FALSE),"")</f>
        <v/>
      </c>
      <c r="C76" s="204" t="str">
        <f>IFERROR(VLOOKUP(Opv.kohd.[[#This Row],[Y-tunnus]],'0 Järjestäjätiedot'!$A:$H,COLUMN('0 Järjestäjätiedot'!D:D),FALSE),"")</f>
        <v/>
      </c>
      <c r="D76" s="204" t="str">
        <f>IFERROR(VLOOKUP(Opv.kohd.[[#This Row],[Y-tunnus]],'0 Järjestäjätiedot'!$A:$H,COLUMN('0 Järjestäjätiedot'!H:H),FALSE),"")</f>
        <v/>
      </c>
      <c r="E76" s="204">
        <f>IFERROR(VLOOKUP(Opv.kohd.[[#This Row],[Y-tunnus]],#REF!,COLUMN(#REF!),FALSE),0)</f>
        <v>0</v>
      </c>
      <c r="F76" s="204">
        <f>IFERROR(VLOOKUP(Opv.kohd.[[#This Row],[Y-tunnus]],#REF!,COLUMN(#REF!),FALSE),0)</f>
        <v>0</v>
      </c>
      <c r="G76" s="204">
        <f>IFERROR(VLOOKUP(Opv.kohd.[[#This Row],[Y-tunnus]],#REF!,COLUMN(#REF!),FALSE),0)</f>
        <v>0</v>
      </c>
      <c r="H76" s="204">
        <f>IFERROR(VLOOKUP(Opv.kohd.[[#This Row],[Y-tunnus]],#REF!,COLUMN(#REF!),FALSE),0)</f>
        <v>0</v>
      </c>
      <c r="I76" s="204">
        <f>IFERROR(VLOOKUP(Opv.kohd.[[#This Row],[Y-tunnus]],#REF!,COLUMN(#REF!),FALSE),0)</f>
        <v>0</v>
      </c>
      <c r="J76" s="204">
        <f>IFERROR(VLOOKUP(Opv.kohd.[[#This Row],[Y-tunnus]],#REF!,COLUMN(#REF!),FALSE),0)</f>
        <v>0</v>
      </c>
      <c r="K7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76" s="204">
        <f>Opv.kohd.[[#This Row],[Järjestämisluvan mukaiset 1]]+Opv.kohd.[[#This Row],[Yhteensä  1]]</f>
        <v>0</v>
      </c>
      <c r="M76" s="204">
        <f>IFERROR(VLOOKUP(Opv.kohd.[[#This Row],[Y-tunnus]],#REF!,COLUMN(#REF!),FALSE),0)</f>
        <v>0</v>
      </c>
      <c r="N76" s="204">
        <f>IFERROR(VLOOKUP(Opv.kohd.[[#This Row],[Y-tunnus]],#REF!,COLUMN(#REF!),FALSE),0)</f>
        <v>0</v>
      </c>
      <c r="O76" s="204">
        <f>IFERROR(VLOOKUP(Opv.kohd.[[#This Row],[Y-tunnus]],#REF!,COLUMN(#REF!),FALSE)+VLOOKUP(Opv.kohd.[[#This Row],[Y-tunnus]],#REF!,COLUMN(#REF!),FALSE),0)</f>
        <v>0</v>
      </c>
      <c r="P76" s="204">
        <f>Opv.kohd.[[#This Row],[Talousarvion perusteella kohdentamattomat]]+Opv.kohd.[[#This Row],[Talousarvion perusteella työvoimakoulutus 1]]+Opv.kohd.[[#This Row],[Lisätalousarvioiden perusteella]]</f>
        <v>0</v>
      </c>
      <c r="Q76" s="204">
        <f>IFERROR(VLOOKUP(Opv.kohd.[[#This Row],[Y-tunnus]],#REF!,COLUMN(#REF!),FALSE),0)</f>
        <v>0</v>
      </c>
      <c r="R76" s="210">
        <f>IFERROR(VLOOKUP(Opv.kohd.[[#This Row],[Y-tunnus]],#REF!,COLUMN(#REF!),FALSE)-(Opv.kohd.[[#This Row],[Kohdentamaton työvoima-koulutus 2]]+Opv.kohd.[[#This Row],[Maahan-muuttajien koulutus 2]]+Opv.kohd.[[#This Row],[Lisätalousarvioiden perusteella jaetut 2]]),0)</f>
        <v>0</v>
      </c>
      <c r="S76" s="210">
        <f>IFERROR(VLOOKUP(Opv.kohd.[[#This Row],[Y-tunnus]],#REF!,COLUMN(#REF!),FALSE)+VLOOKUP(Opv.kohd.[[#This Row],[Y-tunnus]],#REF!,COLUMN(#REF!),FALSE),0)</f>
        <v>0</v>
      </c>
      <c r="T76" s="210">
        <f>IFERROR(VLOOKUP(Opv.kohd.[[#This Row],[Y-tunnus]],#REF!,COLUMN(#REF!),FALSE)+VLOOKUP(Opv.kohd.[[#This Row],[Y-tunnus]],#REF!,COLUMN(#REF!),FALSE),0)</f>
        <v>0</v>
      </c>
      <c r="U7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76" s="210">
        <f>Opv.kohd.[[#This Row],[Kohdentamat-tomat 2]]+Opv.kohd.[[#This Row],[Kohdentamaton työvoima-koulutus 2]]+Opv.kohd.[[#This Row],[Maahan-muuttajien koulutus 2]]+Opv.kohd.[[#This Row],[Lisätalousarvioiden perusteella jaetut 2]]</f>
        <v>0</v>
      </c>
      <c r="W76" s="210">
        <f>Opv.kohd.[[#This Row],[Kohdentamat-tomat 2]]-(Opv.kohd.[[#This Row],[Järjestämisluvan mukaiset 1]]+Opv.kohd.[[#This Row],[Kohdentamat-tomat 1]]+Opv.kohd.[[#This Row],[Nuorisotyöt. väh. ja osaamistarp. vast., muu kuin työvoima-koulutus 1]]+Opv.kohd.[[#This Row],[Talousarvion perusteella kohdentamattomat]])</f>
        <v>0</v>
      </c>
      <c r="X76" s="210">
        <f>Opv.kohd.[[#This Row],[Kohdentamaton työvoima-koulutus 2]]-(Opv.kohd.[[#This Row],[Työvoima-koulutus 1]]+Opv.kohd.[[#This Row],[Nuorisotyöt. väh. ja osaamistarp. vast., työvoima-koulutus 1]]+Opv.kohd.[[#This Row],[Talousarvion perusteella työvoimakoulutus 1]])</f>
        <v>0</v>
      </c>
      <c r="Y76" s="210">
        <f>Opv.kohd.[[#This Row],[Maahan-muuttajien koulutus 2]]-Opv.kohd.[[#This Row],[Maahan-muuttajien koulutus 1]]</f>
        <v>0</v>
      </c>
      <c r="Z76" s="210">
        <f>Opv.kohd.[[#This Row],[Lisätalousarvioiden perusteella jaetut 2]]-Opv.kohd.[[#This Row],[Lisätalousarvioiden perusteella]]</f>
        <v>0</v>
      </c>
      <c r="AA76" s="210">
        <f>Opv.kohd.[[#This Row],[Toteutuneet opiskelijavuodet yhteensä 2]]-Opv.kohd.[[#This Row],[Vuoden 2018 tavoitteelliset opiskelijavuodet yhteensä 1]]</f>
        <v>0</v>
      </c>
      <c r="AB76" s="207">
        <f>IFERROR(VLOOKUP(Opv.kohd.[[#This Row],[Y-tunnus]],#REF!,3,FALSE),0)</f>
        <v>0</v>
      </c>
      <c r="AC76" s="207">
        <f>IFERROR(VLOOKUP(Opv.kohd.[[#This Row],[Y-tunnus]],#REF!,4,FALSE),0)</f>
        <v>0</v>
      </c>
      <c r="AD76" s="207">
        <f>IFERROR(VLOOKUP(Opv.kohd.[[#This Row],[Y-tunnus]],#REF!,5,FALSE),0)</f>
        <v>0</v>
      </c>
      <c r="AE76" s="207">
        <f>IFERROR(VLOOKUP(Opv.kohd.[[#This Row],[Y-tunnus]],#REF!,6,FALSE),0)</f>
        <v>0</v>
      </c>
      <c r="AF76" s="207">
        <f>IFERROR(VLOOKUP(Opv.kohd.[[#This Row],[Y-tunnus]],#REF!,7,FALSE),0)</f>
        <v>0</v>
      </c>
      <c r="AG76" s="207">
        <f>IFERROR(VLOOKUP(Opv.kohd.[[#This Row],[Y-tunnus]],#REF!,8,FALSE),0)</f>
        <v>0</v>
      </c>
      <c r="AH76" s="207">
        <f>IFERROR(VLOOKUP(Opv.kohd.[[#This Row],[Y-tunnus]],#REF!,9,FALSE),0)</f>
        <v>0</v>
      </c>
      <c r="AI76" s="207">
        <f>IFERROR(VLOOKUP(Opv.kohd.[[#This Row],[Y-tunnus]],#REF!,10,FALSE),0)</f>
        <v>0</v>
      </c>
      <c r="AJ76" s="204">
        <f>Opv.kohd.[[#This Row],[Järjestämisluvan mukaiset 4]]-Opv.kohd.[[#This Row],[Järjestämisluvan mukaiset 1]]</f>
        <v>0</v>
      </c>
      <c r="AK76" s="204">
        <f>Opv.kohd.[[#This Row],[Kohdentamat-tomat 4]]-Opv.kohd.[[#This Row],[Kohdentamat-tomat 1]]</f>
        <v>0</v>
      </c>
      <c r="AL76" s="204">
        <f>Opv.kohd.[[#This Row],[Työvoima-koulutus 4]]-Opv.kohd.[[#This Row],[Työvoima-koulutus 1]]</f>
        <v>0</v>
      </c>
      <c r="AM76" s="204">
        <f>Opv.kohd.[[#This Row],[Maahan-muuttajien koulutus 4]]-Opv.kohd.[[#This Row],[Maahan-muuttajien koulutus 1]]</f>
        <v>0</v>
      </c>
      <c r="AN76" s="204">
        <f>Opv.kohd.[[#This Row],[Nuorisotyöt. väh. ja osaamistarp. vast., muu kuin työvoima-koulutus 4]]-Opv.kohd.[[#This Row],[Nuorisotyöt. väh. ja osaamistarp. vast., muu kuin työvoima-koulutus 1]]</f>
        <v>0</v>
      </c>
      <c r="AO76" s="204">
        <f>Opv.kohd.[[#This Row],[Nuorisotyöt. väh. ja osaamistarp. vast., työvoima-koulutus 4]]-Opv.kohd.[[#This Row],[Nuorisotyöt. väh. ja osaamistarp. vast., työvoima-koulutus 1]]</f>
        <v>0</v>
      </c>
      <c r="AP76" s="204">
        <f>Opv.kohd.[[#This Row],[Yhteensä 4]]-Opv.kohd.[[#This Row],[Yhteensä  1]]</f>
        <v>0</v>
      </c>
      <c r="AQ76" s="204">
        <f>Opv.kohd.[[#This Row],[Ensikertaisella suoritepäätöksellä jaetut tavoitteelliset opiskelijavuodet yhteensä 4]]-Opv.kohd.[[#This Row],[Ensikertaisella suoritepäätöksellä jaetut tavoitteelliset opiskelijavuodet yhteensä 1]]</f>
        <v>0</v>
      </c>
      <c r="AR76" s="208">
        <f>IFERROR(Opv.kohd.[[#This Row],[Järjestämisluvan mukaiset 5]]/Opv.kohd.[[#This Row],[Järjestämisluvan mukaiset 4]],0)</f>
        <v>0</v>
      </c>
      <c r="AS76" s="208">
        <f>IFERROR(Opv.kohd.[[#This Row],[Kohdentamat-tomat 5]]/Opv.kohd.[[#This Row],[Kohdentamat-tomat 4]],0)</f>
        <v>0</v>
      </c>
      <c r="AT76" s="208">
        <f>IFERROR(Opv.kohd.[[#This Row],[Työvoima-koulutus 5]]/Opv.kohd.[[#This Row],[Työvoima-koulutus 4]],0)</f>
        <v>0</v>
      </c>
      <c r="AU76" s="208">
        <f>IFERROR(Opv.kohd.[[#This Row],[Maahan-muuttajien koulutus 5]]/Opv.kohd.[[#This Row],[Maahan-muuttajien koulutus 4]],0)</f>
        <v>0</v>
      </c>
      <c r="AV76" s="208">
        <f>IFERROR(Opv.kohd.[[#This Row],[Nuorisotyöt. väh. ja osaamistarp. vast., muu kuin työvoima-koulutus 5]]/Opv.kohd.[[#This Row],[Nuorisotyöt. väh. ja osaamistarp. vast., muu kuin työvoima-koulutus 4]],0)</f>
        <v>0</v>
      </c>
      <c r="AW76" s="208">
        <f>IFERROR(Opv.kohd.[[#This Row],[Nuorisotyöt. väh. ja osaamistarp. vast., työvoima-koulutus 5]]/Opv.kohd.[[#This Row],[Nuorisotyöt. väh. ja osaamistarp. vast., työvoima-koulutus 4]],0)</f>
        <v>0</v>
      </c>
      <c r="AX76" s="208">
        <f>IFERROR(Opv.kohd.[[#This Row],[Yhteensä 5]]/Opv.kohd.[[#This Row],[Yhteensä 4]],0)</f>
        <v>0</v>
      </c>
      <c r="AY76" s="208">
        <f>IFERROR(Opv.kohd.[[#This Row],[Ensikertaisella suoritepäätöksellä jaetut tavoitteelliset opiskelijavuodet yhteensä 5]]/Opv.kohd.[[#This Row],[Ensikertaisella suoritepäätöksellä jaetut tavoitteelliset opiskelijavuodet yhteensä 4]],0)</f>
        <v>0</v>
      </c>
      <c r="AZ76" s="207">
        <f>Opv.kohd.[[#This Row],[Yhteensä 7a]]-Opv.kohd.[[#This Row],[Työvoima-koulutus 7a]]</f>
        <v>0</v>
      </c>
      <c r="BA76" s="207">
        <f>IFERROR(VLOOKUP(Opv.kohd.[[#This Row],[Y-tunnus]],#REF!,COLUMN(#REF!),FALSE),0)</f>
        <v>0</v>
      </c>
      <c r="BB76" s="207">
        <f>IFERROR(VLOOKUP(Opv.kohd.[[#This Row],[Y-tunnus]],#REF!,COLUMN(#REF!),FALSE),0)</f>
        <v>0</v>
      </c>
      <c r="BC76" s="207">
        <f>Opv.kohd.[[#This Row],[Muu kuin työvoima-koulutus 7c]]-Opv.kohd.[[#This Row],[Muu kuin työvoima-koulutus 7a]]</f>
        <v>0</v>
      </c>
      <c r="BD76" s="207">
        <f>Opv.kohd.[[#This Row],[Työvoima-koulutus 7c]]-Opv.kohd.[[#This Row],[Työvoima-koulutus 7a]]</f>
        <v>0</v>
      </c>
      <c r="BE76" s="207">
        <f>Opv.kohd.[[#This Row],[Yhteensä 7c]]-Opv.kohd.[[#This Row],[Yhteensä 7a]]</f>
        <v>0</v>
      </c>
      <c r="BF76" s="207">
        <f>Opv.kohd.[[#This Row],[Yhteensä 7c]]-Opv.kohd.[[#This Row],[Työvoima-koulutus 7c]]</f>
        <v>0</v>
      </c>
      <c r="BG76" s="207">
        <f>IFERROR(VLOOKUP(Opv.kohd.[[#This Row],[Y-tunnus]],#REF!,COLUMN(#REF!),FALSE),0)</f>
        <v>0</v>
      </c>
      <c r="BH76" s="207">
        <f>IFERROR(VLOOKUP(Opv.kohd.[[#This Row],[Y-tunnus]],#REF!,COLUMN(#REF!),FALSE),0)</f>
        <v>0</v>
      </c>
      <c r="BI76" s="207">
        <f>IFERROR(VLOOKUP(Opv.kohd.[[#This Row],[Y-tunnus]],#REF!,COLUMN(#REF!),FALSE),0)</f>
        <v>0</v>
      </c>
      <c r="BJ76" s="207">
        <f>IFERROR(VLOOKUP(Opv.kohd.[[#This Row],[Y-tunnus]],#REF!,COLUMN(#REF!),FALSE),0)</f>
        <v>0</v>
      </c>
      <c r="BK76" s="207">
        <f>Opv.kohd.[[#This Row],[Muu kuin työvoima-koulutus 7d]]+Opv.kohd.[[#This Row],[Työvoima-koulutus 7d]]</f>
        <v>0</v>
      </c>
      <c r="BL76" s="207">
        <f>Opv.kohd.[[#This Row],[Muu kuin työvoima-koulutus 7c]]-Opv.kohd.[[#This Row],[Muu kuin työvoima-koulutus 7d]]</f>
        <v>0</v>
      </c>
      <c r="BM76" s="207">
        <f>Opv.kohd.[[#This Row],[Työvoima-koulutus 7c]]-Opv.kohd.[[#This Row],[Työvoima-koulutus 7d]]</f>
        <v>0</v>
      </c>
      <c r="BN76" s="207">
        <f>Opv.kohd.[[#This Row],[Yhteensä 7c]]-Opv.kohd.[[#This Row],[Yhteensä 7d]]</f>
        <v>0</v>
      </c>
      <c r="BO76" s="207">
        <f>Opv.kohd.[[#This Row],[Muu kuin työvoima-koulutus 7e]]-(Opv.kohd.[[#This Row],[Järjestämisluvan mukaiset 4]]+Opv.kohd.[[#This Row],[Kohdentamat-tomat 4]]+Opv.kohd.[[#This Row],[Maahan-muuttajien koulutus 4]]+Opv.kohd.[[#This Row],[Nuorisotyöt. väh. ja osaamistarp. vast., muu kuin työvoima-koulutus 4]])</f>
        <v>0</v>
      </c>
      <c r="BP76" s="207">
        <f>Opv.kohd.[[#This Row],[Työvoima-koulutus 7e]]-(Opv.kohd.[[#This Row],[Työvoima-koulutus 4]]+Opv.kohd.[[#This Row],[Nuorisotyöt. väh. ja osaamistarp. vast., työvoima-koulutus 4]])</f>
        <v>0</v>
      </c>
      <c r="BQ76" s="207">
        <f>Opv.kohd.[[#This Row],[Yhteensä 7e]]-Opv.kohd.[[#This Row],[Ensikertaisella suoritepäätöksellä jaetut tavoitteelliset opiskelijavuodet yhteensä 4]]</f>
        <v>0</v>
      </c>
      <c r="BR76" s="263">
        <v>32</v>
      </c>
      <c r="BS76" s="263">
        <v>2</v>
      </c>
      <c r="BT76" s="263">
        <v>0</v>
      </c>
      <c r="BU76" s="263">
        <v>0</v>
      </c>
      <c r="BV76" s="263">
        <v>0</v>
      </c>
      <c r="BW76" s="263">
        <v>0</v>
      </c>
      <c r="BX76" s="263">
        <v>2</v>
      </c>
      <c r="BY76" s="263">
        <v>34</v>
      </c>
      <c r="BZ76" s="207">
        <f t="shared" si="17"/>
        <v>32</v>
      </c>
      <c r="CA76" s="207">
        <f t="shared" si="18"/>
        <v>2</v>
      </c>
      <c r="CB76" s="207">
        <f t="shared" si="19"/>
        <v>0</v>
      </c>
      <c r="CC76" s="207">
        <f t="shared" si="20"/>
        <v>0</v>
      </c>
      <c r="CD76" s="207">
        <f t="shared" si="21"/>
        <v>0</v>
      </c>
      <c r="CE76" s="207">
        <f t="shared" si="22"/>
        <v>0</v>
      </c>
      <c r="CF76" s="207">
        <f t="shared" si="23"/>
        <v>2</v>
      </c>
      <c r="CG76" s="207">
        <f t="shared" si="24"/>
        <v>34</v>
      </c>
      <c r="CH76" s="207">
        <f>Opv.kohd.[[#This Row],[Tavoitteelliset opiskelijavuodet yhteensä 9]]-Opv.kohd.[[#This Row],[Työvoima-koulutus 9]]-Opv.kohd.[[#This Row],[Nuorisotyöt. väh. ja osaamistarp. vast., työvoima-koulutus 9]]-Opv.kohd.[[#This Row],[Muu kuin työvoima-koulutus 7e]]</f>
        <v>34</v>
      </c>
      <c r="CI76" s="207">
        <f>(Opv.kohd.[[#This Row],[Työvoima-koulutus 9]]+Opv.kohd.[[#This Row],[Nuorisotyöt. väh. ja osaamistarp. vast., työvoima-koulutus 9]])-Opv.kohd.[[#This Row],[Työvoima-koulutus 7e]]</f>
        <v>0</v>
      </c>
      <c r="CJ76" s="207">
        <f>Opv.kohd.[[#This Row],[Tavoitteelliset opiskelijavuodet yhteensä 9]]-Opv.kohd.[[#This Row],[Yhteensä 7e]]</f>
        <v>34</v>
      </c>
      <c r="CK76" s="207">
        <f>Opv.kohd.[[#This Row],[Järjestämisluvan mukaiset 4]]+Opv.kohd.[[#This Row],[Järjestämisluvan mukaiset 13]]</f>
        <v>0</v>
      </c>
      <c r="CL76" s="207">
        <f>Opv.kohd.[[#This Row],[Kohdentamat-tomat 4]]+Opv.kohd.[[#This Row],[Kohdentamat-tomat 13]]</f>
        <v>0</v>
      </c>
      <c r="CM76" s="207">
        <f>Opv.kohd.[[#This Row],[Työvoima-koulutus 4]]+Opv.kohd.[[#This Row],[Työvoima-koulutus 13]]</f>
        <v>0</v>
      </c>
      <c r="CN76" s="207">
        <f>Opv.kohd.[[#This Row],[Maahan-muuttajien koulutus 4]]+Opv.kohd.[[#This Row],[Maahan-muuttajien koulutus 13]]</f>
        <v>0</v>
      </c>
      <c r="CO76" s="207">
        <f>Opv.kohd.[[#This Row],[Nuorisotyöt. väh. ja osaamistarp. vast., muu kuin työvoima-koulutus 4]]+Opv.kohd.[[#This Row],[Nuorisotyöt. väh. ja osaamistarp. vast., muu kuin työvoima-koulutus 13]]</f>
        <v>0</v>
      </c>
      <c r="CP76" s="207">
        <f>Opv.kohd.[[#This Row],[Nuorisotyöt. väh. ja osaamistarp. vast., työvoima-koulutus 4]]+Opv.kohd.[[#This Row],[Nuorisotyöt. väh. ja osaamistarp. vast., työvoima-koulutus 13]]</f>
        <v>0</v>
      </c>
      <c r="CQ76" s="207">
        <f>Opv.kohd.[[#This Row],[Yhteensä 4]]+Opv.kohd.[[#This Row],[Yhteensä 13]]</f>
        <v>0</v>
      </c>
      <c r="CR76" s="207">
        <f>Opv.kohd.[[#This Row],[Ensikertaisella suoritepäätöksellä jaetut tavoitteelliset opiskelijavuodet yhteensä 4]]+Opv.kohd.[[#This Row],[Tavoitteelliset opiskelijavuodet yhteensä 13]]</f>
        <v>0</v>
      </c>
      <c r="CS76" s="120">
        <v>0</v>
      </c>
      <c r="CT76" s="120">
        <v>0</v>
      </c>
      <c r="CU76" s="120">
        <v>0</v>
      </c>
      <c r="CV76" s="120">
        <v>0</v>
      </c>
      <c r="CW76" s="120">
        <v>0</v>
      </c>
      <c r="CX76" s="120">
        <v>0</v>
      </c>
      <c r="CY76" s="120">
        <v>0</v>
      </c>
      <c r="CZ76" s="120">
        <v>0</v>
      </c>
      <c r="DA76" s="209">
        <f>IFERROR(Opv.kohd.[[#This Row],[Järjestämisluvan mukaiset 13]]/Opv.kohd.[[#This Row],[Järjestämisluvan mukaiset 12]],0)</f>
        <v>0</v>
      </c>
      <c r="DB76" s="209">
        <f>IFERROR(Opv.kohd.[[#This Row],[Kohdentamat-tomat 13]]/Opv.kohd.[[#This Row],[Kohdentamat-tomat 12]],0)</f>
        <v>0</v>
      </c>
      <c r="DC76" s="209">
        <f>IFERROR(Opv.kohd.[[#This Row],[Työvoima-koulutus 13]]/Opv.kohd.[[#This Row],[Työvoima-koulutus 12]],0)</f>
        <v>0</v>
      </c>
      <c r="DD76" s="209">
        <f>IFERROR(Opv.kohd.[[#This Row],[Maahan-muuttajien koulutus 13]]/Opv.kohd.[[#This Row],[Maahan-muuttajien koulutus 12]],0)</f>
        <v>0</v>
      </c>
      <c r="DE76" s="209">
        <f>IFERROR(Opv.kohd.[[#This Row],[Nuorisotyöt. väh. ja osaamistarp. vast., muu kuin työvoima-koulutus 13]]/Opv.kohd.[[#This Row],[Nuorisotyöt. väh. ja osaamistarp. vast., muu kuin työvoima-koulutus 12]],0)</f>
        <v>0</v>
      </c>
      <c r="DF76" s="209">
        <f>IFERROR(Opv.kohd.[[#This Row],[Nuorisotyöt. väh. ja osaamistarp. vast., työvoima-koulutus 13]]/Opv.kohd.[[#This Row],[Nuorisotyöt. väh. ja osaamistarp. vast., työvoima-koulutus 12]],0)</f>
        <v>0</v>
      </c>
      <c r="DG76" s="209">
        <f>IFERROR(Opv.kohd.[[#This Row],[Yhteensä 13]]/Opv.kohd.[[#This Row],[Yhteensä 12]],0)</f>
        <v>0</v>
      </c>
      <c r="DH76" s="209">
        <f>IFERROR(Opv.kohd.[[#This Row],[Tavoitteelliset opiskelijavuodet yhteensä 13]]/Opv.kohd.[[#This Row],[Tavoitteelliset opiskelijavuodet yhteensä 12]],0)</f>
        <v>0</v>
      </c>
      <c r="DI76" s="207">
        <f>Opv.kohd.[[#This Row],[Järjestämisluvan mukaiset 12]]-Opv.kohd.[[#This Row],[Järjestämisluvan mukaiset 9]]</f>
        <v>-32</v>
      </c>
      <c r="DJ76" s="207">
        <f>Opv.kohd.[[#This Row],[Kohdentamat-tomat 12]]-Opv.kohd.[[#This Row],[Kohdentamat-tomat 9]]</f>
        <v>-2</v>
      </c>
      <c r="DK76" s="207">
        <f>Opv.kohd.[[#This Row],[Työvoima-koulutus 12]]-Opv.kohd.[[#This Row],[Työvoima-koulutus 9]]</f>
        <v>0</v>
      </c>
      <c r="DL76" s="207">
        <f>Opv.kohd.[[#This Row],[Maahan-muuttajien koulutus 12]]-Opv.kohd.[[#This Row],[Maahan-muuttajien koulutus 9]]</f>
        <v>0</v>
      </c>
      <c r="DM76" s="207">
        <f>Opv.kohd.[[#This Row],[Nuorisotyöt. väh. ja osaamistarp. vast., muu kuin työvoima-koulutus 12]]-Opv.kohd.[[#This Row],[Nuorisotyöt. väh. ja osaamistarp. vast., muu kuin työvoima-koulutus 9]]</f>
        <v>0</v>
      </c>
      <c r="DN76" s="207">
        <f>Opv.kohd.[[#This Row],[Nuorisotyöt. väh. ja osaamistarp. vast., työvoima-koulutus 12]]-Opv.kohd.[[#This Row],[Nuorisotyöt. väh. ja osaamistarp. vast., työvoima-koulutus 9]]</f>
        <v>0</v>
      </c>
      <c r="DO76" s="207">
        <f>Opv.kohd.[[#This Row],[Yhteensä 12]]-Opv.kohd.[[#This Row],[Yhteensä 9]]</f>
        <v>-2</v>
      </c>
      <c r="DP76" s="207">
        <f>Opv.kohd.[[#This Row],[Tavoitteelliset opiskelijavuodet yhteensä 12]]-Opv.kohd.[[#This Row],[Tavoitteelliset opiskelijavuodet yhteensä 9]]</f>
        <v>-34</v>
      </c>
      <c r="DQ76" s="209">
        <f>IFERROR(Opv.kohd.[[#This Row],[Järjestämisluvan mukaiset 15]]/Opv.kohd.[[#This Row],[Järjestämisluvan mukaiset 9]],0)</f>
        <v>-1</v>
      </c>
      <c r="DR76" s="209">
        <f t="shared" si="25"/>
        <v>0</v>
      </c>
      <c r="DS76" s="209">
        <f t="shared" si="26"/>
        <v>0</v>
      </c>
      <c r="DT76" s="209">
        <f t="shared" si="27"/>
        <v>0</v>
      </c>
      <c r="DU76" s="209">
        <f t="shared" si="28"/>
        <v>0</v>
      </c>
      <c r="DV76" s="209">
        <f t="shared" si="29"/>
        <v>0</v>
      </c>
      <c r="DW76" s="209">
        <f t="shared" si="30"/>
        <v>0</v>
      </c>
      <c r="DX76" s="209">
        <f t="shared" si="31"/>
        <v>0</v>
      </c>
    </row>
    <row r="77" spans="1:128" x14ac:dyDescent="0.25">
      <c r="A77" s="204" t="e">
        <f>IF(INDEX(#REF!,ROW(77:77)-1,1)=0,"",INDEX(#REF!,ROW(77:77)-1,1))</f>
        <v>#REF!</v>
      </c>
      <c r="B77" s="205" t="str">
        <f>IFERROR(VLOOKUP(Opv.kohd.[[#This Row],[Y-tunnus]],'0 Järjestäjätiedot'!$A:$H,2,FALSE),"")</f>
        <v/>
      </c>
      <c r="C77" s="204" t="str">
        <f>IFERROR(VLOOKUP(Opv.kohd.[[#This Row],[Y-tunnus]],'0 Järjestäjätiedot'!$A:$H,COLUMN('0 Järjestäjätiedot'!D:D),FALSE),"")</f>
        <v/>
      </c>
      <c r="D77" s="204" t="str">
        <f>IFERROR(VLOOKUP(Opv.kohd.[[#This Row],[Y-tunnus]],'0 Järjestäjätiedot'!$A:$H,COLUMN('0 Järjestäjätiedot'!H:H),FALSE),"")</f>
        <v/>
      </c>
      <c r="E77" s="204">
        <f>IFERROR(VLOOKUP(Opv.kohd.[[#This Row],[Y-tunnus]],#REF!,COLUMN(#REF!),FALSE),0)</f>
        <v>0</v>
      </c>
      <c r="F77" s="204">
        <f>IFERROR(VLOOKUP(Opv.kohd.[[#This Row],[Y-tunnus]],#REF!,COLUMN(#REF!),FALSE),0)</f>
        <v>0</v>
      </c>
      <c r="G77" s="204">
        <f>IFERROR(VLOOKUP(Opv.kohd.[[#This Row],[Y-tunnus]],#REF!,COLUMN(#REF!),FALSE),0)</f>
        <v>0</v>
      </c>
      <c r="H77" s="204">
        <f>IFERROR(VLOOKUP(Opv.kohd.[[#This Row],[Y-tunnus]],#REF!,COLUMN(#REF!),FALSE),0)</f>
        <v>0</v>
      </c>
      <c r="I77" s="204">
        <f>IFERROR(VLOOKUP(Opv.kohd.[[#This Row],[Y-tunnus]],#REF!,COLUMN(#REF!),FALSE),0)</f>
        <v>0</v>
      </c>
      <c r="J77" s="204">
        <f>IFERROR(VLOOKUP(Opv.kohd.[[#This Row],[Y-tunnus]],#REF!,COLUMN(#REF!),FALSE),0)</f>
        <v>0</v>
      </c>
      <c r="K7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77" s="204">
        <f>Opv.kohd.[[#This Row],[Järjestämisluvan mukaiset 1]]+Opv.kohd.[[#This Row],[Yhteensä  1]]</f>
        <v>0</v>
      </c>
      <c r="M77" s="204">
        <f>IFERROR(VLOOKUP(Opv.kohd.[[#This Row],[Y-tunnus]],#REF!,COLUMN(#REF!),FALSE),0)</f>
        <v>0</v>
      </c>
      <c r="N77" s="204">
        <f>IFERROR(VLOOKUP(Opv.kohd.[[#This Row],[Y-tunnus]],#REF!,COLUMN(#REF!),FALSE),0)</f>
        <v>0</v>
      </c>
      <c r="O77" s="204">
        <f>IFERROR(VLOOKUP(Opv.kohd.[[#This Row],[Y-tunnus]],#REF!,COLUMN(#REF!),FALSE)+VLOOKUP(Opv.kohd.[[#This Row],[Y-tunnus]],#REF!,COLUMN(#REF!),FALSE),0)</f>
        <v>0</v>
      </c>
      <c r="P77" s="204">
        <f>Opv.kohd.[[#This Row],[Talousarvion perusteella kohdentamattomat]]+Opv.kohd.[[#This Row],[Talousarvion perusteella työvoimakoulutus 1]]+Opv.kohd.[[#This Row],[Lisätalousarvioiden perusteella]]</f>
        <v>0</v>
      </c>
      <c r="Q77" s="204">
        <f>IFERROR(VLOOKUP(Opv.kohd.[[#This Row],[Y-tunnus]],#REF!,COLUMN(#REF!),FALSE),0)</f>
        <v>0</v>
      </c>
      <c r="R77" s="210">
        <f>IFERROR(VLOOKUP(Opv.kohd.[[#This Row],[Y-tunnus]],#REF!,COLUMN(#REF!),FALSE)-(Opv.kohd.[[#This Row],[Kohdentamaton työvoima-koulutus 2]]+Opv.kohd.[[#This Row],[Maahan-muuttajien koulutus 2]]+Opv.kohd.[[#This Row],[Lisätalousarvioiden perusteella jaetut 2]]),0)</f>
        <v>0</v>
      </c>
      <c r="S77" s="210">
        <f>IFERROR(VLOOKUP(Opv.kohd.[[#This Row],[Y-tunnus]],#REF!,COLUMN(#REF!),FALSE)+VLOOKUP(Opv.kohd.[[#This Row],[Y-tunnus]],#REF!,COLUMN(#REF!),FALSE),0)</f>
        <v>0</v>
      </c>
      <c r="T77" s="210">
        <f>IFERROR(VLOOKUP(Opv.kohd.[[#This Row],[Y-tunnus]],#REF!,COLUMN(#REF!),FALSE)+VLOOKUP(Opv.kohd.[[#This Row],[Y-tunnus]],#REF!,COLUMN(#REF!),FALSE),0)</f>
        <v>0</v>
      </c>
      <c r="U7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77" s="210">
        <f>Opv.kohd.[[#This Row],[Kohdentamat-tomat 2]]+Opv.kohd.[[#This Row],[Kohdentamaton työvoima-koulutus 2]]+Opv.kohd.[[#This Row],[Maahan-muuttajien koulutus 2]]+Opv.kohd.[[#This Row],[Lisätalousarvioiden perusteella jaetut 2]]</f>
        <v>0</v>
      </c>
      <c r="W77" s="210">
        <f>Opv.kohd.[[#This Row],[Kohdentamat-tomat 2]]-(Opv.kohd.[[#This Row],[Järjestämisluvan mukaiset 1]]+Opv.kohd.[[#This Row],[Kohdentamat-tomat 1]]+Opv.kohd.[[#This Row],[Nuorisotyöt. väh. ja osaamistarp. vast., muu kuin työvoima-koulutus 1]]+Opv.kohd.[[#This Row],[Talousarvion perusteella kohdentamattomat]])</f>
        <v>0</v>
      </c>
      <c r="X77" s="210">
        <f>Opv.kohd.[[#This Row],[Kohdentamaton työvoima-koulutus 2]]-(Opv.kohd.[[#This Row],[Työvoima-koulutus 1]]+Opv.kohd.[[#This Row],[Nuorisotyöt. väh. ja osaamistarp. vast., työvoima-koulutus 1]]+Opv.kohd.[[#This Row],[Talousarvion perusteella työvoimakoulutus 1]])</f>
        <v>0</v>
      </c>
      <c r="Y77" s="210">
        <f>Opv.kohd.[[#This Row],[Maahan-muuttajien koulutus 2]]-Opv.kohd.[[#This Row],[Maahan-muuttajien koulutus 1]]</f>
        <v>0</v>
      </c>
      <c r="Z77" s="210">
        <f>Opv.kohd.[[#This Row],[Lisätalousarvioiden perusteella jaetut 2]]-Opv.kohd.[[#This Row],[Lisätalousarvioiden perusteella]]</f>
        <v>0</v>
      </c>
      <c r="AA77" s="210">
        <f>Opv.kohd.[[#This Row],[Toteutuneet opiskelijavuodet yhteensä 2]]-Opv.kohd.[[#This Row],[Vuoden 2018 tavoitteelliset opiskelijavuodet yhteensä 1]]</f>
        <v>0</v>
      </c>
      <c r="AB77" s="207">
        <f>IFERROR(VLOOKUP(Opv.kohd.[[#This Row],[Y-tunnus]],#REF!,3,FALSE),0)</f>
        <v>0</v>
      </c>
      <c r="AC77" s="207">
        <f>IFERROR(VLOOKUP(Opv.kohd.[[#This Row],[Y-tunnus]],#REF!,4,FALSE),0)</f>
        <v>0</v>
      </c>
      <c r="AD77" s="207">
        <f>IFERROR(VLOOKUP(Opv.kohd.[[#This Row],[Y-tunnus]],#REF!,5,FALSE),0)</f>
        <v>0</v>
      </c>
      <c r="AE77" s="207">
        <f>IFERROR(VLOOKUP(Opv.kohd.[[#This Row],[Y-tunnus]],#REF!,6,FALSE),0)</f>
        <v>0</v>
      </c>
      <c r="AF77" s="207">
        <f>IFERROR(VLOOKUP(Opv.kohd.[[#This Row],[Y-tunnus]],#REF!,7,FALSE),0)</f>
        <v>0</v>
      </c>
      <c r="AG77" s="207">
        <f>IFERROR(VLOOKUP(Opv.kohd.[[#This Row],[Y-tunnus]],#REF!,8,FALSE),0)</f>
        <v>0</v>
      </c>
      <c r="AH77" s="207">
        <f>IFERROR(VLOOKUP(Opv.kohd.[[#This Row],[Y-tunnus]],#REF!,9,FALSE),0)</f>
        <v>0</v>
      </c>
      <c r="AI77" s="207">
        <f>IFERROR(VLOOKUP(Opv.kohd.[[#This Row],[Y-tunnus]],#REF!,10,FALSE),0)</f>
        <v>0</v>
      </c>
      <c r="AJ77" s="204">
        <f>Opv.kohd.[[#This Row],[Järjestämisluvan mukaiset 4]]-Opv.kohd.[[#This Row],[Järjestämisluvan mukaiset 1]]</f>
        <v>0</v>
      </c>
      <c r="AK77" s="204">
        <f>Opv.kohd.[[#This Row],[Kohdentamat-tomat 4]]-Opv.kohd.[[#This Row],[Kohdentamat-tomat 1]]</f>
        <v>0</v>
      </c>
      <c r="AL77" s="204">
        <f>Opv.kohd.[[#This Row],[Työvoima-koulutus 4]]-Opv.kohd.[[#This Row],[Työvoima-koulutus 1]]</f>
        <v>0</v>
      </c>
      <c r="AM77" s="204">
        <f>Opv.kohd.[[#This Row],[Maahan-muuttajien koulutus 4]]-Opv.kohd.[[#This Row],[Maahan-muuttajien koulutus 1]]</f>
        <v>0</v>
      </c>
      <c r="AN77" s="204">
        <f>Opv.kohd.[[#This Row],[Nuorisotyöt. väh. ja osaamistarp. vast., muu kuin työvoima-koulutus 4]]-Opv.kohd.[[#This Row],[Nuorisotyöt. väh. ja osaamistarp. vast., muu kuin työvoima-koulutus 1]]</f>
        <v>0</v>
      </c>
      <c r="AO77" s="204">
        <f>Opv.kohd.[[#This Row],[Nuorisotyöt. väh. ja osaamistarp. vast., työvoima-koulutus 4]]-Opv.kohd.[[#This Row],[Nuorisotyöt. väh. ja osaamistarp. vast., työvoima-koulutus 1]]</f>
        <v>0</v>
      </c>
      <c r="AP77" s="204">
        <f>Opv.kohd.[[#This Row],[Yhteensä 4]]-Opv.kohd.[[#This Row],[Yhteensä  1]]</f>
        <v>0</v>
      </c>
      <c r="AQ77" s="204">
        <f>Opv.kohd.[[#This Row],[Ensikertaisella suoritepäätöksellä jaetut tavoitteelliset opiskelijavuodet yhteensä 4]]-Opv.kohd.[[#This Row],[Ensikertaisella suoritepäätöksellä jaetut tavoitteelliset opiskelijavuodet yhteensä 1]]</f>
        <v>0</v>
      </c>
      <c r="AR77" s="208">
        <f>IFERROR(Opv.kohd.[[#This Row],[Järjestämisluvan mukaiset 5]]/Opv.kohd.[[#This Row],[Järjestämisluvan mukaiset 4]],0)</f>
        <v>0</v>
      </c>
      <c r="AS77" s="208">
        <f>IFERROR(Opv.kohd.[[#This Row],[Kohdentamat-tomat 5]]/Opv.kohd.[[#This Row],[Kohdentamat-tomat 4]],0)</f>
        <v>0</v>
      </c>
      <c r="AT77" s="208">
        <f>IFERROR(Opv.kohd.[[#This Row],[Työvoima-koulutus 5]]/Opv.kohd.[[#This Row],[Työvoima-koulutus 4]],0)</f>
        <v>0</v>
      </c>
      <c r="AU77" s="208">
        <f>IFERROR(Opv.kohd.[[#This Row],[Maahan-muuttajien koulutus 5]]/Opv.kohd.[[#This Row],[Maahan-muuttajien koulutus 4]],0)</f>
        <v>0</v>
      </c>
      <c r="AV77" s="208">
        <f>IFERROR(Opv.kohd.[[#This Row],[Nuorisotyöt. väh. ja osaamistarp. vast., muu kuin työvoima-koulutus 5]]/Opv.kohd.[[#This Row],[Nuorisotyöt. väh. ja osaamistarp. vast., muu kuin työvoima-koulutus 4]],0)</f>
        <v>0</v>
      </c>
      <c r="AW77" s="208">
        <f>IFERROR(Opv.kohd.[[#This Row],[Nuorisotyöt. väh. ja osaamistarp. vast., työvoima-koulutus 5]]/Opv.kohd.[[#This Row],[Nuorisotyöt. väh. ja osaamistarp. vast., työvoima-koulutus 4]],0)</f>
        <v>0</v>
      </c>
      <c r="AX77" s="208">
        <f>IFERROR(Opv.kohd.[[#This Row],[Yhteensä 5]]/Opv.kohd.[[#This Row],[Yhteensä 4]],0)</f>
        <v>0</v>
      </c>
      <c r="AY77" s="208">
        <f>IFERROR(Opv.kohd.[[#This Row],[Ensikertaisella suoritepäätöksellä jaetut tavoitteelliset opiskelijavuodet yhteensä 5]]/Opv.kohd.[[#This Row],[Ensikertaisella suoritepäätöksellä jaetut tavoitteelliset opiskelijavuodet yhteensä 4]],0)</f>
        <v>0</v>
      </c>
      <c r="AZ77" s="207">
        <f>Opv.kohd.[[#This Row],[Yhteensä 7a]]-Opv.kohd.[[#This Row],[Työvoima-koulutus 7a]]</f>
        <v>0</v>
      </c>
      <c r="BA77" s="207">
        <f>IFERROR(VLOOKUP(Opv.kohd.[[#This Row],[Y-tunnus]],#REF!,COLUMN(#REF!),FALSE),0)</f>
        <v>0</v>
      </c>
      <c r="BB77" s="207">
        <f>IFERROR(VLOOKUP(Opv.kohd.[[#This Row],[Y-tunnus]],#REF!,COLUMN(#REF!),FALSE),0)</f>
        <v>0</v>
      </c>
      <c r="BC77" s="207">
        <f>Opv.kohd.[[#This Row],[Muu kuin työvoima-koulutus 7c]]-Opv.kohd.[[#This Row],[Muu kuin työvoima-koulutus 7a]]</f>
        <v>0</v>
      </c>
      <c r="BD77" s="207">
        <f>Opv.kohd.[[#This Row],[Työvoima-koulutus 7c]]-Opv.kohd.[[#This Row],[Työvoima-koulutus 7a]]</f>
        <v>0</v>
      </c>
      <c r="BE77" s="207">
        <f>Opv.kohd.[[#This Row],[Yhteensä 7c]]-Opv.kohd.[[#This Row],[Yhteensä 7a]]</f>
        <v>0</v>
      </c>
      <c r="BF77" s="207">
        <f>Opv.kohd.[[#This Row],[Yhteensä 7c]]-Opv.kohd.[[#This Row],[Työvoima-koulutus 7c]]</f>
        <v>0</v>
      </c>
      <c r="BG77" s="207">
        <f>IFERROR(VLOOKUP(Opv.kohd.[[#This Row],[Y-tunnus]],#REF!,COLUMN(#REF!),FALSE),0)</f>
        <v>0</v>
      </c>
      <c r="BH77" s="207">
        <f>IFERROR(VLOOKUP(Opv.kohd.[[#This Row],[Y-tunnus]],#REF!,COLUMN(#REF!),FALSE),0)</f>
        <v>0</v>
      </c>
      <c r="BI77" s="207">
        <f>IFERROR(VLOOKUP(Opv.kohd.[[#This Row],[Y-tunnus]],#REF!,COLUMN(#REF!),FALSE),0)</f>
        <v>0</v>
      </c>
      <c r="BJ77" s="207">
        <f>IFERROR(VLOOKUP(Opv.kohd.[[#This Row],[Y-tunnus]],#REF!,COLUMN(#REF!),FALSE),0)</f>
        <v>0</v>
      </c>
      <c r="BK77" s="207">
        <f>Opv.kohd.[[#This Row],[Muu kuin työvoima-koulutus 7d]]+Opv.kohd.[[#This Row],[Työvoima-koulutus 7d]]</f>
        <v>0</v>
      </c>
      <c r="BL77" s="207">
        <f>Opv.kohd.[[#This Row],[Muu kuin työvoima-koulutus 7c]]-Opv.kohd.[[#This Row],[Muu kuin työvoima-koulutus 7d]]</f>
        <v>0</v>
      </c>
      <c r="BM77" s="207">
        <f>Opv.kohd.[[#This Row],[Työvoima-koulutus 7c]]-Opv.kohd.[[#This Row],[Työvoima-koulutus 7d]]</f>
        <v>0</v>
      </c>
      <c r="BN77" s="207">
        <f>Opv.kohd.[[#This Row],[Yhteensä 7c]]-Opv.kohd.[[#This Row],[Yhteensä 7d]]</f>
        <v>0</v>
      </c>
      <c r="BO77" s="207">
        <f>Opv.kohd.[[#This Row],[Muu kuin työvoima-koulutus 7e]]-(Opv.kohd.[[#This Row],[Järjestämisluvan mukaiset 4]]+Opv.kohd.[[#This Row],[Kohdentamat-tomat 4]]+Opv.kohd.[[#This Row],[Maahan-muuttajien koulutus 4]]+Opv.kohd.[[#This Row],[Nuorisotyöt. väh. ja osaamistarp. vast., muu kuin työvoima-koulutus 4]])</f>
        <v>0</v>
      </c>
      <c r="BP77" s="207">
        <f>Opv.kohd.[[#This Row],[Työvoima-koulutus 7e]]-(Opv.kohd.[[#This Row],[Työvoima-koulutus 4]]+Opv.kohd.[[#This Row],[Nuorisotyöt. väh. ja osaamistarp. vast., työvoima-koulutus 4]])</f>
        <v>0</v>
      </c>
      <c r="BQ77" s="207">
        <f>Opv.kohd.[[#This Row],[Yhteensä 7e]]-Opv.kohd.[[#This Row],[Ensikertaisella suoritepäätöksellä jaetut tavoitteelliset opiskelijavuodet yhteensä 4]]</f>
        <v>0</v>
      </c>
      <c r="BR77" s="263">
        <v>0</v>
      </c>
      <c r="BS77" s="263">
        <v>0</v>
      </c>
      <c r="BT77" s="263">
        <v>0</v>
      </c>
      <c r="BU77" s="263">
        <v>0</v>
      </c>
      <c r="BV77" s="263">
        <v>0</v>
      </c>
      <c r="BW77" s="263">
        <v>0</v>
      </c>
      <c r="BX77" s="263">
        <v>0</v>
      </c>
      <c r="BY77" s="263">
        <v>0</v>
      </c>
      <c r="BZ77" s="207">
        <f t="shared" si="17"/>
        <v>0</v>
      </c>
      <c r="CA77" s="207">
        <f t="shared" si="18"/>
        <v>0</v>
      </c>
      <c r="CB77" s="207">
        <f t="shared" si="19"/>
        <v>0</v>
      </c>
      <c r="CC77" s="207">
        <f t="shared" si="20"/>
        <v>0</v>
      </c>
      <c r="CD77" s="207">
        <f t="shared" si="21"/>
        <v>0</v>
      </c>
      <c r="CE77" s="207">
        <f t="shared" si="22"/>
        <v>0</v>
      </c>
      <c r="CF77" s="207">
        <f t="shared" si="23"/>
        <v>0</v>
      </c>
      <c r="CG77" s="207">
        <f t="shared" si="24"/>
        <v>0</v>
      </c>
      <c r="CH77" s="207">
        <f>Opv.kohd.[[#This Row],[Tavoitteelliset opiskelijavuodet yhteensä 9]]-Opv.kohd.[[#This Row],[Työvoima-koulutus 9]]-Opv.kohd.[[#This Row],[Nuorisotyöt. väh. ja osaamistarp. vast., työvoima-koulutus 9]]-Opv.kohd.[[#This Row],[Muu kuin työvoima-koulutus 7e]]</f>
        <v>0</v>
      </c>
      <c r="CI77" s="207">
        <f>(Opv.kohd.[[#This Row],[Työvoima-koulutus 9]]+Opv.kohd.[[#This Row],[Nuorisotyöt. väh. ja osaamistarp. vast., työvoima-koulutus 9]])-Opv.kohd.[[#This Row],[Työvoima-koulutus 7e]]</f>
        <v>0</v>
      </c>
      <c r="CJ77" s="207">
        <f>Opv.kohd.[[#This Row],[Tavoitteelliset opiskelijavuodet yhteensä 9]]-Opv.kohd.[[#This Row],[Yhteensä 7e]]</f>
        <v>0</v>
      </c>
      <c r="CK77" s="207">
        <f>Opv.kohd.[[#This Row],[Järjestämisluvan mukaiset 4]]+Opv.kohd.[[#This Row],[Järjestämisluvan mukaiset 13]]</f>
        <v>0</v>
      </c>
      <c r="CL77" s="207">
        <f>Opv.kohd.[[#This Row],[Kohdentamat-tomat 4]]+Opv.kohd.[[#This Row],[Kohdentamat-tomat 13]]</f>
        <v>0</v>
      </c>
      <c r="CM77" s="207">
        <f>Opv.kohd.[[#This Row],[Työvoima-koulutus 4]]+Opv.kohd.[[#This Row],[Työvoima-koulutus 13]]</f>
        <v>0</v>
      </c>
      <c r="CN77" s="207">
        <f>Opv.kohd.[[#This Row],[Maahan-muuttajien koulutus 4]]+Opv.kohd.[[#This Row],[Maahan-muuttajien koulutus 13]]</f>
        <v>0</v>
      </c>
      <c r="CO77" s="207">
        <f>Opv.kohd.[[#This Row],[Nuorisotyöt. väh. ja osaamistarp. vast., muu kuin työvoima-koulutus 4]]+Opv.kohd.[[#This Row],[Nuorisotyöt. väh. ja osaamistarp. vast., muu kuin työvoima-koulutus 13]]</f>
        <v>0</v>
      </c>
      <c r="CP77" s="207">
        <f>Opv.kohd.[[#This Row],[Nuorisotyöt. väh. ja osaamistarp. vast., työvoima-koulutus 4]]+Opv.kohd.[[#This Row],[Nuorisotyöt. väh. ja osaamistarp. vast., työvoima-koulutus 13]]</f>
        <v>0</v>
      </c>
      <c r="CQ77" s="207">
        <f>Opv.kohd.[[#This Row],[Yhteensä 4]]+Opv.kohd.[[#This Row],[Yhteensä 13]]</f>
        <v>0</v>
      </c>
      <c r="CR77" s="207">
        <f>Opv.kohd.[[#This Row],[Ensikertaisella suoritepäätöksellä jaetut tavoitteelliset opiskelijavuodet yhteensä 4]]+Opv.kohd.[[#This Row],[Tavoitteelliset opiskelijavuodet yhteensä 13]]</f>
        <v>0</v>
      </c>
      <c r="CS77" s="120">
        <v>0</v>
      </c>
      <c r="CT77" s="120">
        <v>0</v>
      </c>
      <c r="CU77" s="120">
        <v>0</v>
      </c>
      <c r="CV77" s="120">
        <v>0</v>
      </c>
      <c r="CW77" s="120">
        <v>0</v>
      </c>
      <c r="CX77" s="120">
        <v>0</v>
      </c>
      <c r="CY77" s="120">
        <v>0</v>
      </c>
      <c r="CZ77" s="120">
        <v>0</v>
      </c>
      <c r="DA77" s="209">
        <f>IFERROR(Opv.kohd.[[#This Row],[Järjestämisluvan mukaiset 13]]/Opv.kohd.[[#This Row],[Järjestämisluvan mukaiset 12]],0)</f>
        <v>0</v>
      </c>
      <c r="DB77" s="209">
        <f>IFERROR(Opv.kohd.[[#This Row],[Kohdentamat-tomat 13]]/Opv.kohd.[[#This Row],[Kohdentamat-tomat 12]],0)</f>
        <v>0</v>
      </c>
      <c r="DC77" s="209">
        <f>IFERROR(Opv.kohd.[[#This Row],[Työvoima-koulutus 13]]/Opv.kohd.[[#This Row],[Työvoima-koulutus 12]],0)</f>
        <v>0</v>
      </c>
      <c r="DD77" s="209">
        <f>IFERROR(Opv.kohd.[[#This Row],[Maahan-muuttajien koulutus 13]]/Opv.kohd.[[#This Row],[Maahan-muuttajien koulutus 12]],0)</f>
        <v>0</v>
      </c>
      <c r="DE77" s="209">
        <f>IFERROR(Opv.kohd.[[#This Row],[Nuorisotyöt. väh. ja osaamistarp. vast., muu kuin työvoima-koulutus 13]]/Opv.kohd.[[#This Row],[Nuorisotyöt. väh. ja osaamistarp. vast., muu kuin työvoima-koulutus 12]],0)</f>
        <v>0</v>
      </c>
      <c r="DF77" s="209">
        <f>IFERROR(Opv.kohd.[[#This Row],[Nuorisotyöt. väh. ja osaamistarp. vast., työvoima-koulutus 13]]/Opv.kohd.[[#This Row],[Nuorisotyöt. väh. ja osaamistarp. vast., työvoima-koulutus 12]],0)</f>
        <v>0</v>
      </c>
      <c r="DG77" s="209">
        <f>IFERROR(Opv.kohd.[[#This Row],[Yhteensä 13]]/Opv.kohd.[[#This Row],[Yhteensä 12]],0)</f>
        <v>0</v>
      </c>
      <c r="DH77" s="209">
        <f>IFERROR(Opv.kohd.[[#This Row],[Tavoitteelliset opiskelijavuodet yhteensä 13]]/Opv.kohd.[[#This Row],[Tavoitteelliset opiskelijavuodet yhteensä 12]],0)</f>
        <v>0</v>
      </c>
      <c r="DI77" s="207">
        <f>Opv.kohd.[[#This Row],[Järjestämisluvan mukaiset 12]]-Opv.kohd.[[#This Row],[Järjestämisluvan mukaiset 9]]</f>
        <v>0</v>
      </c>
      <c r="DJ77" s="207">
        <f>Opv.kohd.[[#This Row],[Kohdentamat-tomat 12]]-Opv.kohd.[[#This Row],[Kohdentamat-tomat 9]]</f>
        <v>0</v>
      </c>
      <c r="DK77" s="207">
        <f>Opv.kohd.[[#This Row],[Työvoima-koulutus 12]]-Opv.kohd.[[#This Row],[Työvoima-koulutus 9]]</f>
        <v>0</v>
      </c>
      <c r="DL77" s="207">
        <f>Opv.kohd.[[#This Row],[Maahan-muuttajien koulutus 12]]-Opv.kohd.[[#This Row],[Maahan-muuttajien koulutus 9]]</f>
        <v>0</v>
      </c>
      <c r="DM77" s="207">
        <f>Opv.kohd.[[#This Row],[Nuorisotyöt. väh. ja osaamistarp. vast., muu kuin työvoima-koulutus 12]]-Opv.kohd.[[#This Row],[Nuorisotyöt. väh. ja osaamistarp. vast., muu kuin työvoima-koulutus 9]]</f>
        <v>0</v>
      </c>
      <c r="DN77" s="207">
        <f>Opv.kohd.[[#This Row],[Nuorisotyöt. väh. ja osaamistarp. vast., työvoima-koulutus 12]]-Opv.kohd.[[#This Row],[Nuorisotyöt. väh. ja osaamistarp. vast., työvoima-koulutus 9]]</f>
        <v>0</v>
      </c>
      <c r="DO77" s="207">
        <f>Opv.kohd.[[#This Row],[Yhteensä 12]]-Opv.kohd.[[#This Row],[Yhteensä 9]]</f>
        <v>0</v>
      </c>
      <c r="DP77" s="207">
        <f>Opv.kohd.[[#This Row],[Tavoitteelliset opiskelijavuodet yhteensä 12]]-Opv.kohd.[[#This Row],[Tavoitteelliset opiskelijavuodet yhteensä 9]]</f>
        <v>0</v>
      </c>
      <c r="DQ77" s="209">
        <f>IFERROR(Opv.kohd.[[#This Row],[Järjestämisluvan mukaiset 15]]/Opv.kohd.[[#This Row],[Järjestämisluvan mukaiset 9]],0)</f>
        <v>0</v>
      </c>
      <c r="DR77" s="209">
        <f t="shared" si="25"/>
        <v>0</v>
      </c>
      <c r="DS77" s="209">
        <f t="shared" si="26"/>
        <v>0</v>
      </c>
      <c r="DT77" s="209">
        <f t="shared" si="27"/>
        <v>0</v>
      </c>
      <c r="DU77" s="209">
        <f t="shared" si="28"/>
        <v>0</v>
      </c>
      <c r="DV77" s="209">
        <f t="shared" si="29"/>
        <v>0</v>
      </c>
      <c r="DW77" s="209">
        <f t="shared" si="30"/>
        <v>0</v>
      </c>
      <c r="DX77" s="209">
        <f t="shared" si="31"/>
        <v>0</v>
      </c>
    </row>
    <row r="78" spans="1:128" x14ac:dyDescent="0.25">
      <c r="A78" s="204" t="e">
        <f>IF(INDEX(#REF!,ROW(78:78)-1,1)=0,"",INDEX(#REF!,ROW(78:78)-1,1))</f>
        <v>#REF!</v>
      </c>
      <c r="B78" s="205" t="str">
        <f>IFERROR(VLOOKUP(Opv.kohd.[[#This Row],[Y-tunnus]],'0 Järjestäjätiedot'!$A:$H,2,FALSE),"")</f>
        <v/>
      </c>
      <c r="C78" s="204" t="str">
        <f>IFERROR(VLOOKUP(Opv.kohd.[[#This Row],[Y-tunnus]],'0 Järjestäjätiedot'!$A:$H,COLUMN('0 Järjestäjätiedot'!D:D),FALSE),"")</f>
        <v/>
      </c>
      <c r="D78" s="204" t="str">
        <f>IFERROR(VLOOKUP(Opv.kohd.[[#This Row],[Y-tunnus]],'0 Järjestäjätiedot'!$A:$H,COLUMN('0 Järjestäjätiedot'!H:H),FALSE),"")</f>
        <v/>
      </c>
      <c r="E78" s="204">
        <f>IFERROR(VLOOKUP(Opv.kohd.[[#This Row],[Y-tunnus]],#REF!,COLUMN(#REF!),FALSE),0)</f>
        <v>0</v>
      </c>
      <c r="F78" s="204">
        <f>IFERROR(VLOOKUP(Opv.kohd.[[#This Row],[Y-tunnus]],#REF!,COLUMN(#REF!),FALSE),0)</f>
        <v>0</v>
      </c>
      <c r="G78" s="204">
        <f>IFERROR(VLOOKUP(Opv.kohd.[[#This Row],[Y-tunnus]],#REF!,COLUMN(#REF!),FALSE),0)</f>
        <v>0</v>
      </c>
      <c r="H78" s="204">
        <f>IFERROR(VLOOKUP(Opv.kohd.[[#This Row],[Y-tunnus]],#REF!,COLUMN(#REF!),FALSE),0)</f>
        <v>0</v>
      </c>
      <c r="I78" s="204">
        <f>IFERROR(VLOOKUP(Opv.kohd.[[#This Row],[Y-tunnus]],#REF!,COLUMN(#REF!),FALSE),0)</f>
        <v>0</v>
      </c>
      <c r="J78" s="204">
        <f>IFERROR(VLOOKUP(Opv.kohd.[[#This Row],[Y-tunnus]],#REF!,COLUMN(#REF!),FALSE),0)</f>
        <v>0</v>
      </c>
      <c r="K7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78" s="204">
        <f>Opv.kohd.[[#This Row],[Järjestämisluvan mukaiset 1]]+Opv.kohd.[[#This Row],[Yhteensä  1]]</f>
        <v>0</v>
      </c>
      <c r="M78" s="204">
        <f>IFERROR(VLOOKUP(Opv.kohd.[[#This Row],[Y-tunnus]],#REF!,COLUMN(#REF!),FALSE),0)</f>
        <v>0</v>
      </c>
      <c r="N78" s="204">
        <f>IFERROR(VLOOKUP(Opv.kohd.[[#This Row],[Y-tunnus]],#REF!,COLUMN(#REF!),FALSE),0)</f>
        <v>0</v>
      </c>
      <c r="O78" s="204">
        <f>IFERROR(VLOOKUP(Opv.kohd.[[#This Row],[Y-tunnus]],#REF!,COLUMN(#REF!),FALSE)+VLOOKUP(Opv.kohd.[[#This Row],[Y-tunnus]],#REF!,COLUMN(#REF!),FALSE),0)</f>
        <v>0</v>
      </c>
      <c r="P78" s="204">
        <f>Opv.kohd.[[#This Row],[Talousarvion perusteella kohdentamattomat]]+Opv.kohd.[[#This Row],[Talousarvion perusteella työvoimakoulutus 1]]+Opv.kohd.[[#This Row],[Lisätalousarvioiden perusteella]]</f>
        <v>0</v>
      </c>
      <c r="Q78" s="204">
        <f>IFERROR(VLOOKUP(Opv.kohd.[[#This Row],[Y-tunnus]],#REF!,COLUMN(#REF!),FALSE),0)</f>
        <v>0</v>
      </c>
      <c r="R78" s="210">
        <f>IFERROR(VLOOKUP(Opv.kohd.[[#This Row],[Y-tunnus]],#REF!,COLUMN(#REF!),FALSE)-(Opv.kohd.[[#This Row],[Kohdentamaton työvoima-koulutus 2]]+Opv.kohd.[[#This Row],[Maahan-muuttajien koulutus 2]]+Opv.kohd.[[#This Row],[Lisätalousarvioiden perusteella jaetut 2]]),0)</f>
        <v>0</v>
      </c>
      <c r="S78" s="210">
        <f>IFERROR(VLOOKUP(Opv.kohd.[[#This Row],[Y-tunnus]],#REF!,COLUMN(#REF!),FALSE)+VLOOKUP(Opv.kohd.[[#This Row],[Y-tunnus]],#REF!,COLUMN(#REF!),FALSE),0)</f>
        <v>0</v>
      </c>
      <c r="T78" s="210">
        <f>IFERROR(VLOOKUP(Opv.kohd.[[#This Row],[Y-tunnus]],#REF!,COLUMN(#REF!),FALSE)+VLOOKUP(Opv.kohd.[[#This Row],[Y-tunnus]],#REF!,COLUMN(#REF!),FALSE),0)</f>
        <v>0</v>
      </c>
      <c r="U7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78" s="210">
        <f>Opv.kohd.[[#This Row],[Kohdentamat-tomat 2]]+Opv.kohd.[[#This Row],[Kohdentamaton työvoima-koulutus 2]]+Opv.kohd.[[#This Row],[Maahan-muuttajien koulutus 2]]+Opv.kohd.[[#This Row],[Lisätalousarvioiden perusteella jaetut 2]]</f>
        <v>0</v>
      </c>
      <c r="W78" s="210">
        <f>Opv.kohd.[[#This Row],[Kohdentamat-tomat 2]]-(Opv.kohd.[[#This Row],[Järjestämisluvan mukaiset 1]]+Opv.kohd.[[#This Row],[Kohdentamat-tomat 1]]+Opv.kohd.[[#This Row],[Nuorisotyöt. väh. ja osaamistarp. vast., muu kuin työvoima-koulutus 1]]+Opv.kohd.[[#This Row],[Talousarvion perusteella kohdentamattomat]])</f>
        <v>0</v>
      </c>
      <c r="X78" s="210">
        <f>Opv.kohd.[[#This Row],[Kohdentamaton työvoima-koulutus 2]]-(Opv.kohd.[[#This Row],[Työvoima-koulutus 1]]+Opv.kohd.[[#This Row],[Nuorisotyöt. väh. ja osaamistarp. vast., työvoima-koulutus 1]]+Opv.kohd.[[#This Row],[Talousarvion perusteella työvoimakoulutus 1]])</f>
        <v>0</v>
      </c>
      <c r="Y78" s="210">
        <f>Opv.kohd.[[#This Row],[Maahan-muuttajien koulutus 2]]-Opv.kohd.[[#This Row],[Maahan-muuttajien koulutus 1]]</f>
        <v>0</v>
      </c>
      <c r="Z78" s="210">
        <f>Opv.kohd.[[#This Row],[Lisätalousarvioiden perusteella jaetut 2]]-Opv.kohd.[[#This Row],[Lisätalousarvioiden perusteella]]</f>
        <v>0</v>
      </c>
      <c r="AA78" s="210">
        <f>Opv.kohd.[[#This Row],[Toteutuneet opiskelijavuodet yhteensä 2]]-Opv.kohd.[[#This Row],[Vuoden 2018 tavoitteelliset opiskelijavuodet yhteensä 1]]</f>
        <v>0</v>
      </c>
      <c r="AB78" s="207">
        <f>IFERROR(VLOOKUP(Opv.kohd.[[#This Row],[Y-tunnus]],#REF!,3,FALSE),0)</f>
        <v>0</v>
      </c>
      <c r="AC78" s="207">
        <f>IFERROR(VLOOKUP(Opv.kohd.[[#This Row],[Y-tunnus]],#REF!,4,FALSE),0)</f>
        <v>0</v>
      </c>
      <c r="AD78" s="207">
        <f>IFERROR(VLOOKUP(Opv.kohd.[[#This Row],[Y-tunnus]],#REF!,5,FALSE),0)</f>
        <v>0</v>
      </c>
      <c r="AE78" s="207">
        <f>IFERROR(VLOOKUP(Opv.kohd.[[#This Row],[Y-tunnus]],#REF!,6,FALSE),0)</f>
        <v>0</v>
      </c>
      <c r="AF78" s="207">
        <f>IFERROR(VLOOKUP(Opv.kohd.[[#This Row],[Y-tunnus]],#REF!,7,FALSE),0)</f>
        <v>0</v>
      </c>
      <c r="AG78" s="207">
        <f>IFERROR(VLOOKUP(Opv.kohd.[[#This Row],[Y-tunnus]],#REF!,8,FALSE),0)</f>
        <v>0</v>
      </c>
      <c r="AH78" s="207">
        <f>IFERROR(VLOOKUP(Opv.kohd.[[#This Row],[Y-tunnus]],#REF!,9,FALSE),0)</f>
        <v>0</v>
      </c>
      <c r="AI78" s="207">
        <f>IFERROR(VLOOKUP(Opv.kohd.[[#This Row],[Y-tunnus]],#REF!,10,FALSE),0)</f>
        <v>0</v>
      </c>
      <c r="AJ78" s="204">
        <f>Opv.kohd.[[#This Row],[Järjestämisluvan mukaiset 4]]-Opv.kohd.[[#This Row],[Järjestämisluvan mukaiset 1]]</f>
        <v>0</v>
      </c>
      <c r="AK78" s="204">
        <f>Opv.kohd.[[#This Row],[Kohdentamat-tomat 4]]-Opv.kohd.[[#This Row],[Kohdentamat-tomat 1]]</f>
        <v>0</v>
      </c>
      <c r="AL78" s="204">
        <f>Opv.kohd.[[#This Row],[Työvoima-koulutus 4]]-Opv.kohd.[[#This Row],[Työvoima-koulutus 1]]</f>
        <v>0</v>
      </c>
      <c r="AM78" s="204">
        <f>Opv.kohd.[[#This Row],[Maahan-muuttajien koulutus 4]]-Opv.kohd.[[#This Row],[Maahan-muuttajien koulutus 1]]</f>
        <v>0</v>
      </c>
      <c r="AN78" s="204">
        <f>Opv.kohd.[[#This Row],[Nuorisotyöt. väh. ja osaamistarp. vast., muu kuin työvoima-koulutus 4]]-Opv.kohd.[[#This Row],[Nuorisotyöt. väh. ja osaamistarp. vast., muu kuin työvoima-koulutus 1]]</f>
        <v>0</v>
      </c>
      <c r="AO78" s="204">
        <f>Opv.kohd.[[#This Row],[Nuorisotyöt. väh. ja osaamistarp. vast., työvoima-koulutus 4]]-Opv.kohd.[[#This Row],[Nuorisotyöt. väh. ja osaamistarp. vast., työvoima-koulutus 1]]</f>
        <v>0</v>
      </c>
      <c r="AP78" s="204">
        <f>Opv.kohd.[[#This Row],[Yhteensä 4]]-Opv.kohd.[[#This Row],[Yhteensä  1]]</f>
        <v>0</v>
      </c>
      <c r="AQ78" s="204">
        <f>Opv.kohd.[[#This Row],[Ensikertaisella suoritepäätöksellä jaetut tavoitteelliset opiskelijavuodet yhteensä 4]]-Opv.kohd.[[#This Row],[Ensikertaisella suoritepäätöksellä jaetut tavoitteelliset opiskelijavuodet yhteensä 1]]</f>
        <v>0</v>
      </c>
      <c r="AR78" s="208">
        <f>IFERROR(Opv.kohd.[[#This Row],[Järjestämisluvan mukaiset 5]]/Opv.kohd.[[#This Row],[Järjestämisluvan mukaiset 4]],0)</f>
        <v>0</v>
      </c>
      <c r="AS78" s="208">
        <f>IFERROR(Opv.kohd.[[#This Row],[Kohdentamat-tomat 5]]/Opv.kohd.[[#This Row],[Kohdentamat-tomat 4]],0)</f>
        <v>0</v>
      </c>
      <c r="AT78" s="208">
        <f>IFERROR(Opv.kohd.[[#This Row],[Työvoima-koulutus 5]]/Opv.kohd.[[#This Row],[Työvoima-koulutus 4]],0)</f>
        <v>0</v>
      </c>
      <c r="AU78" s="208">
        <f>IFERROR(Opv.kohd.[[#This Row],[Maahan-muuttajien koulutus 5]]/Opv.kohd.[[#This Row],[Maahan-muuttajien koulutus 4]],0)</f>
        <v>0</v>
      </c>
      <c r="AV78" s="208">
        <f>IFERROR(Opv.kohd.[[#This Row],[Nuorisotyöt. väh. ja osaamistarp. vast., muu kuin työvoima-koulutus 5]]/Opv.kohd.[[#This Row],[Nuorisotyöt. väh. ja osaamistarp. vast., muu kuin työvoima-koulutus 4]],0)</f>
        <v>0</v>
      </c>
      <c r="AW78" s="208">
        <f>IFERROR(Opv.kohd.[[#This Row],[Nuorisotyöt. väh. ja osaamistarp. vast., työvoima-koulutus 5]]/Opv.kohd.[[#This Row],[Nuorisotyöt. väh. ja osaamistarp. vast., työvoima-koulutus 4]],0)</f>
        <v>0</v>
      </c>
      <c r="AX78" s="208">
        <f>IFERROR(Opv.kohd.[[#This Row],[Yhteensä 5]]/Opv.kohd.[[#This Row],[Yhteensä 4]],0)</f>
        <v>0</v>
      </c>
      <c r="AY78" s="208">
        <f>IFERROR(Opv.kohd.[[#This Row],[Ensikertaisella suoritepäätöksellä jaetut tavoitteelliset opiskelijavuodet yhteensä 5]]/Opv.kohd.[[#This Row],[Ensikertaisella suoritepäätöksellä jaetut tavoitteelliset opiskelijavuodet yhteensä 4]],0)</f>
        <v>0</v>
      </c>
      <c r="AZ78" s="207">
        <f>Opv.kohd.[[#This Row],[Yhteensä 7a]]-Opv.kohd.[[#This Row],[Työvoima-koulutus 7a]]</f>
        <v>0</v>
      </c>
      <c r="BA78" s="207">
        <f>IFERROR(VLOOKUP(Opv.kohd.[[#This Row],[Y-tunnus]],#REF!,COLUMN(#REF!),FALSE),0)</f>
        <v>0</v>
      </c>
      <c r="BB78" s="207">
        <f>IFERROR(VLOOKUP(Opv.kohd.[[#This Row],[Y-tunnus]],#REF!,COLUMN(#REF!),FALSE),0)</f>
        <v>0</v>
      </c>
      <c r="BC78" s="207">
        <f>Opv.kohd.[[#This Row],[Muu kuin työvoima-koulutus 7c]]-Opv.kohd.[[#This Row],[Muu kuin työvoima-koulutus 7a]]</f>
        <v>0</v>
      </c>
      <c r="BD78" s="207">
        <f>Opv.kohd.[[#This Row],[Työvoima-koulutus 7c]]-Opv.kohd.[[#This Row],[Työvoima-koulutus 7a]]</f>
        <v>0</v>
      </c>
      <c r="BE78" s="207">
        <f>Opv.kohd.[[#This Row],[Yhteensä 7c]]-Opv.kohd.[[#This Row],[Yhteensä 7a]]</f>
        <v>0</v>
      </c>
      <c r="BF78" s="207">
        <f>Opv.kohd.[[#This Row],[Yhteensä 7c]]-Opv.kohd.[[#This Row],[Työvoima-koulutus 7c]]</f>
        <v>0</v>
      </c>
      <c r="BG78" s="207">
        <f>IFERROR(VLOOKUP(Opv.kohd.[[#This Row],[Y-tunnus]],#REF!,COLUMN(#REF!),FALSE),0)</f>
        <v>0</v>
      </c>
      <c r="BH78" s="207">
        <f>IFERROR(VLOOKUP(Opv.kohd.[[#This Row],[Y-tunnus]],#REF!,COLUMN(#REF!),FALSE),0)</f>
        <v>0</v>
      </c>
      <c r="BI78" s="207">
        <f>IFERROR(VLOOKUP(Opv.kohd.[[#This Row],[Y-tunnus]],#REF!,COLUMN(#REF!),FALSE),0)</f>
        <v>0</v>
      </c>
      <c r="BJ78" s="207">
        <f>IFERROR(VLOOKUP(Opv.kohd.[[#This Row],[Y-tunnus]],#REF!,COLUMN(#REF!),FALSE),0)</f>
        <v>0</v>
      </c>
      <c r="BK78" s="207">
        <f>Opv.kohd.[[#This Row],[Muu kuin työvoima-koulutus 7d]]+Opv.kohd.[[#This Row],[Työvoima-koulutus 7d]]</f>
        <v>0</v>
      </c>
      <c r="BL78" s="207">
        <f>Opv.kohd.[[#This Row],[Muu kuin työvoima-koulutus 7c]]-Opv.kohd.[[#This Row],[Muu kuin työvoima-koulutus 7d]]</f>
        <v>0</v>
      </c>
      <c r="BM78" s="207">
        <f>Opv.kohd.[[#This Row],[Työvoima-koulutus 7c]]-Opv.kohd.[[#This Row],[Työvoima-koulutus 7d]]</f>
        <v>0</v>
      </c>
      <c r="BN78" s="207">
        <f>Opv.kohd.[[#This Row],[Yhteensä 7c]]-Opv.kohd.[[#This Row],[Yhteensä 7d]]</f>
        <v>0</v>
      </c>
      <c r="BO78" s="207">
        <f>Opv.kohd.[[#This Row],[Muu kuin työvoima-koulutus 7e]]-(Opv.kohd.[[#This Row],[Järjestämisluvan mukaiset 4]]+Opv.kohd.[[#This Row],[Kohdentamat-tomat 4]]+Opv.kohd.[[#This Row],[Maahan-muuttajien koulutus 4]]+Opv.kohd.[[#This Row],[Nuorisotyöt. väh. ja osaamistarp. vast., muu kuin työvoima-koulutus 4]])</f>
        <v>0</v>
      </c>
      <c r="BP78" s="207">
        <f>Opv.kohd.[[#This Row],[Työvoima-koulutus 7e]]-(Opv.kohd.[[#This Row],[Työvoima-koulutus 4]]+Opv.kohd.[[#This Row],[Nuorisotyöt. väh. ja osaamistarp. vast., työvoima-koulutus 4]])</f>
        <v>0</v>
      </c>
      <c r="BQ78" s="207">
        <f>Opv.kohd.[[#This Row],[Yhteensä 7e]]-Opv.kohd.[[#This Row],[Ensikertaisella suoritepäätöksellä jaetut tavoitteelliset opiskelijavuodet yhteensä 4]]</f>
        <v>0</v>
      </c>
      <c r="BR78" s="263">
        <v>37</v>
      </c>
      <c r="BS78" s="263">
        <v>3</v>
      </c>
      <c r="BT78" s="263">
        <v>0</v>
      </c>
      <c r="BU78" s="263">
        <v>0</v>
      </c>
      <c r="BV78" s="263">
        <v>0</v>
      </c>
      <c r="BW78" s="263">
        <v>0</v>
      </c>
      <c r="BX78" s="263">
        <v>3</v>
      </c>
      <c r="BY78" s="263">
        <v>40</v>
      </c>
      <c r="BZ78" s="207">
        <f t="shared" si="17"/>
        <v>37</v>
      </c>
      <c r="CA78" s="207">
        <f t="shared" si="18"/>
        <v>3</v>
      </c>
      <c r="CB78" s="207">
        <f t="shared" si="19"/>
        <v>0</v>
      </c>
      <c r="CC78" s="207">
        <f t="shared" si="20"/>
        <v>0</v>
      </c>
      <c r="CD78" s="207">
        <f t="shared" si="21"/>
        <v>0</v>
      </c>
      <c r="CE78" s="207">
        <f t="shared" si="22"/>
        <v>0</v>
      </c>
      <c r="CF78" s="207">
        <f t="shared" si="23"/>
        <v>3</v>
      </c>
      <c r="CG78" s="207">
        <f t="shared" si="24"/>
        <v>40</v>
      </c>
      <c r="CH78" s="207">
        <f>Opv.kohd.[[#This Row],[Tavoitteelliset opiskelijavuodet yhteensä 9]]-Opv.kohd.[[#This Row],[Työvoima-koulutus 9]]-Opv.kohd.[[#This Row],[Nuorisotyöt. väh. ja osaamistarp. vast., työvoima-koulutus 9]]-Opv.kohd.[[#This Row],[Muu kuin työvoima-koulutus 7e]]</f>
        <v>40</v>
      </c>
      <c r="CI78" s="207">
        <f>(Opv.kohd.[[#This Row],[Työvoima-koulutus 9]]+Opv.kohd.[[#This Row],[Nuorisotyöt. väh. ja osaamistarp. vast., työvoima-koulutus 9]])-Opv.kohd.[[#This Row],[Työvoima-koulutus 7e]]</f>
        <v>0</v>
      </c>
      <c r="CJ78" s="207">
        <f>Opv.kohd.[[#This Row],[Tavoitteelliset opiskelijavuodet yhteensä 9]]-Opv.kohd.[[#This Row],[Yhteensä 7e]]</f>
        <v>40</v>
      </c>
      <c r="CK78" s="207">
        <f>Opv.kohd.[[#This Row],[Järjestämisluvan mukaiset 4]]+Opv.kohd.[[#This Row],[Järjestämisluvan mukaiset 13]]</f>
        <v>0</v>
      </c>
      <c r="CL78" s="207">
        <f>Opv.kohd.[[#This Row],[Kohdentamat-tomat 4]]+Opv.kohd.[[#This Row],[Kohdentamat-tomat 13]]</f>
        <v>0</v>
      </c>
      <c r="CM78" s="207">
        <f>Opv.kohd.[[#This Row],[Työvoima-koulutus 4]]+Opv.kohd.[[#This Row],[Työvoima-koulutus 13]]</f>
        <v>0</v>
      </c>
      <c r="CN78" s="207">
        <f>Opv.kohd.[[#This Row],[Maahan-muuttajien koulutus 4]]+Opv.kohd.[[#This Row],[Maahan-muuttajien koulutus 13]]</f>
        <v>0</v>
      </c>
      <c r="CO78" s="207">
        <f>Opv.kohd.[[#This Row],[Nuorisotyöt. väh. ja osaamistarp. vast., muu kuin työvoima-koulutus 4]]+Opv.kohd.[[#This Row],[Nuorisotyöt. väh. ja osaamistarp. vast., muu kuin työvoima-koulutus 13]]</f>
        <v>0</v>
      </c>
      <c r="CP78" s="207">
        <f>Opv.kohd.[[#This Row],[Nuorisotyöt. väh. ja osaamistarp. vast., työvoima-koulutus 4]]+Opv.kohd.[[#This Row],[Nuorisotyöt. väh. ja osaamistarp. vast., työvoima-koulutus 13]]</f>
        <v>0</v>
      </c>
      <c r="CQ78" s="207">
        <f>Opv.kohd.[[#This Row],[Yhteensä 4]]+Opv.kohd.[[#This Row],[Yhteensä 13]]</f>
        <v>0</v>
      </c>
      <c r="CR78" s="207">
        <f>Opv.kohd.[[#This Row],[Ensikertaisella suoritepäätöksellä jaetut tavoitteelliset opiskelijavuodet yhteensä 4]]+Opv.kohd.[[#This Row],[Tavoitteelliset opiskelijavuodet yhteensä 13]]</f>
        <v>0</v>
      </c>
      <c r="CS78" s="120">
        <v>0</v>
      </c>
      <c r="CT78" s="120">
        <v>0</v>
      </c>
      <c r="CU78" s="120">
        <v>0</v>
      </c>
      <c r="CV78" s="120">
        <v>0</v>
      </c>
      <c r="CW78" s="120">
        <v>0</v>
      </c>
      <c r="CX78" s="120">
        <v>0</v>
      </c>
      <c r="CY78" s="120">
        <v>0</v>
      </c>
      <c r="CZ78" s="120">
        <v>0</v>
      </c>
      <c r="DA78" s="209">
        <f>IFERROR(Opv.kohd.[[#This Row],[Järjestämisluvan mukaiset 13]]/Opv.kohd.[[#This Row],[Järjestämisluvan mukaiset 12]],0)</f>
        <v>0</v>
      </c>
      <c r="DB78" s="209">
        <f>IFERROR(Opv.kohd.[[#This Row],[Kohdentamat-tomat 13]]/Opv.kohd.[[#This Row],[Kohdentamat-tomat 12]],0)</f>
        <v>0</v>
      </c>
      <c r="DC78" s="209">
        <f>IFERROR(Opv.kohd.[[#This Row],[Työvoima-koulutus 13]]/Opv.kohd.[[#This Row],[Työvoima-koulutus 12]],0)</f>
        <v>0</v>
      </c>
      <c r="DD78" s="209">
        <f>IFERROR(Opv.kohd.[[#This Row],[Maahan-muuttajien koulutus 13]]/Opv.kohd.[[#This Row],[Maahan-muuttajien koulutus 12]],0)</f>
        <v>0</v>
      </c>
      <c r="DE78" s="209">
        <f>IFERROR(Opv.kohd.[[#This Row],[Nuorisotyöt. väh. ja osaamistarp. vast., muu kuin työvoima-koulutus 13]]/Opv.kohd.[[#This Row],[Nuorisotyöt. väh. ja osaamistarp. vast., muu kuin työvoima-koulutus 12]],0)</f>
        <v>0</v>
      </c>
      <c r="DF78" s="209">
        <f>IFERROR(Opv.kohd.[[#This Row],[Nuorisotyöt. väh. ja osaamistarp. vast., työvoima-koulutus 13]]/Opv.kohd.[[#This Row],[Nuorisotyöt. väh. ja osaamistarp. vast., työvoima-koulutus 12]],0)</f>
        <v>0</v>
      </c>
      <c r="DG78" s="209">
        <f>IFERROR(Opv.kohd.[[#This Row],[Yhteensä 13]]/Opv.kohd.[[#This Row],[Yhteensä 12]],0)</f>
        <v>0</v>
      </c>
      <c r="DH78" s="209">
        <f>IFERROR(Opv.kohd.[[#This Row],[Tavoitteelliset opiskelijavuodet yhteensä 13]]/Opv.kohd.[[#This Row],[Tavoitteelliset opiskelijavuodet yhteensä 12]],0)</f>
        <v>0</v>
      </c>
      <c r="DI78" s="207">
        <f>Opv.kohd.[[#This Row],[Järjestämisluvan mukaiset 12]]-Opv.kohd.[[#This Row],[Järjestämisluvan mukaiset 9]]</f>
        <v>-37</v>
      </c>
      <c r="DJ78" s="207">
        <f>Opv.kohd.[[#This Row],[Kohdentamat-tomat 12]]-Opv.kohd.[[#This Row],[Kohdentamat-tomat 9]]</f>
        <v>-3</v>
      </c>
      <c r="DK78" s="207">
        <f>Opv.kohd.[[#This Row],[Työvoima-koulutus 12]]-Opv.kohd.[[#This Row],[Työvoima-koulutus 9]]</f>
        <v>0</v>
      </c>
      <c r="DL78" s="207">
        <f>Opv.kohd.[[#This Row],[Maahan-muuttajien koulutus 12]]-Opv.kohd.[[#This Row],[Maahan-muuttajien koulutus 9]]</f>
        <v>0</v>
      </c>
      <c r="DM78" s="207">
        <f>Opv.kohd.[[#This Row],[Nuorisotyöt. väh. ja osaamistarp. vast., muu kuin työvoima-koulutus 12]]-Opv.kohd.[[#This Row],[Nuorisotyöt. väh. ja osaamistarp. vast., muu kuin työvoima-koulutus 9]]</f>
        <v>0</v>
      </c>
      <c r="DN78" s="207">
        <f>Opv.kohd.[[#This Row],[Nuorisotyöt. väh. ja osaamistarp. vast., työvoima-koulutus 12]]-Opv.kohd.[[#This Row],[Nuorisotyöt. väh. ja osaamistarp. vast., työvoima-koulutus 9]]</f>
        <v>0</v>
      </c>
      <c r="DO78" s="207">
        <f>Opv.kohd.[[#This Row],[Yhteensä 12]]-Opv.kohd.[[#This Row],[Yhteensä 9]]</f>
        <v>-3</v>
      </c>
      <c r="DP78" s="207">
        <f>Opv.kohd.[[#This Row],[Tavoitteelliset opiskelijavuodet yhteensä 12]]-Opv.kohd.[[#This Row],[Tavoitteelliset opiskelijavuodet yhteensä 9]]</f>
        <v>-40</v>
      </c>
      <c r="DQ78" s="209">
        <f>IFERROR(Opv.kohd.[[#This Row],[Järjestämisluvan mukaiset 15]]/Opv.kohd.[[#This Row],[Järjestämisluvan mukaiset 9]],0)</f>
        <v>-1</v>
      </c>
      <c r="DR78" s="209">
        <f t="shared" si="25"/>
        <v>0</v>
      </c>
      <c r="DS78" s="209">
        <f t="shared" si="26"/>
        <v>0</v>
      </c>
      <c r="DT78" s="209">
        <f t="shared" si="27"/>
        <v>0</v>
      </c>
      <c r="DU78" s="209">
        <f t="shared" si="28"/>
        <v>0</v>
      </c>
      <c r="DV78" s="209">
        <f t="shared" si="29"/>
        <v>0</v>
      </c>
      <c r="DW78" s="209">
        <f t="shared" si="30"/>
        <v>0</v>
      </c>
      <c r="DX78" s="209">
        <f t="shared" si="31"/>
        <v>0</v>
      </c>
    </row>
    <row r="79" spans="1:128" x14ac:dyDescent="0.25">
      <c r="A79" s="204" t="e">
        <f>IF(INDEX(#REF!,ROW(79:79)-1,1)=0,"",INDEX(#REF!,ROW(79:79)-1,1))</f>
        <v>#REF!</v>
      </c>
      <c r="B79" s="205" t="str">
        <f>IFERROR(VLOOKUP(Opv.kohd.[[#This Row],[Y-tunnus]],'0 Järjestäjätiedot'!$A:$H,2,FALSE),"")</f>
        <v/>
      </c>
      <c r="C79" s="204" t="str">
        <f>IFERROR(VLOOKUP(Opv.kohd.[[#This Row],[Y-tunnus]],'0 Järjestäjätiedot'!$A:$H,COLUMN('0 Järjestäjätiedot'!D:D),FALSE),"")</f>
        <v/>
      </c>
      <c r="D79" s="204" t="str">
        <f>IFERROR(VLOOKUP(Opv.kohd.[[#This Row],[Y-tunnus]],'0 Järjestäjätiedot'!$A:$H,COLUMN('0 Järjestäjätiedot'!H:H),FALSE),"")</f>
        <v/>
      </c>
      <c r="E79" s="204">
        <f>IFERROR(VLOOKUP(Opv.kohd.[[#This Row],[Y-tunnus]],#REF!,COLUMN(#REF!),FALSE),0)</f>
        <v>0</v>
      </c>
      <c r="F79" s="204">
        <f>IFERROR(VLOOKUP(Opv.kohd.[[#This Row],[Y-tunnus]],#REF!,COLUMN(#REF!),FALSE),0)</f>
        <v>0</v>
      </c>
      <c r="G79" s="204">
        <f>IFERROR(VLOOKUP(Opv.kohd.[[#This Row],[Y-tunnus]],#REF!,COLUMN(#REF!),FALSE),0)</f>
        <v>0</v>
      </c>
      <c r="H79" s="204">
        <f>IFERROR(VLOOKUP(Opv.kohd.[[#This Row],[Y-tunnus]],#REF!,COLUMN(#REF!),FALSE),0)</f>
        <v>0</v>
      </c>
      <c r="I79" s="204">
        <f>IFERROR(VLOOKUP(Opv.kohd.[[#This Row],[Y-tunnus]],#REF!,COLUMN(#REF!),FALSE),0)</f>
        <v>0</v>
      </c>
      <c r="J79" s="204">
        <f>IFERROR(VLOOKUP(Opv.kohd.[[#This Row],[Y-tunnus]],#REF!,COLUMN(#REF!),FALSE),0)</f>
        <v>0</v>
      </c>
      <c r="K7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79" s="204">
        <f>Opv.kohd.[[#This Row],[Järjestämisluvan mukaiset 1]]+Opv.kohd.[[#This Row],[Yhteensä  1]]</f>
        <v>0</v>
      </c>
      <c r="M79" s="204">
        <f>IFERROR(VLOOKUP(Opv.kohd.[[#This Row],[Y-tunnus]],#REF!,COLUMN(#REF!),FALSE),0)</f>
        <v>0</v>
      </c>
      <c r="N79" s="204">
        <f>IFERROR(VLOOKUP(Opv.kohd.[[#This Row],[Y-tunnus]],#REF!,COLUMN(#REF!),FALSE),0)</f>
        <v>0</v>
      </c>
      <c r="O79" s="204">
        <f>IFERROR(VLOOKUP(Opv.kohd.[[#This Row],[Y-tunnus]],#REF!,COLUMN(#REF!),FALSE)+VLOOKUP(Opv.kohd.[[#This Row],[Y-tunnus]],#REF!,COLUMN(#REF!),FALSE),0)</f>
        <v>0</v>
      </c>
      <c r="P79" s="204">
        <f>Opv.kohd.[[#This Row],[Talousarvion perusteella kohdentamattomat]]+Opv.kohd.[[#This Row],[Talousarvion perusteella työvoimakoulutus 1]]+Opv.kohd.[[#This Row],[Lisätalousarvioiden perusteella]]</f>
        <v>0</v>
      </c>
      <c r="Q79" s="204">
        <f>IFERROR(VLOOKUP(Opv.kohd.[[#This Row],[Y-tunnus]],#REF!,COLUMN(#REF!),FALSE),0)</f>
        <v>0</v>
      </c>
      <c r="R79" s="210">
        <f>IFERROR(VLOOKUP(Opv.kohd.[[#This Row],[Y-tunnus]],#REF!,COLUMN(#REF!),FALSE)-(Opv.kohd.[[#This Row],[Kohdentamaton työvoima-koulutus 2]]+Opv.kohd.[[#This Row],[Maahan-muuttajien koulutus 2]]+Opv.kohd.[[#This Row],[Lisätalousarvioiden perusteella jaetut 2]]),0)</f>
        <v>0</v>
      </c>
      <c r="S79" s="210">
        <f>IFERROR(VLOOKUP(Opv.kohd.[[#This Row],[Y-tunnus]],#REF!,COLUMN(#REF!),FALSE)+VLOOKUP(Opv.kohd.[[#This Row],[Y-tunnus]],#REF!,COLUMN(#REF!),FALSE),0)</f>
        <v>0</v>
      </c>
      <c r="T79" s="210">
        <f>IFERROR(VLOOKUP(Opv.kohd.[[#This Row],[Y-tunnus]],#REF!,COLUMN(#REF!),FALSE)+VLOOKUP(Opv.kohd.[[#This Row],[Y-tunnus]],#REF!,COLUMN(#REF!),FALSE),0)</f>
        <v>0</v>
      </c>
      <c r="U7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79" s="210">
        <f>Opv.kohd.[[#This Row],[Kohdentamat-tomat 2]]+Opv.kohd.[[#This Row],[Kohdentamaton työvoima-koulutus 2]]+Opv.kohd.[[#This Row],[Maahan-muuttajien koulutus 2]]+Opv.kohd.[[#This Row],[Lisätalousarvioiden perusteella jaetut 2]]</f>
        <v>0</v>
      </c>
      <c r="W79" s="210">
        <f>Opv.kohd.[[#This Row],[Kohdentamat-tomat 2]]-(Opv.kohd.[[#This Row],[Järjestämisluvan mukaiset 1]]+Opv.kohd.[[#This Row],[Kohdentamat-tomat 1]]+Opv.kohd.[[#This Row],[Nuorisotyöt. väh. ja osaamistarp. vast., muu kuin työvoima-koulutus 1]]+Opv.kohd.[[#This Row],[Talousarvion perusteella kohdentamattomat]])</f>
        <v>0</v>
      </c>
      <c r="X79" s="210">
        <f>Opv.kohd.[[#This Row],[Kohdentamaton työvoima-koulutus 2]]-(Opv.kohd.[[#This Row],[Työvoima-koulutus 1]]+Opv.kohd.[[#This Row],[Nuorisotyöt. väh. ja osaamistarp. vast., työvoima-koulutus 1]]+Opv.kohd.[[#This Row],[Talousarvion perusteella työvoimakoulutus 1]])</f>
        <v>0</v>
      </c>
      <c r="Y79" s="210">
        <f>Opv.kohd.[[#This Row],[Maahan-muuttajien koulutus 2]]-Opv.kohd.[[#This Row],[Maahan-muuttajien koulutus 1]]</f>
        <v>0</v>
      </c>
      <c r="Z79" s="210">
        <f>Opv.kohd.[[#This Row],[Lisätalousarvioiden perusteella jaetut 2]]-Opv.kohd.[[#This Row],[Lisätalousarvioiden perusteella]]</f>
        <v>0</v>
      </c>
      <c r="AA79" s="210">
        <f>Opv.kohd.[[#This Row],[Toteutuneet opiskelijavuodet yhteensä 2]]-Opv.kohd.[[#This Row],[Vuoden 2018 tavoitteelliset opiskelijavuodet yhteensä 1]]</f>
        <v>0</v>
      </c>
      <c r="AB79" s="207">
        <f>IFERROR(VLOOKUP(Opv.kohd.[[#This Row],[Y-tunnus]],#REF!,3,FALSE),0)</f>
        <v>0</v>
      </c>
      <c r="AC79" s="207">
        <f>IFERROR(VLOOKUP(Opv.kohd.[[#This Row],[Y-tunnus]],#REF!,4,FALSE),0)</f>
        <v>0</v>
      </c>
      <c r="AD79" s="207">
        <f>IFERROR(VLOOKUP(Opv.kohd.[[#This Row],[Y-tunnus]],#REF!,5,FALSE),0)</f>
        <v>0</v>
      </c>
      <c r="AE79" s="207">
        <f>IFERROR(VLOOKUP(Opv.kohd.[[#This Row],[Y-tunnus]],#REF!,6,FALSE),0)</f>
        <v>0</v>
      </c>
      <c r="AF79" s="207">
        <f>IFERROR(VLOOKUP(Opv.kohd.[[#This Row],[Y-tunnus]],#REF!,7,FALSE),0)</f>
        <v>0</v>
      </c>
      <c r="AG79" s="207">
        <f>IFERROR(VLOOKUP(Opv.kohd.[[#This Row],[Y-tunnus]],#REF!,8,FALSE),0)</f>
        <v>0</v>
      </c>
      <c r="AH79" s="207">
        <f>IFERROR(VLOOKUP(Opv.kohd.[[#This Row],[Y-tunnus]],#REF!,9,FALSE),0)</f>
        <v>0</v>
      </c>
      <c r="AI79" s="207">
        <f>IFERROR(VLOOKUP(Opv.kohd.[[#This Row],[Y-tunnus]],#REF!,10,FALSE),0)</f>
        <v>0</v>
      </c>
      <c r="AJ79" s="204">
        <f>Opv.kohd.[[#This Row],[Järjestämisluvan mukaiset 4]]-Opv.kohd.[[#This Row],[Järjestämisluvan mukaiset 1]]</f>
        <v>0</v>
      </c>
      <c r="AK79" s="204">
        <f>Opv.kohd.[[#This Row],[Kohdentamat-tomat 4]]-Opv.kohd.[[#This Row],[Kohdentamat-tomat 1]]</f>
        <v>0</v>
      </c>
      <c r="AL79" s="204">
        <f>Opv.kohd.[[#This Row],[Työvoima-koulutus 4]]-Opv.kohd.[[#This Row],[Työvoima-koulutus 1]]</f>
        <v>0</v>
      </c>
      <c r="AM79" s="204">
        <f>Opv.kohd.[[#This Row],[Maahan-muuttajien koulutus 4]]-Opv.kohd.[[#This Row],[Maahan-muuttajien koulutus 1]]</f>
        <v>0</v>
      </c>
      <c r="AN79" s="204">
        <f>Opv.kohd.[[#This Row],[Nuorisotyöt. väh. ja osaamistarp. vast., muu kuin työvoima-koulutus 4]]-Opv.kohd.[[#This Row],[Nuorisotyöt. väh. ja osaamistarp. vast., muu kuin työvoima-koulutus 1]]</f>
        <v>0</v>
      </c>
      <c r="AO79" s="204">
        <f>Opv.kohd.[[#This Row],[Nuorisotyöt. väh. ja osaamistarp. vast., työvoima-koulutus 4]]-Opv.kohd.[[#This Row],[Nuorisotyöt. väh. ja osaamistarp. vast., työvoima-koulutus 1]]</f>
        <v>0</v>
      </c>
      <c r="AP79" s="204">
        <f>Opv.kohd.[[#This Row],[Yhteensä 4]]-Opv.kohd.[[#This Row],[Yhteensä  1]]</f>
        <v>0</v>
      </c>
      <c r="AQ79" s="204">
        <f>Opv.kohd.[[#This Row],[Ensikertaisella suoritepäätöksellä jaetut tavoitteelliset opiskelijavuodet yhteensä 4]]-Opv.kohd.[[#This Row],[Ensikertaisella suoritepäätöksellä jaetut tavoitteelliset opiskelijavuodet yhteensä 1]]</f>
        <v>0</v>
      </c>
      <c r="AR79" s="208">
        <f>IFERROR(Opv.kohd.[[#This Row],[Järjestämisluvan mukaiset 5]]/Opv.kohd.[[#This Row],[Järjestämisluvan mukaiset 4]],0)</f>
        <v>0</v>
      </c>
      <c r="AS79" s="208">
        <f>IFERROR(Opv.kohd.[[#This Row],[Kohdentamat-tomat 5]]/Opv.kohd.[[#This Row],[Kohdentamat-tomat 4]],0)</f>
        <v>0</v>
      </c>
      <c r="AT79" s="208">
        <f>IFERROR(Opv.kohd.[[#This Row],[Työvoima-koulutus 5]]/Opv.kohd.[[#This Row],[Työvoima-koulutus 4]],0)</f>
        <v>0</v>
      </c>
      <c r="AU79" s="208">
        <f>IFERROR(Opv.kohd.[[#This Row],[Maahan-muuttajien koulutus 5]]/Opv.kohd.[[#This Row],[Maahan-muuttajien koulutus 4]],0)</f>
        <v>0</v>
      </c>
      <c r="AV79" s="208">
        <f>IFERROR(Opv.kohd.[[#This Row],[Nuorisotyöt. väh. ja osaamistarp. vast., muu kuin työvoima-koulutus 5]]/Opv.kohd.[[#This Row],[Nuorisotyöt. väh. ja osaamistarp. vast., muu kuin työvoima-koulutus 4]],0)</f>
        <v>0</v>
      </c>
      <c r="AW79" s="208">
        <f>IFERROR(Opv.kohd.[[#This Row],[Nuorisotyöt. väh. ja osaamistarp. vast., työvoima-koulutus 5]]/Opv.kohd.[[#This Row],[Nuorisotyöt. väh. ja osaamistarp. vast., työvoima-koulutus 4]],0)</f>
        <v>0</v>
      </c>
      <c r="AX79" s="208">
        <f>IFERROR(Opv.kohd.[[#This Row],[Yhteensä 5]]/Opv.kohd.[[#This Row],[Yhteensä 4]],0)</f>
        <v>0</v>
      </c>
      <c r="AY79" s="208">
        <f>IFERROR(Opv.kohd.[[#This Row],[Ensikertaisella suoritepäätöksellä jaetut tavoitteelliset opiskelijavuodet yhteensä 5]]/Opv.kohd.[[#This Row],[Ensikertaisella suoritepäätöksellä jaetut tavoitteelliset opiskelijavuodet yhteensä 4]],0)</f>
        <v>0</v>
      </c>
      <c r="AZ79" s="207">
        <f>Opv.kohd.[[#This Row],[Yhteensä 7a]]-Opv.kohd.[[#This Row],[Työvoima-koulutus 7a]]</f>
        <v>0</v>
      </c>
      <c r="BA79" s="207">
        <f>IFERROR(VLOOKUP(Opv.kohd.[[#This Row],[Y-tunnus]],#REF!,COLUMN(#REF!),FALSE),0)</f>
        <v>0</v>
      </c>
      <c r="BB79" s="207">
        <f>IFERROR(VLOOKUP(Opv.kohd.[[#This Row],[Y-tunnus]],#REF!,COLUMN(#REF!),FALSE),0)</f>
        <v>0</v>
      </c>
      <c r="BC79" s="207">
        <f>Opv.kohd.[[#This Row],[Muu kuin työvoima-koulutus 7c]]-Opv.kohd.[[#This Row],[Muu kuin työvoima-koulutus 7a]]</f>
        <v>0</v>
      </c>
      <c r="BD79" s="207">
        <f>Opv.kohd.[[#This Row],[Työvoima-koulutus 7c]]-Opv.kohd.[[#This Row],[Työvoima-koulutus 7a]]</f>
        <v>0</v>
      </c>
      <c r="BE79" s="207">
        <f>Opv.kohd.[[#This Row],[Yhteensä 7c]]-Opv.kohd.[[#This Row],[Yhteensä 7a]]</f>
        <v>0</v>
      </c>
      <c r="BF79" s="207">
        <f>Opv.kohd.[[#This Row],[Yhteensä 7c]]-Opv.kohd.[[#This Row],[Työvoima-koulutus 7c]]</f>
        <v>0</v>
      </c>
      <c r="BG79" s="207">
        <f>IFERROR(VLOOKUP(Opv.kohd.[[#This Row],[Y-tunnus]],#REF!,COLUMN(#REF!),FALSE),0)</f>
        <v>0</v>
      </c>
      <c r="BH79" s="207">
        <f>IFERROR(VLOOKUP(Opv.kohd.[[#This Row],[Y-tunnus]],#REF!,COLUMN(#REF!),FALSE),0)</f>
        <v>0</v>
      </c>
      <c r="BI79" s="207">
        <f>IFERROR(VLOOKUP(Opv.kohd.[[#This Row],[Y-tunnus]],#REF!,COLUMN(#REF!),FALSE),0)</f>
        <v>0</v>
      </c>
      <c r="BJ79" s="207">
        <f>IFERROR(VLOOKUP(Opv.kohd.[[#This Row],[Y-tunnus]],#REF!,COLUMN(#REF!),FALSE),0)</f>
        <v>0</v>
      </c>
      <c r="BK79" s="207">
        <f>Opv.kohd.[[#This Row],[Muu kuin työvoima-koulutus 7d]]+Opv.kohd.[[#This Row],[Työvoima-koulutus 7d]]</f>
        <v>0</v>
      </c>
      <c r="BL79" s="207">
        <f>Opv.kohd.[[#This Row],[Muu kuin työvoima-koulutus 7c]]-Opv.kohd.[[#This Row],[Muu kuin työvoima-koulutus 7d]]</f>
        <v>0</v>
      </c>
      <c r="BM79" s="207">
        <f>Opv.kohd.[[#This Row],[Työvoima-koulutus 7c]]-Opv.kohd.[[#This Row],[Työvoima-koulutus 7d]]</f>
        <v>0</v>
      </c>
      <c r="BN79" s="207">
        <f>Opv.kohd.[[#This Row],[Yhteensä 7c]]-Opv.kohd.[[#This Row],[Yhteensä 7d]]</f>
        <v>0</v>
      </c>
      <c r="BO79" s="207">
        <f>Opv.kohd.[[#This Row],[Muu kuin työvoima-koulutus 7e]]-(Opv.kohd.[[#This Row],[Järjestämisluvan mukaiset 4]]+Opv.kohd.[[#This Row],[Kohdentamat-tomat 4]]+Opv.kohd.[[#This Row],[Maahan-muuttajien koulutus 4]]+Opv.kohd.[[#This Row],[Nuorisotyöt. väh. ja osaamistarp. vast., muu kuin työvoima-koulutus 4]])</f>
        <v>0</v>
      </c>
      <c r="BP79" s="207">
        <f>Opv.kohd.[[#This Row],[Työvoima-koulutus 7e]]-(Opv.kohd.[[#This Row],[Työvoima-koulutus 4]]+Opv.kohd.[[#This Row],[Nuorisotyöt. väh. ja osaamistarp. vast., työvoima-koulutus 4]])</f>
        <v>0</v>
      </c>
      <c r="BQ79" s="207">
        <f>Opv.kohd.[[#This Row],[Yhteensä 7e]]-Opv.kohd.[[#This Row],[Ensikertaisella suoritepäätöksellä jaetut tavoitteelliset opiskelijavuodet yhteensä 4]]</f>
        <v>0</v>
      </c>
      <c r="BR79" s="263">
        <v>27</v>
      </c>
      <c r="BS79" s="263">
        <v>1</v>
      </c>
      <c r="BT79" s="263">
        <v>0</v>
      </c>
      <c r="BU79" s="263">
        <v>0</v>
      </c>
      <c r="BV79" s="263">
        <v>0</v>
      </c>
      <c r="BW79" s="263">
        <v>0</v>
      </c>
      <c r="BX79" s="263">
        <v>1</v>
      </c>
      <c r="BY79" s="263">
        <v>28</v>
      </c>
      <c r="BZ79" s="207">
        <f t="shared" si="17"/>
        <v>27</v>
      </c>
      <c r="CA79" s="207">
        <f t="shared" si="18"/>
        <v>1</v>
      </c>
      <c r="CB79" s="207">
        <f t="shared" si="19"/>
        <v>0</v>
      </c>
      <c r="CC79" s="207">
        <f t="shared" si="20"/>
        <v>0</v>
      </c>
      <c r="CD79" s="207">
        <f t="shared" si="21"/>
        <v>0</v>
      </c>
      <c r="CE79" s="207">
        <f t="shared" si="22"/>
        <v>0</v>
      </c>
      <c r="CF79" s="207">
        <f t="shared" si="23"/>
        <v>1</v>
      </c>
      <c r="CG79" s="207">
        <f t="shared" si="24"/>
        <v>28</v>
      </c>
      <c r="CH79" s="207">
        <f>Opv.kohd.[[#This Row],[Tavoitteelliset opiskelijavuodet yhteensä 9]]-Opv.kohd.[[#This Row],[Työvoima-koulutus 9]]-Opv.kohd.[[#This Row],[Nuorisotyöt. väh. ja osaamistarp. vast., työvoima-koulutus 9]]-Opv.kohd.[[#This Row],[Muu kuin työvoima-koulutus 7e]]</f>
        <v>28</v>
      </c>
      <c r="CI79" s="207">
        <f>(Opv.kohd.[[#This Row],[Työvoima-koulutus 9]]+Opv.kohd.[[#This Row],[Nuorisotyöt. väh. ja osaamistarp. vast., työvoima-koulutus 9]])-Opv.kohd.[[#This Row],[Työvoima-koulutus 7e]]</f>
        <v>0</v>
      </c>
      <c r="CJ79" s="207">
        <f>Opv.kohd.[[#This Row],[Tavoitteelliset opiskelijavuodet yhteensä 9]]-Opv.kohd.[[#This Row],[Yhteensä 7e]]</f>
        <v>28</v>
      </c>
      <c r="CK79" s="207">
        <f>Opv.kohd.[[#This Row],[Järjestämisluvan mukaiset 4]]+Opv.kohd.[[#This Row],[Järjestämisluvan mukaiset 13]]</f>
        <v>0</v>
      </c>
      <c r="CL79" s="207">
        <f>Opv.kohd.[[#This Row],[Kohdentamat-tomat 4]]+Opv.kohd.[[#This Row],[Kohdentamat-tomat 13]]</f>
        <v>0</v>
      </c>
      <c r="CM79" s="207">
        <f>Opv.kohd.[[#This Row],[Työvoima-koulutus 4]]+Opv.kohd.[[#This Row],[Työvoima-koulutus 13]]</f>
        <v>0</v>
      </c>
      <c r="CN79" s="207">
        <f>Opv.kohd.[[#This Row],[Maahan-muuttajien koulutus 4]]+Opv.kohd.[[#This Row],[Maahan-muuttajien koulutus 13]]</f>
        <v>0</v>
      </c>
      <c r="CO79" s="207">
        <f>Opv.kohd.[[#This Row],[Nuorisotyöt. väh. ja osaamistarp. vast., muu kuin työvoima-koulutus 4]]+Opv.kohd.[[#This Row],[Nuorisotyöt. väh. ja osaamistarp. vast., muu kuin työvoima-koulutus 13]]</f>
        <v>0</v>
      </c>
      <c r="CP79" s="207">
        <f>Opv.kohd.[[#This Row],[Nuorisotyöt. väh. ja osaamistarp. vast., työvoima-koulutus 4]]+Opv.kohd.[[#This Row],[Nuorisotyöt. väh. ja osaamistarp. vast., työvoima-koulutus 13]]</f>
        <v>0</v>
      </c>
      <c r="CQ79" s="207">
        <f>Opv.kohd.[[#This Row],[Yhteensä 4]]+Opv.kohd.[[#This Row],[Yhteensä 13]]</f>
        <v>0</v>
      </c>
      <c r="CR79" s="207">
        <f>Opv.kohd.[[#This Row],[Ensikertaisella suoritepäätöksellä jaetut tavoitteelliset opiskelijavuodet yhteensä 4]]+Opv.kohd.[[#This Row],[Tavoitteelliset opiskelijavuodet yhteensä 13]]</f>
        <v>0</v>
      </c>
      <c r="CS79" s="120">
        <v>0</v>
      </c>
      <c r="CT79" s="120">
        <v>0</v>
      </c>
      <c r="CU79" s="120">
        <v>0</v>
      </c>
      <c r="CV79" s="120">
        <v>0</v>
      </c>
      <c r="CW79" s="120">
        <v>0</v>
      </c>
      <c r="CX79" s="120">
        <v>0</v>
      </c>
      <c r="CY79" s="120">
        <v>0</v>
      </c>
      <c r="CZ79" s="120">
        <v>0</v>
      </c>
      <c r="DA79" s="209">
        <f>IFERROR(Opv.kohd.[[#This Row],[Järjestämisluvan mukaiset 13]]/Opv.kohd.[[#This Row],[Järjestämisluvan mukaiset 12]],0)</f>
        <v>0</v>
      </c>
      <c r="DB79" s="209">
        <f>IFERROR(Opv.kohd.[[#This Row],[Kohdentamat-tomat 13]]/Opv.kohd.[[#This Row],[Kohdentamat-tomat 12]],0)</f>
        <v>0</v>
      </c>
      <c r="DC79" s="209">
        <f>IFERROR(Opv.kohd.[[#This Row],[Työvoima-koulutus 13]]/Opv.kohd.[[#This Row],[Työvoima-koulutus 12]],0)</f>
        <v>0</v>
      </c>
      <c r="DD79" s="209">
        <f>IFERROR(Opv.kohd.[[#This Row],[Maahan-muuttajien koulutus 13]]/Opv.kohd.[[#This Row],[Maahan-muuttajien koulutus 12]],0)</f>
        <v>0</v>
      </c>
      <c r="DE79" s="209">
        <f>IFERROR(Opv.kohd.[[#This Row],[Nuorisotyöt. väh. ja osaamistarp. vast., muu kuin työvoima-koulutus 13]]/Opv.kohd.[[#This Row],[Nuorisotyöt. väh. ja osaamistarp. vast., muu kuin työvoima-koulutus 12]],0)</f>
        <v>0</v>
      </c>
      <c r="DF79" s="209">
        <f>IFERROR(Opv.kohd.[[#This Row],[Nuorisotyöt. väh. ja osaamistarp. vast., työvoima-koulutus 13]]/Opv.kohd.[[#This Row],[Nuorisotyöt. väh. ja osaamistarp. vast., työvoima-koulutus 12]],0)</f>
        <v>0</v>
      </c>
      <c r="DG79" s="209">
        <f>IFERROR(Opv.kohd.[[#This Row],[Yhteensä 13]]/Opv.kohd.[[#This Row],[Yhteensä 12]],0)</f>
        <v>0</v>
      </c>
      <c r="DH79" s="209">
        <f>IFERROR(Opv.kohd.[[#This Row],[Tavoitteelliset opiskelijavuodet yhteensä 13]]/Opv.kohd.[[#This Row],[Tavoitteelliset opiskelijavuodet yhteensä 12]],0)</f>
        <v>0</v>
      </c>
      <c r="DI79" s="207">
        <f>Opv.kohd.[[#This Row],[Järjestämisluvan mukaiset 12]]-Opv.kohd.[[#This Row],[Järjestämisluvan mukaiset 9]]</f>
        <v>-27</v>
      </c>
      <c r="DJ79" s="207">
        <f>Opv.kohd.[[#This Row],[Kohdentamat-tomat 12]]-Opv.kohd.[[#This Row],[Kohdentamat-tomat 9]]</f>
        <v>-1</v>
      </c>
      <c r="DK79" s="207">
        <f>Opv.kohd.[[#This Row],[Työvoima-koulutus 12]]-Opv.kohd.[[#This Row],[Työvoima-koulutus 9]]</f>
        <v>0</v>
      </c>
      <c r="DL79" s="207">
        <f>Opv.kohd.[[#This Row],[Maahan-muuttajien koulutus 12]]-Opv.kohd.[[#This Row],[Maahan-muuttajien koulutus 9]]</f>
        <v>0</v>
      </c>
      <c r="DM79" s="207">
        <f>Opv.kohd.[[#This Row],[Nuorisotyöt. väh. ja osaamistarp. vast., muu kuin työvoima-koulutus 12]]-Opv.kohd.[[#This Row],[Nuorisotyöt. väh. ja osaamistarp. vast., muu kuin työvoima-koulutus 9]]</f>
        <v>0</v>
      </c>
      <c r="DN79" s="207">
        <f>Opv.kohd.[[#This Row],[Nuorisotyöt. väh. ja osaamistarp. vast., työvoima-koulutus 12]]-Opv.kohd.[[#This Row],[Nuorisotyöt. väh. ja osaamistarp. vast., työvoima-koulutus 9]]</f>
        <v>0</v>
      </c>
      <c r="DO79" s="207">
        <f>Opv.kohd.[[#This Row],[Yhteensä 12]]-Opv.kohd.[[#This Row],[Yhteensä 9]]</f>
        <v>-1</v>
      </c>
      <c r="DP79" s="207">
        <f>Opv.kohd.[[#This Row],[Tavoitteelliset opiskelijavuodet yhteensä 12]]-Opv.kohd.[[#This Row],[Tavoitteelliset opiskelijavuodet yhteensä 9]]</f>
        <v>-28</v>
      </c>
      <c r="DQ79" s="209">
        <f>IFERROR(Opv.kohd.[[#This Row],[Järjestämisluvan mukaiset 15]]/Opv.kohd.[[#This Row],[Järjestämisluvan mukaiset 9]],0)</f>
        <v>-1</v>
      </c>
      <c r="DR79" s="209">
        <f t="shared" si="25"/>
        <v>0</v>
      </c>
      <c r="DS79" s="209">
        <f t="shared" si="26"/>
        <v>0</v>
      </c>
      <c r="DT79" s="209">
        <f t="shared" si="27"/>
        <v>0</v>
      </c>
      <c r="DU79" s="209">
        <f t="shared" si="28"/>
        <v>0</v>
      </c>
      <c r="DV79" s="209">
        <f t="shared" si="29"/>
        <v>0</v>
      </c>
      <c r="DW79" s="209">
        <f t="shared" si="30"/>
        <v>0</v>
      </c>
      <c r="DX79" s="209">
        <f t="shared" si="31"/>
        <v>0</v>
      </c>
    </row>
    <row r="80" spans="1:128" x14ac:dyDescent="0.25">
      <c r="A80" s="204" t="e">
        <f>IF(INDEX(#REF!,ROW(80:80)-1,1)=0,"",INDEX(#REF!,ROW(80:80)-1,1))</f>
        <v>#REF!</v>
      </c>
      <c r="B80" s="205" t="str">
        <f>IFERROR(VLOOKUP(Opv.kohd.[[#This Row],[Y-tunnus]],'0 Järjestäjätiedot'!$A:$H,2,FALSE),"")</f>
        <v/>
      </c>
      <c r="C80" s="204" t="str">
        <f>IFERROR(VLOOKUP(Opv.kohd.[[#This Row],[Y-tunnus]],'0 Järjestäjätiedot'!$A:$H,COLUMN('0 Järjestäjätiedot'!D:D),FALSE),"")</f>
        <v/>
      </c>
      <c r="D80" s="204" t="str">
        <f>IFERROR(VLOOKUP(Opv.kohd.[[#This Row],[Y-tunnus]],'0 Järjestäjätiedot'!$A:$H,COLUMN('0 Järjestäjätiedot'!H:H),FALSE),"")</f>
        <v/>
      </c>
      <c r="E80" s="204">
        <f>IFERROR(VLOOKUP(Opv.kohd.[[#This Row],[Y-tunnus]],#REF!,COLUMN(#REF!),FALSE),0)</f>
        <v>0</v>
      </c>
      <c r="F80" s="204">
        <f>IFERROR(VLOOKUP(Opv.kohd.[[#This Row],[Y-tunnus]],#REF!,COLUMN(#REF!),FALSE),0)</f>
        <v>0</v>
      </c>
      <c r="G80" s="204">
        <f>IFERROR(VLOOKUP(Opv.kohd.[[#This Row],[Y-tunnus]],#REF!,COLUMN(#REF!),FALSE),0)</f>
        <v>0</v>
      </c>
      <c r="H80" s="204">
        <f>IFERROR(VLOOKUP(Opv.kohd.[[#This Row],[Y-tunnus]],#REF!,COLUMN(#REF!),FALSE),0)</f>
        <v>0</v>
      </c>
      <c r="I80" s="204">
        <f>IFERROR(VLOOKUP(Opv.kohd.[[#This Row],[Y-tunnus]],#REF!,COLUMN(#REF!),FALSE),0)</f>
        <v>0</v>
      </c>
      <c r="J80" s="204">
        <f>IFERROR(VLOOKUP(Opv.kohd.[[#This Row],[Y-tunnus]],#REF!,COLUMN(#REF!),FALSE),0)</f>
        <v>0</v>
      </c>
      <c r="K8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80" s="204">
        <f>Opv.kohd.[[#This Row],[Järjestämisluvan mukaiset 1]]+Opv.kohd.[[#This Row],[Yhteensä  1]]</f>
        <v>0</v>
      </c>
      <c r="M80" s="204">
        <f>IFERROR(VLOOKUP(Opv.kohd.[[#This Row],[Y-tunnus]],#REF!,COLUMN(#REF!),FALSE),0)</f>
        <v>0</v>
      </c>
      <c r="N80" s="204">
        <f>IFERROR(VLOOKUP(Opv.kohd.[[#This Row],[Y-tunnus]],#REF!,COLUMN(#REF!),FALSE),0)</f>
        <v>0</v>
      </c>
      <c r="O80" s="204">
        <f>IFERROR(VLOOKUP(Opv.kohd.[[#This Row],[Y-tunnus]],#REF!,COLUMN(#REF!),FALSE)+VLOOKUP(Opv.kohd.[[#This Row],[Y-tunnus]],#REF!,COLUMN(#REF!),FALSE),0)</f>
        <v>0</v>
      </c>
      <c r="P80" s="204">
        <f>Opv.kohd.[[#This Row],[Talousarvion perusteella kohdentamattomat]]+Opv.kohd.[[#This Row],[Talousarvion perusteella työvoimakoulutus 1]]+Opv.kohd.[[#This Row],[Lisätalousarvioiden perusteella]]</f>
        <v>0</v>
      </c>
      <c r="Q80" s="204">
        <f>IFERROR(VLOOKUP(Opv.kohd.[[#This Row],[Y-tunnus]],#REF!,COLUMN(#REF!),FALSE),0)</f>
        <v>0</v>
      </c>
      <c r="R80" s="210">
        <f>IFERROR(VLOOKUP(Opv.kohd.[[#This Row],[Y-tunnus]],#REF!,COLUMN(#REF!),FALSE)-(Opv.kohd.[[#This Row],[Kohdentamaton työvoima-koulutus 2]]+Opv.kohd.[[#This Row],[Maahan-muuttajien koulutus 2]]+Opv.kohd.[[#This Row],[Lisätalousarvioiden perusteella jaetut 2]]),0)</f>
        <v>0</v>
      </c>
      <c r="S80" s="210">
        <f>IFERROR(VLOOKUP(Opv.kohd.[[#This Row],[Y-tunnus]],#REF!,COLUMN(#REF!),FALSE)+VLOOKUP(Opv.kohd.[[#This Row],[Y-tunnus]],#REF!,COLUMN(#REF!),FALSE),0)</f>
        <v>0</v>
      </c>
      <c r="T80" s="210">
        <f>IFERROR(VLOOKUP(Opv.kohd.[[#This Row],[Y-tunnus]],#REF!,COLUMN(#REF!),FALSE)+VLOOKUP(Opv.kohd.[[#This Row],[Y-tunnus]],#REF!,COLUMN(#REF!),FALSE),0)</f>
        <v>0</v>
      </c>
      <c r="U8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80" s="210">
        <f>Opv.kohd.[[#This Row],[Kohdentamat-tomat 2]]+Opv.kohd.[[#This Row],[Kohdentamaton työvoima-koulutus 2]]+Opv.kohd.[[#This Row],[Maahan-muuttajien koulutus 2]]+Opv.kohd.[[#This Row],[Lisätalousarvioiden perusteella jaetut 2]]</f>
        <v>0</v>
      </c>
      <c r="W80" s="210">
        <f>Opv.kohd.[[#This Row],[Kohdentamat-tomat 2]]-(Opv.kohd.[[#This Row],[Järjestämisluvan mukaiset 1]]+Opv.kohd.[[#This Row],[Kohdentamat-tomat 1]]+Opv.kohd.[[#This Row],[Nuorisotyöt. väh. ja osaamistarp. vast., muu kuin työvoima-koulutus 1]]+Opv.kohd.[[#This Row],[Talousarvion perusteella kohdentamattomat]])</f>
        <v>0</v>
      </c>
      <c r="X80" s="210">
        <f>Opv.kohd.[[#This Row],[Kohdentamaton työvoima-koulutus 2]]-(Opv.kohd.[[#This Row],[Työvoima-koulutus 1]]+Opv.kohd.[[#This Row],[Nuorisotyöt. väh. ja osaamistarp. vast., työvoima-koulutus 1]]+Opv.kohd.[[#This Row],[Talousarvion perusteella työvoimakoulutus 1]])</f>
        <v>0</v>
      </c>
      <c r="Y80" s="210">
        <f>Opv.kohd.[[#This Row],[Maahan-muuttajien koulutus 2]]-Opv.kohd.[[#This Row],[Maahan-muuttajien koulutus 1]]</f>
        <v>0</v>
      </c>
      <c r="Z80" s="210">
        <f>Opv.kohd.[[#This Row],[Lisätalousarvioiden perusteella jaetut 2]]-Opv.kohd.[[#This Row],[Lisätalousarvioiden perusteella]]</f>
        <v>0</v>
      </c>
      <c r="AA80" s="210">
        <f>Opv.kohd.[[#This Row],[Toteutuneet opiskelijavuodet yhteensä 2]]-Opv.kohd.[[#This Row],[Vuoden 2018 tavoitteelliset opiskelijavuodet yhteensä 1]]</f>
        <v>0</v>
      </c>
      <c r="AB80" s="207">
        <f>IFERROR(VLOOKUP(Opv.kohd.[[#This Row],[Y-tunnus]],#REF!,3,FALSE),0)</f>
        <v>0</v>
      </c>
      <c r="AC80" s="207">
        <f>IFERROR(VLOOKUP(Opv.kohd.[[#This Row],[Y-tunnus]],#REF!,4,FALSE),0)</f>
        <v>0</v>
      </c>
      <c r="AD80" s="207">
        <f>IFERROR(VLOOKUP(Opv.kohd.[[#This Row],[Y-tunnus]],#REF!,5,FALSE),0)</f>
        <v>0</v>
      </c>
      <c r="AE80" s="207">
        <f>IFERROR(VLOOKUP(Opv.kohd.[[#This Row],[Y-tunnus]],#REF!,6,FALSE),0)</f>
        <v>0</v>
      </c>
      <c r="AF80" s="207">
        <f>IFERROR(VLOOKUP(Opv.kohd.[[#This Row],[Y-tunnus]],#REF!,7,FALSE),0)</f>
        <v>0</v>
      </c>
      <c r="AG80" s="207">
        <f>IFERROR(VLOOKUP(Opv.kohd.[[#This Row],[Y-tunnus]],#REF!,8,FALSE),0)</f>
        <v>0</v>
      </c>
      <c r="AH80" s="207">
        <f>IFERROR(VLOOKUP(Opv.kohd.[[#This Row],[Y-tunnus]],#REF!,9,FALSE),0)</f>
        <v>0</v>
      </c>
      <c r="AI80" s="207">
        <f>IFERROR(VLOOKUP(Opv.kohd.[[#This Row],[Y-tunnus]],#REF!,10,FALSE),0)</f>
        <v>0</v>
      </c>
      <c r="AJ80" s="204">
        <f>Opv.kohd.[[#This Row],[Järjestämisluvan mukaiset 4]]-Opv.kohd.[[#This Row],[Järjestämisluvan mukaiset 1]]</f>
        <v>0</v>
      </c>
      <c r="AK80" s="204">
        <f>Opv.kohd.[[#This Row],[Kohdentamat-tomat 4]]-Opv.kohd.[[#This Row],[Kohdentamat-tomat 1]]</f>
        <v>0</v>
      </c>
      <c r="AL80" s="204">
        <f>Opv.kohd.[[#This Row],[Työvoima-koulutus 4]]-Opv.kohd.[[#This Row],[Työvoima-koulutus 1]]</f>
        <v>0</v>
      </c>
      <c r="AM80" s="204">
        <f>Opv.kohd.[[#This Row],[Maahan-muuttajien koulutus 4]]-Opv.kohd.[[#This Row],[Maahan-muuttajien koulutus 1]]</f>
        <v>0</v>
      </c>
      <c r="AN80" s="204">
        <f>Opv.kohd.[[#This Row],[Nuorisotyöt. väh. ja osaamistarp. vast., muu kuin työvoima-koulutus 4]]-Opv.kohd.[[#This Row],[Nuorisotyöt. väh. ja osaamistarp. vast., muu kuin työvoima-koulutus 1]]</f>
        <v>0</v>
      </c>
      <c r="AO80" s="204">
        <f>Opv.kohd.[[#This Row],[Nuorisotyöt. väh. ja osaamistarp. vast., työvoima-koulutus 4]]-Opv.kohd.[[#This Row],[Nuorisotyöt. väh. ja osaamistarp. vast., työvoima-koulutus 1]]</f>
        <v>0</v>
      </c>
      <c r="AP80" s="204">
        <f>Opv.kohd.[[#This Row],[Yhteensä 4]]-Opv.kohd.[[#This Row],[Yhteensä  1]]</f>
        <v>0</v>
      </c>
      <c r="AQ80" s="204">
        <f>Opv.kohd.[[#This Row],[Ensikertaisella suoritepäätöksellä jaetut tavoitteelliset opiskelijavuodet yhteensä 4]]-Opv.kohd.[[#This Row],[Ensikertaisella suoritepäätöksellä jaetut tavoitteelliset opiskelijavuodet yhteensä 1]]</f>
        <v>0</v>
      </c>
      <c r="AR80" s="208">
        <f>IFERROR(Opv.kohd.[[#This Row],[Järjestämisluvan mukaiset 5]]/Opv.kohd.[[#This Row],[Järjestämisluvan mukaiset 4]],0)</f>
        <v>0</v>
      </c>
      <c r="AS80" s="208">
        <f>IFERROR(Opv.kohd.[[#This Row],[Kohdentamat-tomat 5]]/Opv.kohd.[[#This Row],[Kohdentamat-tomat 4]],0)</f>
        <v>0</v>
      </c>
      <c r="AT80" s="208">
        <f>IFERROR(Opv.kohd.[[#This Row],[Työvoima-koulutus 5]]/Opv.kohd.[[#This Row],[Työvoima-koulutus 4]],0)</f>
        <v>0</v>
      </c>
      <c r="AU80" s="208">
        <f>IFERROR(Opv.kohd.[[#This Row],[Maahan-muuttajien koulutus 5]]/Opv.kohd.[[#This Row],[Maahan-muuttajien koulutus 4]],0)</f>
        <v>0</v>
      </c>
      <c r="AV80" s="208">
        <f>IFERROR(Opv.kohd.[[#This Row],[Nuorisotyöt. väh. ja osaamistarp. vast., muu kuin työvoima-koulutus 5]]/Opv.kohd.[[#This Row],[Nuorisotyöt. väh. ja osaamistarp. vast., muu kuin työvoima-koulutus 4]],0)</f>
        <v>0</v>
      </c>
      <c r="AW80" s="208">
        <f>IFERROR(Opv.kohd.[[#This Row],[Nuorisotyöt. väh. ja osaamistarp. vast., työvoima-koulutus 5]]/Opv.kohd.[[#This Row],[Nuorisotyöt. väh. ja osaamistarp. vast., työvoima-koulutus 4]],0)</f>
        <v>0</v>
      </c>
      <c r="AX80" s="208">
        <f>IFERROR(Opv.kohd.[[#This Row],[Yhteensä 5]]/Opv.kohd.[[#This Row],[Yhteensä 4]],0)</f>
        <v>0</v>
      </c>
      <c r="AY80" s="208">
        <f>IFERROR(Opv.kohd.[[#This Row],[Ensikertaisella suoritepäätöksellä jaetut tavoitteelliset opiskelijavuodet yhteensä 5]]/Opv.kohd.[[#This Row],[Ensikertaisella suoritepäätöksellä jaetut tavoitteelliset opiskelijavuodet yhteensä 4]],0)</f>
        <v>0</v>
      </c>
      <c r="AZ80" s="207">
        <f>Opv.kohd.[[#This Row],[Yhteensä 7a]]-Opv.kohd.[[#This Row],[Työvoima-koulutus 7a]]</f>
        <v>0</v>
      </c>
      <c r="BA80" s="207">
        <f>IFERROR(VLOOKUP(Opv.kohd.[[#This Row],[Y-tunnus]],#REF!,COLUMN(#REF!),FALSE),0)</f>
        <v>0</v>
      </c>
      <c r="BB80" s="207">
        <f>IFERROR(VLOOKUP(Opv.kohd.[[#This Row],[Y-tunnus]],#REF!,COLUMN(#REF!),FALSE),0)</f>
        <v>0</v>
      </c>
      <c r="BC80" s="207">
        <f>Opv.kohd.[[#This Row],[Muu kuin työvoima-koulutus 7c]]-Opv.kohd.[[#This Row],[Muu kuin työvoima-koulutus 7a]]</f>
        <v>0</v>
      </c>
      <c r="BD80" s="207">
        <f>Opv.kohd.[[#This Row],[Työvoima-koulutus 7c]]-Opv.kohd.[[#This Row],[Työvoima-koulutus 7a]]</f>
        <v>0</v>
      </c>
      <c r="BE80" s="207">
        <f>Opv.kohd.[[#This Row],[Yhteensä 7c]]-Opv.kohd.[[#This Row],[Yhteensä 7a]]</f>
        <v>0</v>
      </c>
      <c r="BF80" s="207">
        <f>Opv.kohd.[[#This Row],[Yhteensä 7c]]-Opv.kohd.[[#This Row],[Työvoima-koulutus 7c]]</f>
        <v>0</v>
      </c>
      <c r="BG80" s="207">
        <f>IFERROR(VLOOKUP(Opv.kohd.[[#This Row],[Y-tunnus]],#REF!,COLUMN(#REF!),FALSE),0)</f>
        <v>0</v>
      </c>
      <c r="BH80" s="207">
        <f>IFERROR(VLOOKUP(Opv.kohd.[[#This Row],[Y-tunnus]],#REF!,COLUMN(#REF!),FALSE),0)</f>
        <v>0</v>
      </c>
      <c r="BI80" s="207">
        <f>IFERROR(VLOOKUP(Opv.kohd.[[#This Row],[Y-tunnus]],#REF!,COLUMN(#REF!),FALSE),0)</f>
        <v>0</v>
      </c>
      <c r="BJ80" s="207">
        <f>IFERROR(VLOOKUP(Opv.kohd.[[#This Row],[Y-tunnus]],#REF!,COLUMN(#REF!),FALSE),0)</f>
        <v>0</v>
      </c>
      <c r="BK80" s="207">
        <f>Opv.kohd.[[#This Row],[Muu kuin työvoima-koulutus 7d]]+Opv.kohd.[[#This Row],[Työvoima-koulutus 7d]]</f>
        <v>0</v>
      </c>
      <c r="BL80" s="207">
        <f>Opv.kohd.[[#This Row],[Muu kuin työvoima-koulutus 7c]]-Opv.kohd.[[#This Row],[Muu kuin työvoima-koulutus 7d]]</f>
        <v>0</v>
      </c>
      <c r="BM80" s="207">
        <f>Opv.kohd.[[#This Row],[Työvoima-koulutus 7c]]-Opv.kohd.[[#This Row],[Työvoima-koulutus 7d]]</f>
        <v>0</v>
      </c>
      <c r="BN80" s="207">
        <f>Opv.kohd.[[#This Row],[Yhteensä 7c]]-Opv.kohd.[[#This Row],[Yhteensä 7d]]</f>
        <v>0</v>
      </c>
      <c r="BO80" s="207">
        <f>Opv.kohd.[[#This Row],[Muu kuin työvoima-koulutus 7e]]-(Opv.kohd.[[#This Row],[Järjestämisluvan mukaiset 4]]+Opv.kohd.[[#This Row],[Kohdentamat-tomat 4]]+Opv.kohd.[[#This Row],[Maahan-muuttajien koulutus 4]]+Opv.kohd.[[#This Row],[Nuorisotyöt. väh. ja osaamistarp. vast., muu kuin työvoima-koulutus 4]])</f>
        <v>0</v>
      </c>
      <c r="BP80" s="207">
        <f>Opv.kohd.[[#This Row],[Työvoima-koulutus 7e]]-(Opv.kohd.[[#This Row],[Työvoima-koulutus 4]]+Opv.kohd.[[#This Row],[Nuorisotyöt. väh. ja osaamistarp. vast., työvoima-koulutus 4]])</f>
        <v>0</v>
      </c>
      <c r="BQ80" s="207">
        <f>Opv.kohd.[[#This Row],[Yhteensä 7e]]-Opv.kohd.[[#This Row],[Ensikertaisella suoritepäätöksellä jaetut tavoitteelliset opiskelijavuodet yhteensä 4]]</f>
        <v>0</v>
      </c>
      <c r="BR80" s="263">
        <v>43</v>
      </c>
      <c r="BS80" s="263">
        <v>0</v>
      </c>
      <c r="BT80" s="263">
        <v>0</v>
      </c>
      <c r="BU80" s="263">
        <v>0</v>
      </c>
      <c r="BV80" s="263">
        <v>0</v>
      </c>
      <c r="BW80" s="263">
        <v>0</v>
      </c>
      <c r="BX80" s="263">
        <v>0</v>
      </c>
      <c r="BY80" s="263">
        <v>43</v>
      </c>
      <c r="BZ80" s="207">
        <f t="shared" si="17"/>
        <v>43</v>
      </c>
      <c r="CA80" s="207">
        <f t="shared" si="18"/>
        <v>0</v>
      </c>
      <c r="CB80" s="207">
        <f t="shared" si="19"/>
        <v>0</v>
      </c>
      <c r="CC80" s="207">
        <f t="shared" si="20"/>
        <v>0</v>
      </c>
      <c r="CD80" s="207">
        <f t="shared" si="21"/>
        <v>0</v>
      </c>
      <c r="CE80" s="207">
        <f t="shared" si="22"/>
        <v>0</v>
      </c>
      <c r="CF80" s="207">
        <f t="shared" si="23"/>
        <v>0</v>
      </c>
      <c r="CG80" s="207">
        <f t="shared" si="24"/>
        <v>43</v>
      </c>
      <c r="CH80" s="207">
        <f>Opv.kohd.[[#This Row],[Tavoitteelliset opiskelijavuodet yhteensä 9]]-Opv.kohd.[[#This Row],[Työvoima-koulutus 9]]-Opv.kohd.[[#This Row],[Nuorisotyöt. väh. ja osaamistarp. vast., työvoima-koulutus 9]]-Opv.kohd.[[#This Row],[Muu kuin työvoima-koulutus 7e]]</f>
        <v>43</v>
      </c>
      <c r="CI80" s="207">
        <f>(Opv.kohd.[[#This Row],[Työvoima-koulutus 9]]+Opv.kohd.[[#This Row],[Nuorisotyöt. väh. ja osaamistarp. vast., työvoima-koulutus 9]])-Opv.kohd.[[#This Row],[Työvoima-koulutus 7e]]</f>
        <v>0</v>
      </c>
      <c r="CJ80" s="207">
        <f>Opv.kohd.[[#This Row],[Tavoitteelliset opiskelijavuodet yhteensä 9]]-Opv.kohd.[[#This Row],[Yhteensä 7e]]</f>
        <v>43</v>
      </c>
      <c r="CK80" s="207">
        <f>Opv.kohd.[[#This Row],[Järjestämisluvan mukaiset 4]]+Opv.kohd.[[#This Row],[Järjestämisluvan mukaiset 13]]</f>
        <v>0</v>
      </c>
      <c r="CL80" s="207">
        <f>Opv.kohd.[[#This Row],[Kohdentamat-tomat 4]]+Opv.kohd.[[#This Row],[Kohdentamat-tomat 13]]</f>
        <v>0</v>
      </c>
      <c r="CM80" s="207">
        <f>Opv.kohd.[[#This Row],[Työvoima-koulutus 4]]+Opv.kohd.[[#This Row],[Työvoima-koulutus 13]]</f>
        <v>0</v>
      </c>
      <c r="CN80" s="207">
        <f>Opv.kohd.[[#This Row],[Maahan-muuttajien koulutus 4]]+Opv.kohd.[[#This Row],[Maahan-muuttajien koulutus 13]]</f>
        <v>0</v>
      </c>
      <c r="CO80" s="207">
        <f>Opv.kohd.[[#This Row],[Nuorisotyöt. väh. ja osaamistarp. vast., muu kuin työvoima-koulutus 4]]+Opv.kohd.[[#This Row],[Nuorisotyöt. väh. ja osaamistarp. vast., muu kuin työvoima-koulutus 13]]</f>
        <v>0</v>
      </c>
      <c r="CP80" s="207">
        <f>Opv.kohd.[[#This Row],[Nuorisotyöt. väh. ja osaamistarp. vast., työvoima-koulutus 4]]+Opv.kohd.[[#This Row],[Nuorisotyöt. väh. ja osaamistarp. vast., työvoima-koulutus 13]]</f>
        <v>0</v>
      </c>
      <c r="CQ80" s="207">
        <f>Opv.kohd.[[#This Row],[Yhteensä 4]]+Opv.kohd.[[#This Row],[Yhteensä 13]]</f>
        <v>0</v>
      </c>
      <c r="CR80" s="207">
        <f>Opv.kohd.[[#This Row],[Ensikertaisella suoritepäätöksellä jaetut tavoitteelliset opiskelijavuodet yhteensä 4]]+Opv.kohd.[[#This Row],[Tavoitteelliset opiskelijavuodet yhteensä 13]]</f>
        <v>0</v>
      </c>
      <c r="CS80" s="120">
        <v>0</v>
      </c>
      <c r="CT80" s="120">
        <v>0</v>
      </c>
      <c r="CU80" s="120">
        <v>0</v>
      </c>
      <c r="CV80" s="120">
        <v>0</v>
      </c>
      <c r="CW80" s="120">
        <v>0</v>
      </c>
      <c r="CX80" s="120">
        <v>0</v>
      </c>
      <c r="CY80" s="120">
        <v>0</v>
      </c>
      <c r="CZ80" s="120">
        <v>0</v>
      </c>
      <c r="DA80" s="209">
        <f>IFERROR(Opv.kohd.[[#This Row],[Järjestämisluvan mukaiset 13]]/Opv.kohd.[[#This Row],[Järjestämisluvan mukaiset 12]],0)</f>
        <v>0</v>
      </c>
      <c r="DB80" s="209">
        <f>IFERROR(Opv.kohd.[[#This Row],[Kohdentamat-tomat 13]]/Opv.kohd.[[#This Row],[Kohdentamat-tomat 12]],0)</f>
        <v>0</v>
      </c>
      <c r="DC80" s="209">
        <f>IFERROR(Opv.kohd.[[#This Row],[Työvoima-koulutus 13]]/Opv.kohd.[[#This Row],[Työvoima-koulutus 12]],0)</f>
        <v>0</v>
      </c>
      <c r="DD80" s="209">
        <f>IFERROR(Opv.kohd.[[#This Row],[Maahan-muuttajien koulutus 13]]/Opv.kohd.[[#This Row],[Maahan-muuttajien koulutus 12]],0)</f>
        <v>0</v>
      </c>
      <c r="DE80" s="209">
        <f>IFERROR(Opv.kohd.[[#This Row],[Nuorisotyöt. väh. ja osaamistarp. vast., muu kuin työvoima-koulutus 13]]/Opv.kohd.[[#This Row],[Nuorisotyöt. väh. ja osaamistarp. vast., muu kuin työvoima-koulutus 12]],0)</f>
        <v>0</v>
      </c>
      <c r="DF80" s="209">
        <f>IFERROR(Opv.kohd.[[#This Row],[Nuorisotyöt. väh. ja osaamistarp. vast., työvoima-koulutus 13]]/Opv.kohd.[[#This Row],[Nuorisotyöt. väh. ja osaamistarp. vast., työvoima-koulutus 12]],0)</f>
        <v>0</v>
      </c>
      <c r="DG80" s="209">
        <f>IFERROR(Opv.kohd.[[#This Row],[Yhteensä 13]]/Opv.kohd.[[#This Row],[Yhteensä 12]],0)</f>
        <v>0</v>
      </c>
      <c r="DH80" s="209">
        <f>IFERROR(Opv.kohd.[[#This Row],[Tavoitteelliset opiskelijavuodet yhteensä 13]]/Opv.kohd.[[#This Row],[Tavoitteelliset opiskelijavuodet yhteensä 12]],0)</f>
        <v>0</v>
      </c>
      <c r="DI80" s="207">
        <f>Opv.kohd.[[#This Row],[Järjestämisluvan mukaiset 12]]-Opv.kohd.[[#This Row],[Järjestämisluvan mukaiset 9]]</f>
        <v>-43</v>
      </c>
      <c r="DJ80" s="207">
        <f>Opv.kohd.[[#This Row],[Kohdentamat-tomat 12]]-Opv.kohd.[[#This Row],[Kohdentamat-tomat 9]]</f>
        <v>0</v>
      </c>
      <c r="DK80" s="207">
        <f>Opv.kohd.[[#This Row],[Työvoima-koulutus 12]]-Opv.kohd.[[#This Row],[Työvoima-koulutus 9]]</f>
        <v>0</v>
      </c>
      <c r="DL80" s="207">
        <f>Opv.kohd.[[#This Row],[Maahan-muuttajien koulutus 12]]-Opv.kohd.[[#This Row],[Maahan-muuttajien koulutus 9]]</f>
        <v>0</v>
      </c>
      <c r="DM80" s="207">
        <f>Opv.kohd.[[#This Row],[Nuorisotyöt. väh. ja osaamistarp. vast., muu kuin työvoima-koulutus 12]]-Opv.kohd.[[#This Row],[Nuorisotyöt. väh. ja osaamistarp. vast., muu kuin työvoima-koulutus 9]]</f>
        <v>0</v>
      </c>
      <c r="DN80" s="207">
        <f>Opv.kohd.[[#This Row],[Nuorisotyöt. väh. ja osaamistarp. vast., työvoima-koulutus 12]]-Opv.kohd.[[#This Row],[Nuorisotyöt. väh. ja osaamistarp. vast., työvoima-koulutus 9]]</f>
        <v>0</v>
      </c>
      <c r="DO80" s="207">
        <f>Opv.kohd.[[#This Row],[Yhteensä 12]]-Opv.kohd.[[#This Row],[Yhteensä 9]]</f>
        <v>0</v>
      </c>
      <c r="DP80" s="207">
        <f>Opv.kohd.[[#This Row],[Tavoitteelliset opiskelijavuodet yhteensä 12]]-Opv.kohd.[[#This Row],[Tavoitteelliset opiskelijavuodet yhteensä 9]]</f>
        <v>-43</v>
      </c>
      <c r="DQ80" s="209">
        <f>IFERROR(Opv.kohd.[[#This Row],[Järjestämisluvan mukaiset 15]]/Opv.kohd.[[#This Row],[Järjestämisluvan mukaiset 9]],0)</f>
        <v>-1</v>
      </c>
      <c r="DR80" s="209">
        <f t="shared" si="25"/>
        <v>0</v>
      </c>
      <c r="DS80" s="209">
        <f t="shared" si="26"/>
        <v>0</v>
      </c>
      <c r="DT80" s="209">
        <f t="shared" si="27"/>
        <v>0</v>
      </c>
      <c r="DU80" s="209">
        <f t="shared" si="28"/>
        <v>0</v>
      </c>
      <c r="DV80" s="209">
        <f t="shared" si="29"/>
        <v>0</v>
      </c>
      <c r="DW80" s="209">
        <f t="shared" si="30"/>
        <v>0</v>
      </c>
      <c r="DX80" s="209">
        <f t="shared" si="31"/>
        <v>0</v>
      </c>
    </row>
    <row r="81" spans="1:128" x14ac:dyDescent="0.25">
      <c r="A81" s="204" t="e">
        <f>IF(INDEX(#REF!,ROW(81:81)-1,1)=0,"",INDEX(#REF!,ROW(81:81)-1,1))</f>
        <v>#REF!</v>
      </c>
      <c r="B81" s="205" t="str">
        <f>IFERROR(VLOOKUP(Opv.kohd.[[#This Row],[Y-tunnus]],'0 Järjestäjätiedot'!$A:$H,2,FALSE),"")</f>
        <v/>
      </c>
      <c r="C81" s="204" t="str">
        <f>IFERROR(VLOOKUP(Opv.kohd.[[#This Row],[Y-tunnus]],'0 Järjestäjätiedot'!$A:$H,COLUMN('0 Järjestäjätiedot'!D:D),FALSE),"")</f>
        <v/>
      </c>
      <c r="D81" s="204" t="str">
        <f>IFERROR(VLOOKUP(Opv.kohd.[[#This Row],[Y-tunnus]],'0 Järjestäjätiedot'!$A:$H,COLUMN('0 Järjestäjätiedot'!H:H),FALSE),"")</f>
        <v/>
      </c>
      <c r="E81" s="204">
        <f>IFERROR(VLOOKUP(Opv.kohd.[[#This Row],[Y-tunnus]],#REF!,COLUMN(#REF!),FALSE),0)</f>
        <v>0</v>
      </c>
      <c r="F81" s="204">
        <f>IFERROR(VLOOKUP(Opv.kohd.[[#This Row],[Y-tunnus]],#REF!,COLUMN(#REF!),FALSE),0)</f>
        <v>0</v>
      </c>
      <c r="G81" s="204">
        <f>IFERROR(VLOOKUP(Opv.kohd.[[#This Row],[Y-tunnus]],#REF!,COLUMN(#REF!),FALSE),0)</f>
        <v>0</v>
      </c>
      <c r="H81" s="204">
        <f>IFERROR(VLOOKUP(Opv.kohd.[[#This Row],[Y-tunnus]],#REF!,COLUMN(#REF!),FALSE),0)</f>
        <v>0</v>
      </c>
      <c r="I81" s="204">
        <f>IFERROR(VLOOKUP(Opv.kohd.[[#This Row],[Y-tunnus]],#REF!,COLUMN(#REF!),FALSE),0)</f>
        <v>0</v>
      </c>
      <c r="J81" s="204">
        <f>IFERROR(VLOOKUP(Opv.kohd.[[#This Row],[Y-tunnus]],#REF!,COLUMN(#REF!),FALSE),0)</f>
        <v>0</v>
      </c>
      <c r="K8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81" s="204">
        <f>Opv.kohd.[[#This Row],[Järjestämisluvan mukaiset 1]]+Opv.kohd.[[#This Row],[Yhteensä  1]]</f>
        <v>0</v>
      </c>
      <c r="M81" s="204">
        <f>IFERROR(VLOOKUP(Opv.kohd.[[#This Row],[Y-tunnus]],#REF!,COLUMN(#REF!),FALSE),0)</f>
        <v>0</v>
      </c>
      <c r="N81" s="204">
        <f>IFERROR(VLOOKUP(Opv.kohd.[[#This Row],[Y-tunnus]],#REF!,COLUMN(#REF!),FALSE),0)</f>
        <v>0</v>
      </c>
      <c r="O81" s="204">
        <f>IFERROR(VLOOKUP(Opv.kohd.[[#This Row],[Y-tunnus]],#REF!,COLUMN(#REF!),FALSE)+VLOOKUP(Opv.kohd.[[#This Row],[Y-tunnus]],#REF!,COLUMN(#REF!),FALSE),0)</f>
        <v>0</v>
      </c>
      <c r="P81" s="204">
        <f>Opv.kohd.[[#This Row],[Talousarvion perusteella kohdentamattomat]]+Opv.kohd.[[#This Row],[Talousarvion perusteella työvoimakoulutus 1]]+Opv.kohd.[[#This Row],[Lisätalousarvioiden perusteella]]</f>
        <v>0</v>
      </c>
      <c r="Q81" s="204">
        <f>IFERROR(VLOOKUP(Opv.kohd.[[#This Row],[Y-tunnus]],#REF!,COLUMN(#REF!),FALSE),0)</f>
        <v>0</v>
      </c>
      <c r="R81" s="210">
        <f>IFERROR(VLOOKUP(Opv.kohd.[[#This Row],[Y-tunnus]],#REF!,COLUMN(#REF!),FALSE)-(Opv.kohd.[[#This Row],[Kohdentamaton työvoima-koulutus 2]]+Opv.kohd.[[#This Row],[Maahan-muuttajien koulutus 2]]+Opv.kohd.[[#This Row],[Lisätalousarvioiden perusteella jaetut 2]]),0)</f>
        <v>0</v>
      </c>
      <c r="S81" s="210">
        <f>IFERROR(VLOOKUP(Opv.kohd.[[#This Row],[Y-tunnus]],#REF!,COLUMN(#REF!),FALSE)+VLOOKUP(Opv.kohd.[[#This Row],[Y-tunnus]],#REF!,COLUMN(#REF!),FALSE),0)</f>
        <v>0</v>
      </c>
      <c r="T81" s="210">
        <f>IFERROR(VLOOKUP(Opv.kohd.[[#This Row],[Y-tunnus]],#REF!,COLUMN(#REF!),FALSE)+VLOOKUP(Opv.kohd.[[#This Row],[Y-tunnus]],#REF!,COLUMN(#REF!),FALSE),0)</f>
        <v>0</v>
      </c>
      <c r="U8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81" s="210">
        <f>Opv.kohd.[[#This Row],[Kohdentamat-tomat 2]]+Opv.kohd.[[#This Row],[Kohdentamaton työvoima-koulutus 2]]+Opv.kohd.[[#This Row],[Maahan-muuttajien koulutus 2]]+Opv.kohd.[[#This Row],[Lisätalousarvioiden perusteella jaetut 2]]</f>
        <v>0</v>
      </c>
      <c r="W81" s="210">
        <f>Opv.kohd.[[#This Row],[Kohdentamat-tomat 2]]-(Opv.kohd.[[#This Row],[Järjestämisluvan mukaiset 1]]+Opv.kohd.[[#This Row],[Kohdentamat-tomat 1]]+Opv.kohd.[[#This Row],[Nuorisotyöt. väh. ja osaamistarp. vast., muu kuin työvoima-koulutus 1]]+Opv.kohd.[[#This Row],[Talousarvion perusteella kohdentamattomat]])</f>
        <v>0</v>
      </c>
      <c r="X81" s="210">
        <f>Opv.kohd.[[#This Row],[Kohdentamaton työvoima-koulutus 2]]-(Opv.kohd.[[#This Row],[Työvoima-koulutus 1]]+Opv.kohd.[[#This Row],[Nuorisotyöt. väh. ja osaamistarp. vast., työvoima-koulutus 1]]+Opv.kohd.[[#This Row],[Talousarvion perusteella työvoimakoulutus 1]])</f>
        <v>0</v>
      </c>
      <c r="Y81" s="210">
        <f>Opv.kohd.[[#This Row],[Maahan-muuttajien koulutus 2]]-Opv.kohd.[[#This Row],[Maahan-muuttajien koulutus 1]]</f>
        <v>0</v>
      </c>
      <c r="Z81" s="210">
        <f>Opv.kohd.[[#This Row],[Lisätalousarvioiden perusteella jaetut 2]]-Opv.kohd.[[#This Row],[Lisätalousarvioiden perusteella]]</f>
        <v>0</v>
      </c>
      <c r="AA81" s="210">
        <f>Opv.kohd.[[#This Row],[Toteutuneet opiskelijavuodet yhteensä 2]]-Opv.kohd.[[#This Row],[Vuoden 2018 tavoitteelliset opiskelijavuodet yhteensä 1]]</f>
        <v>0</v>
      </c>
      <c r="AB81" s="207">
        <f>IFERROR(VLOOKUP(Opv.kohd.[[#This Row],[Y-tunnus]],#REF!,3,FALSE),0)</f>
        <v>0</v>
      </c>
      <c r="AC81" s="207">
        <f>IFERROR(VLOOKUP(Opv.kohd.[[#This Row],[Y-tunnus]],#REF!,4,FALSE),0)</f>
        <v>0</v>
      </c>
      <c r="AD81" s="207">
        <f>IFERROR(VLOOKUP(Opv.kohd.[[#This Row],[Y-tunnus]],#REF!,5,FALSE),0)</f>
        <v>0</v>
      </c>
      <c r="AE81" s="207">
        <f>IFERROR(VLOOKUP(Opv.kohd.[[#This Row],[Y-tunnus]],#REF!,6,FALSE),0)</f>
        <v>0</v>
      </c>
      <c r="AF81" s="207">
        <f>IFERROR(VLOOKUP(Opv.kohd.[[#This Row],[Y-tunnus]],#REF!,7,FALSE),0)</f>
        <v>0</v>
      </c>
      <c r="AG81" s="207">
        <f>IFERROR(VLOOKUP(Opv.kohd.[[#This Row],[Y-tunnus]],#REF!,8,FALSE),0)</f>
        <v>0</v>
      </c>
      <c r="AH81" s="207">
        <f>IFERROR(VLOOKUP(Opv.kohd.[[#This Row],[Y-tunnus]],#REF!,9,FALSE),0)</f>
        <v>0</v>
      </c>
      <c r="AI81" s="207">
        <f>IFERROR(VLOOKUP(Opv.kohd.[[#This Row],[Y-tunnus]],#REF!,10,FALSE),0)</f>
        <v>0</v>
      </c>
      <c r="AJ81" s="204">
        <f>Opv.kohd.[[#This Row],[Järjestämisluvan mukaiset 4]]-Opv.kohd.[[#This Row],[Järjestämisluvan mukaiset 1]]</f>
        <v>0</v>
      </c>
      <c r="AK81" s="204">
        <f>Opv.kohd.[[#This Row],[Kohdentamat-tomat 4]]-Opv.kohd.[[#This Row],[Kohdentamat-tomat 1]]</f>
        <v>0</v>
      </c>
      <c r="AL81" s="204">
        <f>Opv.kohd.[[#This Row],[Työvoima-koulutus 4]]-Opv.kohd.[[#This Row],[Työvoima-koulutus 1]]</f>
        <v>0</v>
      </c>
      <c r="AM81" s="204">
        <f>Opv.kohd.[[#This Row],[Maahan-muuttajien koulutus 4]]-Opv.kohd.[[#This Row],[Maahan-muuttajien koulutus 1]]</f>
        <v>0</v>
      </c>
      <c r="AN81" s="204">
        <f>Opv.kohd.[[#This Row],[Nuorisotyöt. väh. ja osaamistarp. vast., muu kuin työvoima-koulutus 4]]-Opv.kohd.[[#This Row],[Nuorisotyöt. väh. ja osaamistarp. vast., muu kuin työvoima-koulutus 1]]</f>
        <v>0</v>
      </c>
      <c r="AO81" s="204">
        <f>Opv.kohd.[[#This Row],[Nuorisotyöt. väh. ja osaamistarp. vast., työvoima-koulutus 4]]-Opv.kohd.[[#This Row],[Nuorisotyöt. väh. ja osaamistarp. vast., työvoima-koulutus 1]]</f>
        <v>0</v>
      </c>
      <c r="AP81" s="204">
        <f>Opv.kohd.[[#This Row],[Yhteensä 4]]-Opv.kohd.[[#This Row],[Yhteensä  1]]</f>
        <v>0</v>
      </c>
      <c r="AQ81" s="204">
        <f>Opv.kohd.[[#This Row],[Ensikertaisella suoritepäätöksellä jaetut tavoitteelliset opiskelijavuodet yhteensä 4]]-Opv.kohd.[[#This Row],[Ensikertaisella suoritepäätöksellä jaetut tavoitteelliset opiskelijavuodet yhteensä 1]]</f>
        <v>0</v>
      </c>
      <c r="AR81" s="208">
        <f>IFERROR(Opv.kohd.[[#This Row],[Järjestämisluvan mukaiset 5]]/Opv.kohd.[[#This Row],[Järjestämisluvan mukaiset 4]],0)</f>
        <v>0</v>
      </c>
      <c r="AS81" s="208">
        <f>IFERROR(Opv.kohd.[[#This Row],[Kohdentamat-tomat 5]]/Opv.kohd.[[#This Row],[Kohdentamat-tomat 4]],0)</f>
        <v>0</v>
      </c>
      <c r="AT81" s="208">
        <f>IFERROR(Opv.kohd.[[#This Row],[Työvoima-koulutus 5]]/Opv.kohd.[[#This Row],[Työvoima-koulutus 4]],0)</f>
        <v>0</v>
      </c>
      <c r="AU81" s="208">
        <f>IFERROR(Opv.kohd.[[#This Row],[Maahan-muuttajien koulutus 5]]/Opv.kohd.[[#This Row],[Maahan-muuttajien koulutus 4]],0)</f>
        <v>0</v>
      </c>
      <c r="AV81" s="208">
        <f>IFERROR(Opv.kohd.[[#This Row],[Nuorisotyöt. väh. ja osaamistarp. vast., muu kuin työvoima-koulutus 5]]/Opv.kohd.[[#This Row],[Nuorisotyöt. väh. ja osaamistarp. vast., muu kuin työvoima-koulutus 4]],0)</f>
        <v>0</v>
      </c>
      <c r="AW81" s="208">
        <f>IFERROR(Opv.kohd.[[#This Row],[Nuorisotyöt. väh. ja osaamistarp. vast., työvoima-koulutus 5]]/Opv.kohd.[[#This Row],[Nuorisotyöt. väh. ja osaamistarp. vast., työvoima-koulutus 4]],0)</f>
        <v>0</v>
      </c>
      <c r="AX81" s="208">
        <f>IFERROR(Opv.kohd.[[#This Row],[Yhteensä 5]]/Opv.kohd.[[#This Row],[Yhteensä 4]],0)</f>
        <v>0</v>
      </c>
      <c r="AY81" s="208">
        <f>IFERROR(Opv.kohd.[[#This Row],[Ensikertaisella suoritepäätöksellä jaetut tavoitteelliset opiskelijavuodet yhteensä 5]]/Opv.kohd.[[#This Row],[Ensikertaisella suoritepäätöksellä jaetut tavoitteelliset opiskelijavuodet yhteensä 4]],0)</f>
        <v>0</v>
      </c>
      <c r="AZ81" s="207">
        <f>Opv.kohd.[[#This Row],[Yhteensä 7a]]-Opv.kohd.[[#This Row],[Työvoima-koulutus 7a]]</f>
        <v>0</v>
      </c>
      <c r="BA81" s="207">
        <f>IFERROR(VLOOKUP(Opv.kohd.[[#This Row],[Y-tunnus]],#REF!,COLUMN(#REF!),FALSE),0)</f>
        <v>0</v>
      </c>
      <c r="BB81" s="207">
        <f>IFERROR(VLOOKUP(Opv.kohd.[[#This Row],[Y-tunnus]],#REF!,COLUMN(#REF!),FALSE),0)</f>
        <v>0</v>
      </c>
      <c r="BC81" s="207">
        <f>Opv.kohd.[[#This Row],[Muu kuin työvoima-koulutus 7c]]-Opv.kohd.[[#This Row],[Muu kuin työvoima-koulutus 7a]]</f>
        <v>0</v>
      </c>
      <c r="BD81" s="207">
        <f>Opv.kohd.[[#This Row],[Työvoima-koulutus 7c]]-Opv.kohd.[[#This Row],[Työvoima-koulutus 7a]]</f>
        <v>0</v>
      </c>
      <c r="BE81" s="207">
        <f>Opv.kohd.[[#This Row],[Yhteensä 7c]]-Opv.kohd.[[#This Row],[Yhteensä 7a]]</f>
        <v>0</v>
      </c>
      <c r="BF81" s="207">
        <f>Opv.kohd.[[#This Row],[Yhteensä 7c]]-Opv.kohd.[[#This Row],[Työvoima-koulutus 7c]]</f>
        <v>0</v>
      </c>
      <c r="BG81" s="207">
        <f>IFERROR(VLOOKUP(Opv.kohd.[[#This Row],[Y-tunnus]],#REF!,COLUMN(#REF!),FALSE),0)</f>
        <v>0</v>
      </c>
      <c r="BH81" s="207">
        <f>IFERROR(VLOOKUP(Opv.kohd.[[#This Row],[Y-tunnus]],#REF!,COLUMN(#REF!),FALSE),0)</f>
        <v>0</v>
      </c>
      <c r="BI81" s="207">
        <f>IFERROR(VLOOKUP(Opv.kohd.[[#This Row],[Y-tunnus]],#REF!,COLUMN(#REF!),FALSE),0)</f>
        <v>0</v>
      </c>
      <c r="BJ81" s="207">
        <f>IFERROR(VLOOKUP(Opv.kohd.[[#This Row],[Y-tunnus]],#REF!,COLUMN(#REF!),FALSE),0)</f>
        <v>0</v>
      </c>
      <c r="BK81" s="207">
        <f>Opv.kohd.[[#This Row],[Muu kuin työvoima-koulutus 7d]]+Opv.kohd.[[#This Row],[Työvoima-koulutus 7d]]</f>
        <v>0</v>
      </c>
      <c r="BL81" s="207">
        <f>Opv.kohd.[[#This Row],[Muu kuin työvoima-koulutus 7c]]-Opv.kohd.[[#This Row],[Muu kuin työvoima-koulutus 7d]]</f>
        <v>0</v>
      </c>
      <c r="BM81" s="207">
        <f>Opv.kohd.[[#This Row],[Työvoima-koulutus 7c]]-Opv.kohd.[[#This Row],[Työvoima-koulutus 7d]]</f>
        <v>0</v>
      </c>
      <c r="BN81" s="207">
        <f>Opv.kohd.[[#This Row],[Yhteensä 7c]]-Opv.kohd.[[#This Row],[Yhteensä 7d]]</f>
        <v>0</v>
      </c>
      <c r="BO81" s="207">
        <f>Opv.kohd.[[#This Row],[Muu kuin työvoima-koulutus 7e]]-(Opv.kohd.[[#This Row],[Järjestämisluvan mukaiset 4]]+Opv.kohd.[[#This Row],[Kohdentamat-tomat 4]]+Opv.kohd.[[#This Row],[Maahan-muuttajien koulutus 4]]+Opv.kohd.[[#This Row],[Nuorisotyöt. väh. ja osaamistarp. vast., muu kuin työvoima-koulutus 4]])</f>
        <v>0</v>
      </c>
      <c r="BP81" s="207">
        <f>Opv.kohd.[[#This Row],[Työvoima-koulutus 7e]]-(Opv.kohd.[[#This Row],[Työvoima-koulutus 4]]+Opv.kohd.[[#This Row],[Nuorisotyöt. väh. ja osaamistarp. vast., työvoima-koulutus 4]])</f>
        <v>0</v>
      </c>
      <c r="BQ81" s="207">
        <f>Opv.kohd.[[#This Row],[Yhteensä 7e]]-Opv.kohd.[[#This Row],[Ensikertaisella suoritepäätöksellä jaetut tavoitteelliset opiskelijavuodet yhteensä 4]]</f>
        <v>0</v>
      </c>
      <c r="BR81" s="263">
        <v>7</v>
      </c>
      <c r="BS81" s="263">
        <v>0</v>
      </c>
      <c r="BT81" s="263">
        <v>0</v>
      </c>
      <c r="BU81" s="263">
        <v>0</v>
      </c>
      <c r="BV81" s="263">
        <v>0</v>
      </c>
      <c r="BW81" s="263">
        <v>0</v>
      </c>
      <c r="BX81" s="263">
        <v>0</v>
      </c>
      <c r="BY81" s="263">
        <v>7</v>
      </c>
      <c r="BZ81" s="207">
        <f t="shared" si="17"/>
        <v>7</v>
      </c>
      <c r="CA81" s="207">
        <f t="shared" si="18"/>
        <v>0</v>
      </c>
      <c r="CB81" s="207">
        <f t="shared" si="19"/>
        <v>0</v>
      </c>
      <c r="CC81" s="207">
        <f t="shared" si="20"/>
        <v>0</v>
      </c>
      <c r="CD81" s="207">
        <f t="shared" si="21"/>
        <v>0</v>
      </c>
      <c r="CE81" s="207">
        <f t="shared" si="22"/>
        <v>0</v>
      </c>
      <c r="CF81" s="207">
        <f t="shared" si="23"/>
        <v>0</v>
      </c>
      <c r="CG81" s="207">
        <f t="shared" si="24"/>
        <v>7</v>
      </c>
      <c r="CH81" s="207">
        <f>Opv.kohd.[[#This Row],[Tavoitteelliset opiskelijavuodet yhteensä 9]]-Opv.kohd.[[#This Row],[Työvoima-koulutus 9]]-Opv.kohd.[[#This Row],[Nuorisotyöt. väh. ja osaamistarp. vast., työvoima-koulutus 9]]-Opv.kohd.[[#This Row],[Muu kuin työvoima-koulutus 7e]]</f>
        <v>7</v>
      </c>
      <c r="CI81" s="207">
        <f>(Opv.kohd.[[#This Row],[Työvoima-koulutus 9]]+Opv.kohd.[[#This Row],[Nuorisotyöt. väh. ja osaamistarp. vast., työvoima-koulutus 9]])-Opv.kohd.[[#This Row],[Työvoima-koulutus 7e]]</f>
        <v>0</v>
      </c>
      <c r="CJ81" s="207">
        <f>Opv.kohd.[[#This Row],[Tavoitteelliset opiskelijavuodet yhteensä 9]]-Opv.kohd.[[#This Row],[Yhteensä 7e]]</f>
        <v>7</v>
      </c>
      <c r="CK81" s="207">
        <f>Opv.kohd.[[#This Row],[Järjestämisluvan mukaiset 4]]+Opv.kohd.[[#This Row],[Järjestämisluvan mukaiset 13]]</f>
        <v>0</v>
      </c>
      <c r="CL81" s="207">
        <f>Opv.kohd.[[#This Row],[Kohdentamat-tomat 4]]+Opv.kohd.[[#This Row],[Kohdentamat-tomat 13]]</f>
        <v>0</v>
      </c>
      <c r="CM81" s="207">
        <f>Opv.kohd.[[#This Row],[Työvoima-koulutus 4]]+Opv.kohd.[[#This Row],[Työvoima-koulutus 13]]</f>
        <v>0</v>
      </c>
      <c r="CN81" s="207">
        <f>Opv.kohd.[[#This Row],[Maahan-muuttajien koulutus 4]]+Opv.kohd.[[#This Row],[Maahan-muuttajien koulutus 13]]</f>
        <v>0</v>
      </c>
      <c r="CO81" s="207">
        <f>Opv.kohd.[[#This Row],[Nuorisotyöt. väh. ja osaamistarp. vast., muu kuin työvoima-koulutus 4]]+Opv.kohd.[[#This Row],[Nuorisotyöt. väh. ja osaamistarp. vast., muu kuin työvoima-koulutus 13]]</f>
        <v>0</v>
      </c>
      <c r="CP81" s="207">
        <f>Opv.kohd.[[#This Row],[Nuorisotyöt. väh. ja osaamistarp. vast., työvoima-koulutus 4]]+Opv.kohd.[[#This Row],[Nuorisotyöt. väh. ja osaamistarp. vast., työvoima-koulutus 13]]</f>
        <v>0</v>
      </c>
      <c r="CQ81" s="207">
        <f>Opv.kohd.[[#This Row],[Yhteensä 4]]+Opv.kohd.[[#This Row],[Yhteensä 13]]</f>
        <v>0</v>
      </c>
      <c r="CR81" s="207">
        <f>Opv.kohd.[[#This Row],[Ensikertaisella suoritepäätöksellä jaetut tavoitteelliset opiskelijavuodet yhteensä 4]]+Opv.kohd.[[#This Row],[Tavoitteelliset opiskelijavuodet yhteensä 13]]</f>
        <v>0</v>
      </c>
      <c r="CS81" s="120">
        <v>0</v>
      </c>
      <c r="CT81" s="120">
        <v>0</v>
      </c>
      <c r="CU81" s="120">
        <v>0</v>
      </c>
      <c r="CV81" s="120">
        <v>0</v>
      </c>
      <c r="CW81" s="120">
        <v>0</v>
      </c>
      <c r="CX81" s="120">
        <v>0</v>
      </c>
      <c r="CY81" s="120">
        <v>0</v>
      </c>
      <c r="CZ81" s="120">
        <v>0</v>
      </c>
      <c r="DA81" s="209">
        <f>IFERROR(Opv.kohd.[[#This Row],[Järjestämisluvan mukaiset 13]]/Opv.kohd.[[#This Row],[Järjestämisluvan mukaiset 12]],0)</f>
        <v>0</v>
      </c>
      <c r="DB81" s="209">
        <f>IFERROR(Opv.kohd.[[#This Row],[Kohdentamat-tomat 13]]/Opv.kohd.[[#This Row],[Kohdentamat-tomat 12]],0)</f>
        <v>0</v>
      </c>
      <c r="DC81" s="209">
        <f>IFERROR(Opv.kohd.[[#This Row],[Työvoima-koulutus 13]]/Opv.kohd.[[#This Row],[Työvoima-koulutus 12]],0)</f>
        <v>0</v>
      </c>
      <c r="DD81" s="209">
        <f>IFERROR(Opv.kohd.[[#This Row],[Maahan-muuttajien koulutus 13]]/Opv.kohd.[[#This Row],[Maahan-muuttajien koulutus 12]],0)</f>
        <v>0</v>
      </c>
      <c r="DE81" s="209">
        <f>IFERROR(Opv.kohd.[[#This Row],[Nuorisotyöt. väh. ja osaamistarp. vast., muu kuin työvoima-koulutus 13]]/Opv.kohd.[[#This Row],[Nuorisotyöt. väh. ja osaamistarp. vast., muu kuin työvoima-koulutus 12]],0)</f>
        <v>0</v>
      </c>
      <c r="DF81" s="209">
        <f>IFERROR(Opv.kohd.[[#This Row],[Nuorisotyöt. väh. ja osaamistarp. vast., työvoima-koulutus 13]]/Opv.kohd.[[#This Row],[Nuorisotyöt. väh. ja osaamistarp. vast., työvoima-koulutus 12]],0)</f>
        <v>0</v>
      </c>
      <c r="DG81" s="209">
        <f>IFERROR(Opv.kohd.[[#This Row],[Yhteensä 13]]/Opv.kohd.[[#This Row],[Yhteensä 12]],0)</f>
        <v>0</v>
      </c>
      <c r="DH81" s="209">
        <f>IFERROR(Opv.kohd.[[#This Row],[Tavoitteelliset opiskelijavuodet yhteensä 13]]/Opv.kohd.[[#This Row],[Tavoitteelliset opiskelijavuodet yhteensä 12]],0)</f>
        <v>0</v>
      </c>
      <c r="DI81" s="207">
        <f>Opv.kohd.[[#This Row],[Järjestämisluvan mukaiset 12]]-Opv.kohd.[[#This Row],[Järjestämisluvan mukaiset 9]]</f>
        <v>-7</v>
      </c>
      <c r="DJ81" s="207">
        <f>Opv.kohd.[[#This Row],[Kohdentamat-tomat 12]]-Opv.kohd.[[#This Row],[Kohdentamat-tomat 9]]</f>
        <v>0</v>
      </c>
      <c r="DK81" s="207">
        <f>Opv.kohd.[[#This Row],[Työvoima-koulutus 12]]-Opv.kohd.[[#This Row],[Työvoima-koulutus 9]]</f>
        <v>0</v>
      </c>
      <c r="DL81" s="207">
        <f>Opv.kohd.[[#This Row],[Maahan-muuttajien koulutus 12]]-Opv.kohd.[[#This Row],[Maahan-muuttajien koulutus 9]]</f>
        <v>0</v>
      </c>
      <c r="DM81" s="207">
        <f>Opv.kohd.[[#This Row],[Nuorisotyöt. väh. ja osaamistarp. vast., muu kuin työvoima-koulutus 12]]-Opv.kohd.[[#This Row],[Nuorisotyöt. väh. ja osaamistarp. vast., muu kuin työvoima-koulutus 9]]</f>
        <v>0</v>
      </c>
      <c r="DN81" s="207">
        <f>Opv.kohd.[[#This Row],[Nuorisotyöt. väh. ja osaamistarp. vast., työvoima-koulutus 12]]-Opv.kohd.[[#This Row],[Nuorisotyöt. väh. ja osaamistarp. vast., työvoima-koulutus 9]]</f>
        <v>0</v>
      </c>
      <c r="DO81" s="207">
        <f>Opv.kohd.[[#This Row],[Yhteensä 12]]-Opv.kohd.[[#This Row],[Yhteensä 9]]</f>
        <v>0</v>
      </c>
      <c r="DP81" s="207">
        <f>Opv.kohd.[[#This Row],[Tavoitteelliset opiskelijavuodet yhteensä 12]]-Opv.kohd.[[#This Row],[Tavoitteelliset opiskelijavuodet yhteensä 9]]</f>
        <v>-7</v>
      </c>
      <c r="DQ81" s="209">
        <f>IFERROR(Opv.kohd.[[#This Row],[Järjestämisluvan mukaiset 15]]/Opv.kohd.[[#This Row],[Järjestämisluvan mukaiset 9]],0)</f>
        <v>-1</v>
      </c>
      <c r="DR81" s="209">
        <f t="shared" si="25"/>
        <v>0</v>
      </c>
      <c r="DS81" s="209">
        <f t="shared" si="26"/>
        <v>0</v>
      </c>
      <c r="DT81" s="209">
        <f t="shared" si="27"/>
        <v>0</v>
      </c>
      <c r="DU81" s="209">
        <f t="shared" si="28"/>
        <v>0</v>
      </c>
      <c r="DV81" s="209">
        <f t="shared" si="29"/>
        <v>0</v>
      </c>
      <c r="DW81" s="209">
        <f t="shared" si="30"/>
        <v>0</v>
      </c>
      <c r="DX81" s="209">
        <f t="shared" si="31"/>
        <v>0</v>
      </c>
    </row>
    <row r="82" spans="1:128" x14ac:dyDescent="0.25">
      <c r="A82" s="204" t="e">
        <f>IF(INDEX(#REF!,ROW(82:82)-1,1)=0,"",INDEX(#REF!,ROW(82:82)-1,1))</f>
        <v>#REF!</v>
      </c>
      <c r="B82" s="205" t="str">
        <f>IFERROR(VLOOKUP(Opv.kohd.[[#This Row],[Y-tunnus]],'0 Järjestäjätiedot'!$A:$H,2,FALSE),"")</f>
        <v/>
      </c>
      <c r="C82" s="204" t="str">
        <f>IFERROR(VLOOKUP(Opv.kohd.[[#This Row],[Y-tunnus]],'0 Järjestäjätiedot'!$A:$H,COLUMN('0 Järjestäjätiedot'!D:D),FALSE),"")</f>
        <v/>
      </c>
      <c r="D82" s="204" t="str">
        <f>IFERROR(VLOOKUP(Opv.kohd.[[#This Row],[Y-tunnus]],'0 Järjestäjätiedot'!$A:$H,COLUMN('0 Järjestäjätiedot'!H:H),FALSE),"")</f>
        <v/>
      </c>
      <c r="E82" s="204">
        <f>IFERROR(VLOOKUP(Opv.kohd.[[#This Row],[Y-tunnus]],#REF!,COLUMN(#REF!),FALSE),0)</f>
        <v>0</v>
      </c>
      <c r="F82" s="204">
        <f>IFERROR(VLOOKUP(Opv.kohd.[[#This Row],[Y-tunnus]],#REF!,COLUMN(#REF!),FALSE),0)</f>
        <v>0</v>
      </c>
      <c r="G82" s="204">
        <f>IFERROR(VLOOKUP(Opv.kohd.[[#This Row],[Y-tunnus]],#REF!,COLUMN(#REF!),FALSE),0)</f>
        <v>0</v>
      </c>
      <c r="H82" s="204">
        <f>IFERROR(VLOOKUP(Opv.kohd.[[#This Row],[Y-tunnus]],#REF!,COLUMN(#REF!),FALSE),0)</f>
        <v>0</v>
      </c>
      <c r="I82" s="204">
        <f>IFERROR(VLOOKUP(Opv.kohd.[[#This Row],[Y-tunnus]],#REF!,COLUMN(#REF!),FALSE),0)</f>
        <v>0</v>
      </c>
      <c r="J82" s="204">
        <f>IFERROR(VLOOKUP(Opv.kohd.[[#This Row],[Y-tunnus]],#REF!,COLUMN(#REF!),FALSE),0)</f>
        <v>0</v>
      </c>
      <c r="K8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82" s="204">
        <f>Opv.kohd.[[#This Row],[Järjestämisluvan mukaiset 1]]+Opv.kohd.[[#This Row],[Yhteensä  1]]</f>
        <v>0</v>
      </c>
      <c r="M82" s="204">
        <f>IFERROR(VLOOKUP(Opv.kohd.[[#This Row],[Y-tunnus]],#REF!,COLUMN(#REF!),FALSE),0)</f>
        <v>0</v>
      </c>
      <c r="N82" s="204">
        <f>IFERROR(VLOOKUP(Opv.kohd.[[#This Row],[Y-tunnus]],#REF!,COLUMN(#REF!),FALSE),0)</f>
        <v>0</v>
      </c>
      <c r="O82" s="204">
        <f>IFERROR(VLOOKUP(Opv.kohd.[[#This Row],[Y-tunnus]],#REF!,COLUMN(#REF!),FALSE)+VLOOKUP(Opv.kohd.[[#This Row],[Y-tunnus]],#REF!,COLUMN(#REF!),FALSE),0)</f>
        <v>0</v>
      </c>
      <c r="P82" s="204">
        <f>Opv.kohd.[[#This Row],[Talousarvion perusteella kohdentamattomat]]+Opv.kohd.[[#This Row],[Talousarvion perusteella työvoimakoulutus 1]]+Opv.kohd.[[#This Row],[Lisätalousarvioiden perusteella]]</f>
        <v>0</v>
      </c>
      <c r="Q82" s="204">
        <f>IFERROR(VLOOKUP(Opv.kohd.[[#This Row],[Y-tunnus]],#REF!,COLUMN(#REF!),FALSE),0)</f>
        <v>0</v>
      </c>
      <c r="R82" s="210">
        <f>IFERROR(VLOOKUP(Opv.kohd.[[#This Row],[Y-tunnus]],#REF!,COLUMN(#REF!),FALSE)-(Opv.kohd.[[#This Row],[Kohdentamaton työvoima-koulutus 2]]+Opv.kohd.[[#This Row],[Maahan-muuttajien koulutus 2]]+Opv.kohd.[[#This Row],[Lisätalousarvioiden perusteella jaetut 2]]),0)</f>
        <v>0</v>
      </c>
      <c r="S82" s="210">
        <f>IFERROR(VLOOKUP(Opv.kohd.[[#This Row],[Y-tunnus]],#REF!,COLUMN(#REF!),FALSE)+VLOOKUP(Opv.kohd.[[#This Row],[Y-tunnus]],#REF!,COLUMN(#REF!),FALSE),0)</f>
        <v>0</v>
      </c>
      <c r="T82" s="210">
        <f>IFERROR(VLOOKUP(Opv.kohd.[[#This Row],[Y-tunnus]],#REF!,COLUMN(#REF!),FALSE)+VLOOKUP(Opv.kohd.[[#This Row],[Y-tunnus]],#REF!,COLUMN(#REF!),FALSE),0)</f>
        <v>0</v>
      </c>
      <c r="U8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82" s="210">
        <f>Opv.kohd.[[#This Row],[Kohdentamat-tomat 2]]+Opv.kohd.[[#This Row],[Kohdentamaton työvoima-koulutus 2]]+Opv.kohd.[[#This Row],[Maahan-muuttajien koulutus 2]]+Opv.kohd.[[#This Row],[Lisätalousarvioiden perusteella jaetut 2]]</f>
        <v>0</v>
      </c>
      <c r="W82" s="210">
        <f>Opv.kohd.[[#This Row],[Kohdentamat-tomat 2]]-(Opv.kohd.[[#This Row],[Järjestämisluvan mukaiset 1]]+Opv.kohd.[[#This Row],[Kohdentamat-tomat 1]]+Opv.kohd.[[#This Row],[Nuorisotyöt. väh. ja osaamistarp. vast., muu kuin työvoima-koulutus 1]]+Opv.kohd.[[#This Row],[Talousarvion perusteella kohdentamattomat]])</f>
        <v>0</v>
      </c>
      <c r="X82" s="210">
        <f>Opv.kohd.[[#This Row],[Kohdentamaton työvoima-koulutus 2]]-(Opv.kohd.[[#This Row],[Työvoima-koulutus 1]]+Opv.kohd.[[#This Row],[Nuorisotyöt. väh. ja osaamistarp. vast., työvoima-koulutus 1]]+Opv.kohd.[[#This Row],[Talousarvion perusteella työvoimakoulutus 1]])</f>
        <v>0</v>
      </c>
      <c r="Y82" s="210">
        <f>Opv.kohd.[[#This Row],[Maahan-muuttajien koulutus 2]]-Opv.kohd.[[#This Row],[Maahan-muuttajien koulutus 1]]</f>
        <v>0</v>
      </c>
      <c r="Z82" s="210">
        <f>Opv.kohd.[[#This Row],[Lisätalousarvioiden perusteella jaetut 2]]-Opv.kohd.[[#This Row],[Lisätalousarvioiden perusteella]]</f>
        <v>0</v>
      </c>
      <c r="AA82" s="210">
        <f>Opv.kohd.[[#This Row],[Toteutuneet opiskelijavuodet yhteensä 2]]-Opv.kohd.[[#This Row],[Vuoden 2018 tavoitteelliset opiskelijavuodet yhteensä 1]]</f>
        <v>0</v>
      </c>
      <c r="AB82" s="207">
        <f>IFERROR(VLOOKUP(Opv.kohd.[[#This Row],[Y-tunnus]],#REF!,3,FALSE),0)</f>
        <v>0</v>
      </c>
      <c r="AC82" s="207">
        <f>IFERROR(VLOOKUP(Opv.kohd.[[#This Row],[Y-tunnus]],#REF!,4,FALSE),0)</f>
        <v>0</v>
      </c>
      <c r="AD82" s="207">
        <f>IFERROR(VLOOKUP(Opv.kohd.[[#This Row],[Y-tunnus]],#REF!,5,FALSE),0)</f>
        <v>0</v>
      </c>
      <c r="AE82" s="207">
        <f>IFERROR(VLOOKUP(Opv.kohd.[[#This Row],[Y-tunnus]],#REF!,6,FALSE),0)</f>
        <v>0</v>
      </c>
      <c r="AF82" s="207">
        <f>IFERROR(VLOOKUP(Opv.kohd.[[#This Row],[Y-tunnus]],#REF!,7,FALSE),0)</f>
        <v>0</v>
      </c>
      <c r="AG82" s="207">
        <f>IFERROR(VLOOKUP(Opv.kohd.[[#This Row],[Y-tunnus]],#REF!,8,FALSE),0)</f>
        <v>0</v>
      </c>
      <c r="AH82" s="207">
        <f>IFERROR(VLOOKUP(Opv.kohd.[[#This Row],[Y-tunnus]],#REF!,9,FALSE),0)</f>
        <v>0</v>
      </c>
      <c r="AI82" s="207">
        <f>IFERROR(VLOOKUP(Opv.kohd.[[#This Row],[Y-tunnus]],#REF!,10,FALSE),0)</f>
        <v>0</v>
      </c>
      <c r="AJ82" s="204">
        <f>Opv.kohd.[[#This Row],[Järjestämisluvan mukaiset 4]]-Opv.kohd.[[#This Row],[Järjestämisluvan mukaiset 1]]</f>
        <v>0</v>
      </c>
      <c r="AK82" s="204">
        <f>Opv.kohd.[[#This Row],[Kohdentamat-tomat 4]]-Opv.kohd.[[#This Row],[Kohdentamat-tomat 1]]</f>
        <v>0</v>
      </c>
      <c r="AL82" s="204">
        <f>Opv.kohd.[[#This Row],[Työvoima-koulutus 4]]-Opv.kohd.[[#This Row],[Työvoima-koulutus 1]]</f>
        <v>0</v>
      </c>
      <c r="AM82" s="204">
        <f>Opv.kohd.[[#This Row],[Maahan-muuttajien koulutus 4]]-Opv.kohd.[[#This Row],[Maahan-muuttajien koulutus 1]]</f>
        <v>0</v>
      </c>
      <c r="AN82" s="204">
        <f>Opv.kohd.[[#This Row],[Nuorisotyöt. väh. ja osaamistarp. vast., muu kuin työvoima-koulutus 4]]-Opv.kohd.[[#This Row],[Nuorisotyöt. väh. ja osaamistarp. vast., muu kuin työvoima-koulutus 1]]</f>
        <v>0</v>
      </c>
      <c r="AO82" s="204">
        <f>Opv.kohd.[[#This Row],[Nuorisotyöt. väh. ja osaamistarp. vast., työvoima-koulutus 4]]-Opv.kohd.[[#This Row],[Nuorisotyöt. väh. ja osaamistarp. vast., työvoima-koulutus 1]]</f>
        <v>0</v>
      </c>
      <c r="AP82" s="204">
        <f>Opv.kohd.[[#This Row],[Yhteensä 4]]-Opv.kohd.[[#This Row],[Yhteensä  1]]</f>
        <v>0</v>
      </c>
      <c r="AQ82" s="204">
        <f>Opv.kohd.[[#This Row],[Ensikertaisella suoritepäätöksellä jaetut tavoitteelliset opiskelijavuodet yhteensä 4]]-Opv.kohd.[[#This Row],[Ensikertaisella suoritepäätöksellä jaetut tavoitteelliset opiskelijavuodet yhteensä 1]]</f>
        <v>0</v>
      </c>
      <c r="AR82" s="208">
        <f>IFERROR(Opv.kohd.[[#This Row],[Järjestämisluvan mukaiset 5]]/Opv.kohd.[[#This Row],[Järjestämisluvan mukaiset 4]],0)</f>
        <v>0</v>
      </c>
      <c r="AS82" s="208">
        <f>IFERROR(Opv.kohd.[[#This Row],[Kohdentamat-tomat 5]]/Opv.kohd.[[#This Row],[Kohdentamat-tomat 4]],0)</f>
        <v>0</v>
      </c>
      <c r="AT82" s="208">
        <f>IFERROR(Opv.kohd.[[#This Row],[Työvoima-koulutus 5]]/Opv.kohd.[[#This Row],[Työvoima-koulutus 4]],0)</f>
        <v>0</v>
      </c>
      <c r="AU82" s="208">
        <f>IFERROR(Opv.kohd.[[#This Row],[Maahan-muuttajien koulutus 5]]/Opv.kohd.[[#This Row],[Maahan-muuttajien koulutus 4]],0)</f>
        <v>0</v>
      </c>
      <c r="AV82" s="208">
        <f>IFERROR(Opv.kohd.[[#This Row],[Nuorisotyöt. väh. ja osaamistarp. vast., muu kuin työvoima-koulutus 5]]/Opv.kohd.[[#This Row],[Nuorisotyöt. väh. ja osaamistarp. vast., muu kuin työvoima-koulutus 4]],0)</f>
        <v>0</v>
      </c>
      <c r="AW82" s="208">
        <f>IFERROR(Opv.kohd.[[#This Row],[Nuorisotyöt. väh. ja osaamistarp. vast., työvoima-koulutus 5]]/Opv.kohd.[[#This Row],[Nuorisotyöt. väh. ja osaamistarp. vast., työvoima-koulutus 4]],0)</f>
        <v>0</v>
      </c>
      <c r="AX82" s="208">
        <f>IFERROR(Opv.kohd.[[#This Row],[Yhteensä 5]]/Opv.kohd.[[#This Row],[Yhteensä 4]],0)</f>
        <v>0</v>
      </c>
      <c r="AY82" s="208">
        <f>IFERROR(Opv.kohd.[[#This Row],[Ensikertaisella suoritepäätöksellä jaetut tavoitteelliset opiskelijavuodet yhteensä 5]]/Opv.kohd.[[#This Row],[Ensikertaisella suoritepäätöksellä jaetut tavoitteelliset opiskelijavuodet yhteensä 4]],0)</f>
        <v>0</v>
      </c>
      <c r="AZ82" s="207">
        <f>Opv.kohd.[[#This Row],[Yhteensä 7a]]-Opv.kohd.[[#This Row],[Työvoima-koulutus 7a]]</f>
        <v>0</v>
      </c>
      <c r="BA82" s="207">
        <f>IFERROR(VLOOKUP(Opv.kohd.[[#This Row],[Y-tunnus]],#REF!,COLUMN(#REF!),FALSE),0)</f>
        <v>0</v>
      </c>
      <c r="BB82" s="207">
        <f>IFERROR(VLOOKUP(Opv.kohd.[[#This Row],[Y-tunnus]],#REF!,COLUMN(#REF!),FALSE),0)</f>
        <v>0</v>
      </c>
      <c r="BC82" s="207">
        <f>Opv.kohd.[[#This Row],[Muu kuin työvoima-koulutus 7c]]-Opv.kohd.[[#This Row],[Muu kuin työvoima-koulutus 7a]]</f>
        <v>0</v>
      </c>
      <c r="BD82" s="207">
        <f>Opv.kohd.[[#This Row],[Työvoima-koulutus 7c]]-Opv.kohd.[[#This Row],[Työvoima-koulutus 7a]]</f>
        <v>0</v>
      </c>
      <c r="BE82" s="207">
        <f>Opv.kohd.[[#This Row],[Yhteensä 7c]]-Opv.kohd.[[#This Row],[Yhteensä 7a]]</f>
        <v>0</v>
      </c>
      <c r="BF82" s="207">
        <f>Opv.kohd.[[#This Row],[Yhteensä 7c]]-Opv.kohd.[[#This Row],[Työvoima-koulutus 7c]]</f>
        <v>0</v>
      </c>
      <c r="BG82" s="207">
        <f>IFERROR(VLOOKUP(Opv.kohd.[[#This Row],[Y-tunnus]],#REF!,COLUMN(#REF!),FALSE),0)</f>
        <v>0</v>
      </c>
      <c r="BH82" s="207">
        <f>IFERROR(VLOOKUP(Opv.kohd.[[#This Row],[Y-tunnus]],#REF!,COLUMN(#REF!),FALSE),0)</f>
        <v>0</v>
      </c>
      <c r="BI82" s="207">
        <f>IFERROR(VLOOKUP(Opv.kohd.[[#This Row],[Y-tunnus]],#REF!,COLUMN(#REF!),FALSE),0)</f>
        <v>0</v>
      </c>
      <c r="BJ82" s="207">
        <f>IFERROR(VLOOKUP(Opv.kohd.[[#This Row],[Y-tunnus]],#REF!,COLUMN(#REF!),FALSE),0)</f>
        <v>0</v>
      </c>
      <c r="BK82" s="207">
        <f>Opv.kohd.[[#This Row],[Muu kuin työvoima-koulutus 7d]]+Opv.kohd.[[#This Row],[Työvoima-koulutus 7d]]</f>
        <v>0</v>
      </c>
      <c r="BL82" s="207">
        <f>Opv.kohd.[[#This Row],[Muu kuin työvoima-koulutus 7c]]-Opv.kohd.[[#This Row],[Muu kuin työvoima-koulutus 7d]]</f>
        <v>0</v>
      </c>
      <c r="BM82" s="207">
        <f>Opv.kohd.[[#This Row],[Työvoima-koulutus 7c]]-Opv.kohd.[[#This Row],[Työvoima-koulutus 7d]]</f>
        <v>0</v>
      </c>
      <c r="BN82" s="207">
        <f>Opv.kohd.[[#This Row],[Yhteensä 7c]]-Opv.kohd.[[#This Row],[Yhteensä 7d]]</f>
        <v>0</v>
      </c>
      <c r="BO82" s="207">
        <f>Opv.kohd.[[#This Row],[Muu kuin työvoima-koulutus 7e]]-(Opv.kohd.[[#This Row],[Järjestämisluvan mukaiset 4]]+Opv.kohd.[[#This Row],[Kohdentamat-tomat 4]]+Opv.kohd.[[#This Row],[Maahan-muuttajien koulutus 4]]+Opv.kohd.[[#This Row],[Nuorisotyöt. väh. ja osaamistarp. vast., muu kuin työvoima-koulutus 4]])</f>
        <v>0</v>
      </c>
      <c r="BP82" s="207">
        <f>Opv.kohd.[[#This Row],[Työvoima-koulutus 7e]]-(Opv.kohd.[[#This Row],[Työvoima-koulutus 4]]+Opv.kohd.[[#This Row],[Nuorisotyöt. väh. ja osaamistarp. vast., työvoima-koulutus 4]])</f>
        <v>0</v>
      </c>
      <c r="BQ82" s="207">
        <f>Opv.kohd.[[#This Row],[Yhteensä 7e]]-Opv.kohd.[[#This Row],[Ensikertaisella suoritepäätöksellä jaetut tavoitteelliset opiskelijavuodet yhteensä 4]]</f>
        <v>0</v>
      </c>
      <c r="BR82" s="263">
        <v>1130</v>
      </c>
      <c r="BS82" s="263">
        <v>48</v>
      </c>
      <c r="BT82" s="263">
        <v>40</v>
      </c>
      <c r="BU82" s="263">
        <v>0</v>
      </c>
      <c r="BV82" s="263">
        <v>0</v>
      </c>
      <c r="BW82" s="263">
        <v>10</v>
      </c>
      <c r="BX82" s="263">
        <v>98</v>
      </c>
      <c r="BY82" s="263">
        <v>1228</v>
      </c>
      <c r="BZ82" s="207">
        <f t="shared" si="17"/>
        <v>1130</v>
      </c>
      <c r="CA82" s="207">
        <f t="shared" si="18"/>
        <v>48</v>
      </c>
      <c r="CB82" s="207">
        <f t="shared" si="19"/>
        <v>40</v>
      </c>
      <c r="CC82" s="207">
        <f t="shared" si="20"/>
        <v>0</v>
      </c>
      <c r="CD82" s="207">
        <f t="shared" si="21"/>
        <v>0</v>
      </c>
      <c r="CE82" s="207">
        <f t="shared" si="22"/>
        <v>10</v>
      </c>
      <c r="CF82" s="207">
        <f t="shared" si="23"/>
        <v>98</v>
      </c>
      <c r="CG82" s="207">
        <f t="shared" si="24"/>
        <v>1228</v>
      </c>
      <c r="CH82" s="207">
        <f>Opv.kohd.[[#This Row],[Tavoitteelliset opiskelijavuodet yhteensä 9]]-Opv.kohd.[[#This Row],[Työvoima-koulutus 9]]-Opv.kohd.[[#This Row],[Nuorisotyöt. väh. ja osaamistarp. vast., työvoima-koulutus 9]]-Opv.kohd.[[#This Row],[Muu kuin työvoima-koulutus 7e]]</f>
        <v>1178</v>
      </c>
      <c r="CI82" s="207">
        <f>(Opv.kohd.[[#This Row],[Työvoima-koulutus 9]]+Opv.kohd.[[#This Row],[Nuorisotyöt. väh. ja osaamistarp. vast., työvoima-koulutus 9]])-Opv.kohd.[[#This Row],[Työvoima-koulutus 7e]]</f>
        <v>50</v>
      </c>
      <c r="CJ82" s="207">
        <f>Opv.kohd.[[#This Row],[Tavoitteelliset opiskelijavuodet yhteensä 9]]-Opv.kohd.[[#This Row],[Yhteensä 7e]]</f>
        <v>1228</v>
      </c>
      <c r="CK82" s="207">
        <f>Opv.kohd.[[#This Row],[Järjestämisluvan mukaiset 4]]+Opv.kohd.[[#This Row],[Järjestämisluvan mukaiset 13]]</f>
        <v>0</v>
      </c>
      <c r="CL82" s="207">
        <f>Opv.kohd.[[#This Row],[Kohdentamat-tomat 4]]+Opv.kohd.[[#This Row],[Kohdentamat-tomat 13]]</f>
        <v>0</v>
      </c>
      <c r="CM82" s="207">
        <f>Opv.kohd.[[#This Row],[Työvoima-koulutus 4]]+Opv.kohd.[[#This Row],[Työvoima-koulutus 13]]</f>
        <v>0</v>
      </c>
      <c r="CN82" s="207">
        <f>Opv.kohd.[[#This Row],[Maahan-muuttajien koulutus 4]]+Opv.kohd.[[#This Row],[Maahan-muuttajien koulutus 13]]</f>
        <v>0</v>
      </c>
      <c r="CO82" s="207">
        <f>Opv.kohd.[[#This Row],[Nuorisotyöt. väh. ja osaamistarp. vast., muu kuin työvoima-koulutus 4]]+Opv.kohd.[[#This Row],[Nuorisotyöt. väh. ja osaamistarp. vast., muu kuin työvoima-koulutus 13]]</f>
        <v>0</v>
      </c>
      <c r="CP82" s="207">
        <f>Opv.kohd.[[#This Row],[Nuorisotyöt. väh. ja osaamistarp. vast., työvoima-koulutus 4]]+Opv.kohd.[[#This Row],[Nuorisotyöt. väh. ja osaamistarp. vast., työvoima-koulutus 13]]</f>
        <v>0</v>
      </c>
      <c r="CQ82" s="207">
        <f>Opv.kohd.[[#This Row],[Yhteensä 4]]+Opv.kohd.[[#This Row],[Yhteensä 13]]</f>
        <v>0</v>
      </c>
      <c r="CR82" s="207">
        <f>Opv.kohd.[[#This Row],[Ensikertaisella suoritepäätöksellä jaetut tavoitteelliset opiskelijavuodet yhteensä 4]]+Opv.kohd.[[#This Row],[Tavoitteelliset opiskelijavuodet yhteensä 13]]</f>
        <v>0</v>
      </c>
      <c r="CS82" s="120">
        <v>0</v>
      </c>
      <c r="CT82" s="120">
        <v>0</v>
      </c>
      <c r="CU82" s="120">
        <v>0</v>
      </c>
      <c r="CV82" s="120">
        <v>0</v>
      </c>
      <c r="CW82" s="120">
        <v>0</v>
      </c>
      <c r="CX82" s="120">
        <v>0</v>
      </c>
      <c r="CY82" s="120">
        <v>0</v>
      </c>
      <c r="CZ82" s="120">
        <v>0</v>
      </c>
      <c r="DA82" s="209">
        <f>IFERROR(Opv.kohd.[[#This Row],[Järjestämisluvan mukaiset 13]]/Opv.kohd.[[#This Row],[Järjestämisluvan mukaiset 12]],0)</f>
        <v>0</v>
      </c>
      <c r="DB82" s="209">
        <f>IFERROR(Opv.kohd.[[#This Row],[Kohdentamat-tomat 13]]/Opv.kohd.[[#This Row],[Kohdentamat-tomat 12]],0)</f>
        <v>0</v>
      </c>
      <c r="DC82" s="209">
        <f>IFERROR(Opv.kohd.[[#This Row],[Työvoima-koulutus 13]]/Opv.kohd.[[#This Row],[Työvoima-koulutus 12]],0)</f>
        <v>0</v>
      </c>
      <c r="DD82" s="209">
        <f>IFERROR(Opv.kohd.[[#This Row],[Maahan-muuttajien koulutus 13]]/Opv.kohd.[[#This Row],[Maahan-muuttajien koulutus 12]],0)</f>
        <v>0</v>
      </c>
      <c r="DE82" s="209">
        <f>IFERROR(Opv.kohd.[[#This Row],[Nuorisotyöt. väh. ja osaamistarp. vast., muu kuin työvoima-koulutus 13]]/Opv.kohd.[[#This Row],[Nuorisotyöt. väh. ja osaamistarp. vast., muu kuin työvoima-koulutus 12]],0)</f>
        <v>0</v>
      </c>
      <c r="DF82" s="209">
        <f>IFERROR(Opv.kohd.[[#This Row],[Nuorisotyöt. väh. ja osaamistarp. vast., työvoima-koulutus 13]]/Opv.kohd.[[#This Row],[Nuorisotyöt. väh. ja osaamistarp. vast., työvoima-koulutus 12]],0)</f>
        <v>0</v>
      </c>
      <c r="DG82" s="209">
        <f>IFERROR(Opv.kohd.[[#This Row],[Yhteensä 13]]/Opv.kohd.[[#This Row],[Yhteensä 12]],0)</f>
        <v>0</v>
      </c>
      <c r="DH82" s="209">
        <f>IFERROR(Opv.kohd.[[#This Row],[Tavoitteelliset opiskelijavuodet yhteensä 13]]/Opv.kohd.[[#This Row],[Tavoitteelliset opiskelijavuodet yhteensä 12]],0)</f>
        <v>0</v>
      </c>
      <c r="DI82" s="207">
        <f>Opv.kohd.[[#This Row],[Järjestämisluvan mukaiset 12]]-Opv.kohd.[[#This Row],[Järjestämisluvan mukaiset 9]]</f>
        <v>-1130</v>
      </c>
      <c r="DJ82" s="207">
        <f>Opv.kohd.[[#This Row],[Kohdentamat-tomat 12]]-Opv.kohd.[[#This Row],[Kohdentamat-tomat 9]]</f>
        <v>-48</v>
      </c>
      <c r="DK82" s="207">
        <f>Opv.kohd.[[#This Row],[Työvoima-koulutus 12]]-Opv.kohd.[[#This Row],[Työvoima-koulutus 9]]</f>
        <v>-40</v>
      </c>
      <c r="DL82" s="207">
        <f>Opv.kohd.[[#This Row],[Maahan-muuttajien koulutus 12]]-Opv.kohd.[[#This Row],[Maahan-muuttajien koulutus 9]]</f>
        <v>0</v>
      </c>
      <c r="DM82" s="207">
        <f>Opv.kohd.[[#This Row],[Nuorisotyöt. väh. ja osaamistarp. vast., muu kuin työvoima-koulutus 12]]-Opv.kohd.[[#This Row],[Nuorisotyöt. väh. ja osaamistarp. vast., muu kuin työvoima-koulutus 9]]</f>
        <v>0</v>
      </c>
      <c r="DN82" s="207">
        <f>Opv.kohd.[[#This Row],[Nuorisotyöt. väh. ja osaamistarp. vast., työvoima-koulutus 12]]-Opv.kohd.[[#This Row],[Nuorisotyöt. väh. ja osaamistarp. vast., työvoima-koulutus 9]]</f>
        <v>-10</v>
      </c>
      <c r="DO82" s="207">
        <f>Opv.kohd.[[#This Row],[Yhteensä 12]]-Opv.kohd.[[#This Row],[Yhteensä 9]]</f>
        <v>-98</v>
      </c>
      <c r="DP82" s="207">
        <f>Opv.kohd.[[#This Row],[Tavoitteelliset opiskelijavuodet yhteensä 12]]-Opv.kohd.[[#This Row],[Tavoitteelliset opiskelijavuodet yhteensä 9]]</f>
        <v>-1228</v>
      </c>
      <c r="DQ82" s="209">
        <f>IFERROR(Opv.kohd.[[#This Row],[Järjestämisluvan mukaiset 15]]/Opv.kohd.[[#This Row],[Järjestämisluvan mukaiset 9]],0)</f>
        <v>-1</v>
      </c>
      <c r="DR82" s="209">
        <f t="shared" si="25"/>
        <v>0</v>
      </c>
      <c r="DS82" s="209">
        <f t="shared" si="26"/>
        <v>0</v>
      </c>
      <c r="DT82" s="209">
        <f t="shared" si="27"/>
        <v>0</v>
      </c>
      <c r="DU82" s="209">
        <f t="shared" si="28"/>
        <v>0</v>
      </c>
      <c r="DV82" s="209">
        <f t="shared" si="29"/>
        <v>0</v>
      </c>
      <c r="DW82" s="209">
        <f t="shared" si="30"/>
        <v>0</v>
      </c>
      <c r="DX82" s="209">
        <f t="shared" si="31"/>
        <v>0</v>
      </c>
    </row>
    <row r="83" spans="1:128" x14ac:dyDescent="0.25">
      <c r="A83" s="204" t="e">
        <f>IF(INDEX(#REF!,ROW(83:83)-1,1)=0,"",INDEX(#REF!,ROW(83:83)-1,1))</f>
        <v>#REF!</v>
      </c>
      <c r="B83" s="205" t="str">
        <f>IFERROR(VLOOKUP(Opv.kohd.[[#This Row],[Y-tunnus]],'0 Järjestäjätiedot'!$A:$H,2,FALSE),"")</f>
        <v/>
      </c>
      <c r="C83" s="204" t="str">
        <f>IFERROR(VLOOKUP(Opv.kohd.[[#This Row],[Y-tunnus]],'0 Järjestäjätiedot'!$A:$H,COLUMN('0 Järjestäjätiedot'!D:D),FALSE),"")</f>
        <v/>
      </c>
      <c r="D83" s="204" t="str">
        <f>IFERROR(VLOOKUP(Opv.kohd.[[#This Row],[Y-tunnus]],'0 Järjestäjätiedot'!$A:$H,COLUMN('0 Järjestäjätiedot'!H:H),FALSE),"")</f>
        <v/>
      </c>
      <c r="E83" s="204">
        <f>IFERROR(VLOOKUP(Opv.kohd.[[#This Row],[Y-tunnus]],#REF!,COLUMN(#REF!),FALSE),0)</f>
        <v>0</v>
      </c>
      <c r="F83" s="204">
        <f>IFERROR(VLOOKUP(Opv.kohd.[[#This Row],[Y-tunnus]],#REF!,COLUMN(#REF!),FALSE),0)</f>
        <v>0</v>
      </c>
      <c r="G83" s="204">
        <f>IFERROR(VLOOKUP(Opv.kohd.[[#This Row],[Y-tunnus]],#REF!,COLUMN(#REF!),FALSE),0)</f>
        <v>0</v>
      </c>
      <c r="H83" s="204">
        <f>IFERROR(VLOOKUP(Opv.kohd.[[#This Row],[Y-tunnus]],#REF!,COLUMN(#REF!),FALSE),0)</f>
        <v>0</v>
      </c>
      <c r="I83" s="204">
        <f>IFERROR(VLOOKUP(Opv.kohd.[[#This Row],[Y-tunnus]],#REF!,COLUMN(#REF!),FALSE),0)</f>
        <v>0</v>
      </c>
      <c r="J83" s="204">
        <f>IFERROR(VLOOKUP(Opv.kohd.[[#This Row],[Y-tunnus]],#REF!,COLUMN(#REF!),FALSE),0)</f>
        <v>0</v>
      </c>
      <c r="K8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83" s="204">
        <f>Opv.kohd.[[#This Row],[Järjestämisluvan mukaiset 1]]+Opv.kohd.[[#This Row],[Yhteensä  1]]</f>
        <v>0</v>
      </c>
      <c r="M83" s="204">
        <f>IFERROR(VLOOKUP(Opv.kohd.[[#This Row],[Y-tunnus]],#REF!,COLUMN(#REF!),FALSE),0)</f>
        <v>0</v>
      </c>
      <c r="N83" s="204">
        <f>IFERROR(VLOOKUP(Opv.kohd.[[#This Row],[Y-tunnus]],#REF!,COLUMN(#REF!),FALSE),0)</f>
        <v>0</v>
      </c>
      <c r="O83" s="204">
        <f>IFERROR(VLOOKUP(Opv.kohd.[[#This Row],[Y-tunnus]],#REF!,COLUMN(#REF!),FALSE)+VLOOKUP(Opv.kohd.[[#This Row],[Y-tunnus]],#REF!,COLUMN(#REF!),FALSE),0)</f>
        <v>0</v>
      </c>
      <c r="P83" s="204">
        <f>Opv.kohd.[[#This Row],[Talousarvion perusteella kohdentamattomat]]+Opv.kohd.[[#This Row],[Talousarvion perusteella työvoimakoulutus 1]]+Opv.kohd.[[#This Row],[Lisätalousarvioiden perusteella]]</f>
        <v>0</v>
      </c>
      <c r="Q83" s="204">
        <f>IFERROR(VLOOKUP(Opv.kohd.[[#This Row],[Y-tunnus]],#REF!,COLUMN(#REF!),FALSE),0)</f>
        <v>0</v>
      </c>
      <c r="R83" s="210">
        <f>IFERROR(VLOOKUP(Opv.kohd.[[#This Row],[Y-tunnus]],#REF!,COLUMN(#REF!),FALSE)-(Opv.kohd.[[#This Row],[Kohdentamaton työvoima-koulutus 2]]+Opv.kohd.[[#This Row],[Maahan-muuttajien koulutus 2]]+Opv.kohd.[[#This Row],[Lisätalousarvioiden perusteella jaetut 2]]),0)</f>
        <v>0</v>
      </c>
      <c r="S83" s="210">
        <f>IFERROR(VLOOKUP(Opv.kohd.[[#This Row],[Y-tunnus]],#REF!,COLUMN(#REF!),FALSE)+VLOOKUP(Opv.kohd.[[#This Row],[Y-tunnus]],#REF!,COLUMN(#REF!),FALSE),0)</f>
        <v>0</v>
      </c>
      <c r="T83" s="210">
        <f>IFERROR(VLOOKUP(Opv.kohd.[[#This Row],[Y-tunnus]],#REF!,COLUMN(#REF!),FALSE)+VLOOKUP(Opv.kohd.[[#This Row],[Y-tunnus]],#REF!,COLUMN(#REF!),FALSE),0)</f>
        <v>0</v>
      </c>
      <c r="U8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83" s="210">
        <f>Opv.kohd.[[#This Row],[Kohdentamat-tomat 2]]+Opv.kohd.[[#This Row],[Kohdentamaton työvoima-koulutus 2]]+Opv.kohd.[[#This Row],[Maahan-muuttajien koulutus 2]]+Opv.kohd.[[#This Row],[Lisätalousarvioiden perusteella jaetut 2]]</f>
        <v>0</v>
      </c>
      <c r="W83" s="210">
        <f>Opv.kohd.[[#This Row],[Kohdentamat-tomat 2]]-(Opv.kohd.[[#This Row],[Järjestämisluvan mukaiset 1]]+Opv.kohd.[[#This Row],[Kohdentamat-tomat 1]]+Opv.kohd.[[#This Row],[Nuorisotyöt. väh. ja osaamistarp. vast., muu kuin työvoima-koulutus 1]]+Opv.kohd.[[#This Row],[Talousarvion perusteella kohdentamattomat]])</f>
        <v>0</v>
      </c>
      <c r="X83" s="210">
        <f>Opv.kohd.[[#This Row],[Kohdentamaton työvoima-koulutus 2]]-(Opv.kohd.[[#This Row],[Työvoima-koulutus 1]]+Opv.kohd.[[#This Row],[Nuorisotyöt. väh. ja osaamistarp. vast., työvoima-koulutus 1]]+Opv.kohd.[[#This Row],[Talousarvion perusteella työvoimakoulutus 1]])</f>
        <v>0</v>
      </c>
      <c r="Y83" s="210">
        <f>Opv.kohd.[[#This Row],[Maahan-muuttajien koulutus 2]]-Opv.kohd.[[#This Row],[Maahan-muuttajien koulutus 1]]</f>
        <v>0</v>
      </c>
      <c r="Z83" s="210">
        <f>Opv.kohd.[[#This Row],[Lisätalousarvioiden perusteella jaetut 2]]-Opv.kohd.[[#This Row],[Lisätalousarvioiden perusteella]]</f>
        <v>0</v>
      </c>
      <c r="AA83" s="210">
        <f>Opv.kohd.[[#This Row],[Toteutuneet opiskelijavuodet yhteensä 2]]-Opv.kohd.[[#This Row],[Vuoden 2018 tavoitteelliset opiskelijavuodet yhteensä 1]]</f>
        <v>0</v>
      </c>
      <c r="AB83" s="207">
        <f>IFERROR(VLOOKUP(Opv.kohd.[[#This Row],[Y-tunnus]],#REF!,3,FALSE),0)</f>
        <v>0</v>
      </c>
      <c r="AC83" s="207">
        <f>IFERROR(VLOOKUP(Opv.kohd.[[#This Row],[Y-tunnus]],#REF!,4,FALSE),0)</f>
        <v>0</v>
      </c>
      <c r="AD83" s="207">
        <f>IFERROR(VLOOKUP(Opv.kohd.[[#This Row],[Y-tunnus]],#REF!,5,FALSE),0)</f>
        <v>0</v>
      </c>
      <c r="AE83" s="207">
        <f>IFERROR(VLOOKUP(Opv.kohd.[[#This Row],[Y-tunnus]],#REF!,6,FALSE),0)</f>
        <v>0</v>
      </c>
      <c r="AF83" s="207">
        <f>IFERROR(VLOOKUP(Opv.kohd.[[#This Row],[Y-tunnus]],#REF!,7,FALSE),0)</f>
        <v>0</v>
      </c>
      <c r="AG83" s="207">
        <f>IFERROR(VLOOKUP(Opv.kohd.[[#This Row],[Y-tunnus]],#REF!,8,FALSE),0)</f>
        <v>0</v>
      </c>
      <c r="AH83" s="207">
        <f>IFERROR(VLOOKUP(Opv.kohd.[[#This Row],[Y-tunnus]],#REF!,9,FALSE),0)</f>
        <v>0</v>
      </c>
      <c r="AI83" s="207">
        <f>IFERROR(VLOOKUP(Opv.kohd.[[#This Row],[Y-tunnus]],#REF!,10,FALSE),0)</f>
        <v>0</v>
      </c>
      <c r="AJ83" s="204">
        <f>Opv.kohd.[[#This Row],[Järjestämisluvan mukaiset 4]]-Opv.kohd.[[#This Row],[Järjestämisluvan mukaiset 1]]</f>
        <v>0</v>
      </c>
      <c r="AK83" s="204">
        <f>Opv.kohd.[[#This Row],[Kohdentamat-tomat 4]]-Opv.kohd.[[#This Row],[Kohdentamat-tomat 1]]</f>
        <v>0</v>
      </c>
      <c r="AL83" s="204">
        <f>Opv.kohd.[[#This Row],[Työvoima-koulutus 4]]-Opv.kohd.[[#This Row],[Työvoima-koulutus 1]]</f>
        <v>0</v>
      </c>
      <c r="AM83" s="204">
        <f>Opv.kohd.[[#This Row],[Maahan-muuttajien koulutus 4]]-Opv.kohd.[[#This Row],[Maahan-muuttajien koulutus 1]]</f>
        <v>0</v>
      </c>
      <c r="AN83" s="204">
        <f>Opv.kohd.[[#This Row],[Nuorisotyöt. väh. ja osaamistarp. vast., muu kuin työvoima-koulutus 4]]-Opv.kohd.[[#This Row],[Nuorisotyöt. väh. ja osaamistarp. vast., muu kuin työvoima-koulutus 1]]</f>
        <v>0</v>
      </c>
      <c r="AO83" s="204">
        <f>Opv.kohd.[[#This Row],[Nuorisotyöt. väh. ja osaamistarp. vast., työvoima-koulutus 4]]-Opv.kohd.[[#This Row],[Nuorisotyöt. väh. ja osaamistarp. vast., työvoima-koulutus 1]]</f>
        <v>0</v>
      </c>
      <c r="AP83" s="204">
        <f>Opv.kohd.[[#This Row],[Yhteensä 4]]-Opv.kohd.[[#This Row],[Yhteensä  1]]</f>
        <v>0</v>
      </c>
      <c r="AQ83" s="204">
        <f>Opv.kohd.[[#This Row],[Ensikertaisella suoritepäätöksellä jaetut tavoitteelliset opiskelijavuodet yhteensä 4]]-Opv.kohd.[[#This Row],[Ensikertaisella suoritepäätöksellä jaetut tavoitteelliset opiskelijavuodet yhteensä 1]]</f>
        <v>0</v>
      </c>
      <c r="AR83" s="208">
        <f>IFERROR(Opv.kohd.[[#This Row],[Järjestämisluvan mukaiset 5]]/Opv.kohd.[[#This Row],[Järjestämisluvan mukaiset 4]],0)</f>
        <v>0</v>
      </c>
      <c r="AS83" s="208">
        <f>IFERROR(Opv.kohd.[[#This Row],[Kohdentamat-tomat 5]]/Opv.kohd.[[#This Row],[Kohdentamat-tomat 4]],0)</f>
        <v>0</v>
      </c>
      <c r="AT83" s="208">
        <f>IFERROR(Opv.kohd.[[#This Row],[Työvoima-koulutus 5]]/Opv.kohd.[[#This Row],[Työvoima-koulutus 4]],0)</f>
        <v>0</v>
      </c>
      <c r="AU83" s="208">
        <f>IFERROR(Opv.kohd.[[#This Row],[Maahan-muuttajien koulutus 5]]/Opv.kohd.[[#This Row],[Maahan-muuttajien koulutus 4]],0)</f>
        <v>0</v>
      </c>
      <c r="AV83" s="208">
        <f>IFERROR(Opv.kohd.[[#This Row],[Nuorisotyöt. väh. ja osaamistarp. vast., muu kuin työvoima-koulutus 5]]/Opv.kohd.[[#This Row],[Nuorisotyöt. väh. ja osaamistarp. vast., muu kuin työvoima-koulutus 4]],0)</f>
        <v>0</v>
      </c>
      <c r="AW83" s="208">
        <f>IFERROR(Opv.kohd.[[#This Row],[Nuorisotyöt. väh. ja osaamistarp. vast., työvoima-koulutus 5]]/Opv.kohd.[[#This Row],[Nuorisotyöt. väh. ja osaamistarp. vast., työvoima-koulutus 4]],0)</f>
        <v>0</v>
      </c>
      <c r="AX83" s="208">
        <f>IFERROR(Opv.kohd.[[#This Row],[Yhteensä 5]]/Opv.kohd.[[#This Row],[Yhteensä 4]],0)</f>
        <v>0</v>
      </c>
      <c r="AY83" s="208">
        <f>IFERROR(Opv.kohd.[[#This Row],[Ensikertaisella suoritepäätöksellä jaetut tavoitteelliset opiskelijavuodet yhteensä 5]]/Opv.kohd.[[#This Row],[Ensikertaisella suoritepäätöksellä jaetut tavoitteelliset opiskelijavuodet yhteensä 4]],0)</f>
        <v>0</v>
      </c>
      <c r="AZ83" s="207">
        <f>Opv.kohd.[[#This Row],[Yhteensä 7a]]-Opv.kohd.[[#This Row],[Työvoima-koulutus 7a]]</f>
        <v>0</v>
      </c>
      <c r="BA83" s="207">
        <f>IFERROR(VLOOKUP(Opv.kohd.[[#This Row],[Y-tunnus]],#REF!,COLUMN(#REF!),FALSE),0)</f>
        <v>0</v>
      </c>
      <c r="BB83" s="207">
        <f>IFERROR(VLOOKUP(Opv.kohd.[[#This Row],[Y-tunnus]],#REF!,COLUMN(#REF!),FALSE),0)</f>
        <v>0</v>
      </c>
      <c r="BC83" s="207">
        <f>Opv.kohd.[[#This Row],[Muu kuin työvoima-koulutus 7c]]-Opv.kohd.[[#This Row],[Muu kuin työvoima-koulutus 7a]]</f>
        <v>0</v>
      </c>
      <c r="BD83" s="207">
        <f>Opv.kohd.[[#This Row],[Työvoima-koulutus 7c]]-Opv.kohd.[[#This Row],[Työvoima-koulutus 7a]]</f>
        <v>0</v>
      </c>
      <c r="BE83" s="207">
        <f>Opv.kohd.[[#This Row],[Yhteensä 7c]]-Opv.kohd.[[#This Row],[Yhteensä 7a]]</f>
        <v>0</v>
      </c>
      <c r="BF83" s="207">
        <f>Opv.kohd.[[#This Row],[Yhteensä 7c]]-Opv.kohd.[[#This Row],[Työvoima-koulutus 7c]]</f>
        <v>0</v>
      </c>
      <c r="BG83" s="207">
        <f>IFERROR(VLOOKUP(Opv.kohd.[[#This Row],[Y-tunnus]],#REF!,COLUMN(#REF!),FALSE),0)</f>
        <v>0</v>
      </c>
      <c r="BH83" s="207">
        <f>IFERROR(VLOOKUP(Opv.kohd.[[#This Row],[Y-tunnus]],#REF!,COLUMN(#REF!),FALSE),0)</f>
        <v>0</v>
      </c>
      <c r="BI83" s="207">
        <f>IFERROR(VLOOKUP(Opv.kohd.[[#This Row],[Y-tunnus]],#REF!,COLUMN(#REF!),FALSE),0)</f>
        <v>0</v>
      </c>
      <c r="BJ83" s="207">
        <f>IFERROR(VLOOKUP(Opv.kohd.[[#This Row],[Y-tunnus]],#REF!,COLUMN(#REF!),FALSE),0)</f>
        <v>0</v>
      </c>
      <c r="BK83" s="207">
        <f>Opv.kohd.[[#This Row],[Muu kuin työvoima-koulutus 7d]]+Opv.kohd.[[#This Row],[Työvoima-koulutus 7d]]</f>
        <v>0</v>
      </c>
      <c r="BL83" s="207">
        <f>Opv.kohd.[[#This Row],[Muu kuin työvoima-koulutus 7c]]-Opv.kohd.[[#This Row],[Muu kuin työvoima-koulutus 7d]]</f>
        <v>0</v>
      </c>
      <c r="BM83" s="207">
        <f>Opv.kohd.[[#This Row],[Työvoima-koulutus 7c]]-Opv.kohd.[[#This Row],[Työvoima-koulutus 7d]]</f>
        <v>0</v>
      </c>
      <c r="BN83" s="207">
        <f>Opv.kohd.[[#This Row],[Yhteensä 7c]]-Opv.kohd.[[#This Row],[Yhteensä 7d]]</f>
        <v>0</v>
      </c>
      <c r="BO83" s="207">
        <f>Opv.kohd.[[#This Row],[Muu kuin työvoima-koulutus 7e]]-(Opv.kohd.[[#This Row],[Järjestämisluvan mukaiset 4]]+Opv.kohd.[[#This Row],[Kohdentamat-tomat 4]]+Opv.kohd.[[#This Row],[Maahan-muuttajien koulutus 4]]+Opv.kohd.[[#This Row],[Nuorisotyöt. väh. ja osaamistarp. vast., muu kuin työvoima-koulutus 4]])</f>
        <v>0</v>
      </c>
      <c r="BP83" s="207">
        <f>Opv.kohd.[[#This Row],[Työvoima-koulutus 7e]]-(Opv.kohd.[[#This Row],[Työvoima-koulutus 4]]+Opv.kohd.[[#This Row],[Nuorisotyöt. väh. ja osaamistarp. vast., työvoima-koulutus 4]])</f>
        <v>0</v>
      </c>
      <c r="BQ83" s="207">
        <f>Opv.kohd.[[#This Row],[Yhteensä 7e]]-Opv.kohd.[[#This Row],[Ensikertaisella suoritepäätöksellä jaetut tavoitteelliset opiskelijavuodet yhteensä 4]]</f>
        <v>0</v>
      </c>
      <c r="BR83" s="263">
        <v>1604</v>
      </c>
      <c r="BS83" s="263">
        <v>15</v>
      </c>
      <c r="BT83" s="263">
        <v>65</v>
      </c>
      <c r="BU83" s="263">
        <v>10</v>
      </c>
      <c r="BV83" s="263">
        <v>0</v>
      </c>
      <c r="BW83" s="263">
        <v>0</v>
      </c>
      <c r="BX83" s="263">
        <v>90</v>
      </c>
      <c r="BY83" s="263">
        <v>1694</v>
      </c>
      <c r="BZ83" s="207">
        <f t="shared" si="17"/>
        <v>1604</v>
      </c>
      <c r="CA83" s="207">
        <f t="shared" si="18"/>
        <v>15</v>
      </c>
      <c r="CB83" s="207">
        <f t="shared" si="19"/>
        <v>65</v>
      </c>
      <c r="CC83" s="207">
        <f t="shared" si="20"/>
        <v>10</v>
      </c>
      <c r="CD83" s="207">
        <f t="shared" si="21"/>
        <v>0</v>
      </c>
      <c r="CE83" s="207">
        <f t="shared" si="22"/>
        <v>0</v>
      </c>
      <c r="CF83" s="207">
        <f t="shared" si="23"/>
        <v>90</v>
      </c>
      <c r="CG83" s="207">
        <f t="shared" si="24"/>
        <v>1694</v>
      </c>
      <c r="CH83" s="207">
        <f>Opv.kohd.[[#This Row],[Tavoitteelliset opiskelijavuodet yhteensä 9]]-Opv.kohd.[[#This Row],[Työvoima-koulutus 9]]-Opv.kohd.[[#This Row],[Nuorisotyöt. väh. ja osaamistarp. vast., työvoima-koulutus 9]]-Opv.kohd.[[#This Row],[Muu kuin työvoima-koulutus 7e]]</f>
        <v>1629</v>
      </c>
      <c r="CI83" s="207">
        <f>(Opv.kohd.[[#This Row],[Työvoima-koulutus 9]]+Opv.kohd.[[#This Row],[Nuorisotyöt. väh. ja osaamistarp. vast., työvoima-koulutus 9]])-Opv.kohd.[[#This Row],[Työvoima-koulutus 7e]]</f>
        <v>65</v>
      </c>
      <c r="CJ83" s="207">
        <f>Opv.kohd.[[#This Row],[Tavoitteelliset opiskelijavuodet yhteensä 9]]-Opv.kohd.[[#This Row],[Yhteensä 7e]]</f>
        <v>1694</v>
      </c>
      <c r="CK83" s="207">
        <f>Opv.kohd.[[#This Row],[Järjestämisluvan mukaiset 4]]+Opv.kohd.[[#This Row],[Järjestämisluvan mukaiset 13]]</f>
        <v>0</v>
      </c>
      <c r="CL83" s="207">
        <f>Opv.kohd.[[#This Row],[Kohdentamat-tomat 4]]+Opv.kohd.[[#This Row],[Kohdentamat-tomat 13]]</f>
        <v>0</v>
      </c>
      <c r="CM83" s="207">
        <f>Opv.kohd.[[#This Row],[Työvoima-koulutus 4]]+Opv.kohd.[[#This Row],[Työvoima-koulutus 13]]</f>
        <v>0</v>
      </c>
      <c r="CN83" s="207">
        <f>Opv.kohd.[[#This Row],[Maahan-muuttajien koulutus 4]]+Opv.kohd.[[#This Row],[Maahan-muuttajien koulutus 13]]</f>
        <v>0</v>
      </c>
      <c r="CO83" s="207">
        <f>Opv.kohd.[[#This Row],[Nuorisotyöt. väh. ja osaamistarp. vast., muu kuin työvoima-koulutus 4]]+Opv.kohd.[[#This Row],[Nuorisotyöt. väh. ja osaamistarp. vast., muu kuin työvoima-koulutus 13]]</f>
        <v>0</v>
      </c>
      <c r="CP83" s="207">
        <f>Opv.kohd.[[#This Row],[Nuorisotyöt. väh. ja osaamistarp. vast., työvoima-koulutus 4]]+Opv.kohd.[[#This Row],[Nuorisotyöt. väh. ja osaamistarp. vast., työvoima-koulutus 13]]</f>
        <v>0</v>
      </c>
      <c r="CQ83" s="207">
        <f>Opv.kohd.[[#This Row],[Yhteensä 4]]+Opv.kohd.[[#This Row],[Yhteensä 13]]</f>
        <v>0</v>
      </c>
      <c r="CR83" s="207">
        <f>Opv.kohd.[[#This Row],[Ensikertaisella suoritepäätöksellä jaetut tavoitteelliset opiskelijavuodet yhteensä 4]]+Opv.kohd.[[#This Row],[Tavoitteelliset opiskelijavuodet yhteensä 13]]</f>
        <v>0</v>
      </c>
      <c r="CS83" s="120">
        <v>0</v>
      </c>
      <c r="CT83" s="120">
        <v>0</v>
      </c>
      <c r="CU83" s="120">
        <v>0</v>
      </c>
      <c r="CV83" s="120">
        <v>0</v>
      </c>
      <c r="CW83" s="120">
        <v>0</v>
      </c>
      <c r="CX83" s="120">
        <v>0</v>
      </c>
      <c r="CY83" s="120">
        <v>0</v>
      </c>
      <c r="CZ83" s="120">
        <v>0</v>
      </c>
      <c r="DA83" s="209">
        <f>IFERROR(Opv.kohd.[[#This Row],[Järjestämisluvan mukaiset 13]]/Opv.kohd.[[#This Row],[Järjestämisluvan mukaiset 12]],0)</f>
        <v>0</v>
      </c>
      <c r="DB83" s="209">
        <f>IFERROR(Opv.kohd.[[#This Row],[Kohdentamat-tomat 13]]/Opv.kohd.[[#This Row],[Kohdentamat-tomat 12]],0)</f>
        <v>0</v>
      </c>
      <c r="DC83" s="209">
        <f>IFERROR(Opv.kohd.[[#This Row],[Työvoima-koulutus 13]]/Opv.kohd.[[#This Row],[Työvoima-koulutus 12]],0)</f>
        <v>0</v>
      </c>
      <c r="DD83" s="209">
        <f>IFERROR(Opv.kohd.[[#This Row],[Maahan-muuttajien koulutus 13]]/Opv.kohd.[[#This Row],[Maahan-muuttajien koulutus 12]],0)</f>
        <v>0</v>
      </c>
      <c r="DE83" s="209">
        <f>IFERROR(Opv.kohd.[[#This Row],[Nuorisotyöt. väh. ja osaamistarp. vast., muu kuin työvoima-koulutus 13]]/Opv.kohd.[[#This Row],[Nuorisotyöt. väh. ja osaamistarp. vast., muu kuin työvoima-koulutus 12]],0)</f>
        <v>0</v>
      </c>
      <c r="DF83" s="209">
        <f>IFERROR(Opv.kohd.[[#This Row],[Nuorisotyöt. väh. ja osaamistarp. vast., työvoima-koulutus 13]]/Opv.kohd.[[#This Row],[Nuorisotyöt. väh. ja osaamistarp. vast., työvoima-koulutus 12]],0)</f>
        <v>0</v>
      </c>
      <c r="DG83" s="209">
        <f>IFERROR(Opv.kohd.[[#This Row],[Yhteensä 13]]/Opv.kohd.[[#This Row],[Yhteensä 12]],0)</f>
        <v>0</v>
      </c>
      <c r="DH83" s="209">
        <f>IFERROR(Opv.kohd.[[#This Row],[Tavoitteelliset opiskelijavuodet yhteensä 13]]/Opv.kohd.[[#This Row],[Tavoitteelliset opiskelijavuodet yhteensä 12]],0)</f>
        <v>0</v>
      </c>
      <c r="DI83" s="207">
        <f>Opv.kohd.[[#This Row],[Järjestämisluvan mukaiset 12]]-Opv.kohd.[[#This Row],[Järjestämisluvan mukaiset 9]]</f>
        <v>-1604</v>
      </c>
      <c r="DJ83" s="207">
        <f>Opv.kohd.[[#This Row],[Kohdentamat-tomat 12]]-Opv.kohd.[[#This Row],[Kohdentamat-tomat 9]]</f>
        <v>-15</v>
      </c>
      <c r="DK83" s="207">
        <f>Opv.kohd.[[#This Row],[Työvoima-koulutus 12]]-Opv.kohd.[[#This Row],[Työvoima-koulutus 9]]</f>
        <v>-65</v>
      </c>
      <c r="DL83" s="207">
        <f>Opv.kohd.[[#This Row],[Maahan-muuttajien koulutus 12]]-Opv.kohd.[[#This Row],[Maahan-muuttajien koulutus 9]]</f>
        <v>-10</v>
      </c>
      <c r="DM83" s="207">
        <f>Opv.kohd.[[#This Row],[Nuorisotyöt. väh. ja osaamistarp. vast., muu kuin työvoima-koulutus 12]]-Opv.kohd.[[#This Row],[Nuorisotyöt. väh. ja osaamistarp. vast., muu kuin työvoima-koulutus 9]]</f>
        <v>0</v>
      </c>
      <c r="DN83" s="207">
        <f>Opv.kohd.[[#This Row],[Nuorisotyöt. väh. ja osaamistarp. vast., työvoima-koulutus 12]]-Opv.kohd.[[#This Row],[Nuorisotyöt. väh. ja osaamistarp. vast., työvoima-koulutus 9]]</f>
        <v>0</v>
      </c>
      <c r="DO83" s="207">
        <f>Opv.kohd.[[#This Row],[Yhteensä 12]]-Opv.kohd.[[#This Row],[Yhteensä 9]]</f>
        <v>-90</v>
      </c>
      <c r="DP83" s="207">
        <f>Opv.kohd.[[#This Row],[Tavoitteelliset opiskelijavuodet yhteensä 12]]-Opv.kohd.[[#This Row],[Tavoitteelliset opiskelijavuodet yhteensä 9]]</f>
        <v>-1694</v>
      </c>
      <c r="DQ83" s="209">
        <f>IFERROR(Opv.kohd.[[#This Row],[Järjestämisluvan mukaiset 15]]/Opv.kohd.[[#This Row],[Järjestämisluvan mukaiset 9]],0)</f>
        <v>-1</v>
      </c>
      <c r="DR83" s="209">
        <f t="shared" si="25"/>
        <v>0</v>
      </c>
      <c r="DS83" s="209">
        <f t="shared" si="26"/>
        <v>0</v>
      </c>
      <c r="DT83" s="209">
        <f t="shared" si="27"/>
        <v>0</v>
      </c>
      <c r="DU83" s="209">
        <f t="shared" si="28"/>
        <v>0</v>
      </c>
      <c r="DV83" s="209">
        <f t="shared" si="29"/>
        <v>0</v>
      </c>
      <c r="DW83" s="209">
        <f t="shared" si="30"/>
        <v>0</v>
      </c>
      <c r="DX83" s="209">
        <f t="shared" si="31"/>
        <v>0</v>
      </c>
    </row>
    <row r="84" spans="1:128" x14ac:dyDescent="0.25">
      <c r="A84" s="204" t="e">
        <f>IF(INDEX(#REF!,ROW(84:84)-1,1)=0,"",INDEX(#REF!,ROW(84:84)-1,1))</f>
        <v>#REF!</v>
      </c>
      <c r="B84" s="205" t="str">
        <f>IFERROR(VLOOKUP(Opv.kohd.[[#This Row],[Y-tunnus]],'0 Järjestäjätiedot'!$A:$H,2,FALSE),"")</f>
        <v/>
      </c>
      <c r="C84" s="204" t="str">
        <f>IFERROR(VLOOKUP(Opv.kohd.[[#This Row],[Y-tunnus]],'0 Järjestäjätiedot'!$A:$H,COLUMN('0 Järjestäjätiedot'!D:D),FALSE),"")</f>
        <v/>
      </c>
      <c r="D84" s="204" t="str">
        <f>IFERROR(VLOOKUP(Opv.kohd.[[#This Row],[Y-tunnus]],'0 Järjestäjätiedot'!$A:$H,COLUMN('0 Järjestäjätiedot'!H:H),FALSE),"")</f>
        <v/>
      </c>
      <c r="E84" s="204">
        <f>IFERROR(VLOOKUP(Opv.kohd.[[#This Row],[Y-tunnus]],#REF!,COLUMN(#REF!),FALSE),0)</f>
        <v>0</v>
      </c>
      <c r="F84" s="204">
        <f>IFERROR(VLOOKUP(Opv.kohd.[[#This Row],[Y-tunnus]],#REF!,COLUMN(#REF!),FALSE),0)</f>
        <v>0</v>
      </c>
      <c r="G84" s="204">
        <f>IFERROR(VLOOKUP(Opv.kohd.[[#This Row],[Y-tunnus]],#REF!,COLUMN(#REF!),FALSE),0)</f>
        <v>0</v>
      </c>
      <c r="H84" s="204">
        <f>IFERROR(VLOOKUP(Opv.kohd.[[#This Row],[Y-tunnus]],#REF!,COLUMN(#REF!),FALSE),0)</f>
        <v>0</v>
      </c>
      <c r="I84" s="204">
        <f>IFERROR(VLOOKUP(Opv.kohd.[[#This Row],[Y-tunnus]],#REF!,COLUMN(#REF!),FALSE),0)</f>
        <v>0</v>
      </c>
      <c r="J84" s="204">
        <f>IFERROR(VLOOKUP(Opv.kohd.[[#This Row],[Y-tunnus]],#REF!,COLUMN(#REF!),FALSE),0)</f>
        <v>0</v>
      </c>
      <c r="K8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84" s="204">
        <f>Opv.kohd.[[#This Row],[Järjestämisluvan mukaiset 1]]+Opv.kohd.[[#This Row],[Yhteensä  1]]</f>
        <v>0</v>
      </c>
      <c r="M84" s="204">
        <f>IFERROR(VLOOKUP(Opv.kohd.[[#This Row],[Y-tunnus]],#REF!,COLUMN(#REF!),FALSE),0)</f>
        <v>0</v>
      </c>
      <c r="N84" s="204">
        <f>IFERROR(VLOOKUP(Opv.kohd.[[#This Row],[Y-tunnus]],#REF!,COLUMN(#REF!),FALSE),0)</f>
        <v>0</v>
      </c>
      <c r="O84" s="204">
        <f>IFERROR(VLOOKUP(Opv.kohd.[[#This Row],[Y-tunnus]],#REF!,COLUMN(#REF!),FALSE)+VLOOKUP(Opv.kohd.[[#This Row],[Y-tunnus]],#REF!,COLUMN(#REF!),FALSE),0)</f>
        <v>0</v>
      </c>
      <c r="P84" s="204">
        <f>Opv.kohd.[[#This Row],[Talousarvion perusteella kohdentamattomat]]+Opv.kohd.[[#This Row],[Talousarvion perusteella työvoimakoulutus 1]]+Opv.kohd.[[#This Row],[Lisätalousarvioiden perusteella]]</f>
        <v>0</v>
      </c>
      <c r="Q84" s="204">
        <f>IFERROR(VLOOKUP(Opv.kohd.[[#This Row],[Y-tunnus]],#REF!,COLUMN(#REF!),FALSE),0)</f>
        <v>0</v>
      </c>
      <c r="R84" s="210">
        <f>IFERROR(VLOOKUP(Opv.kohd.[[#This Row],[Y-tunnus]],#REF!,COLUMN(#REF!),FALSE)-(Opv.kohd.[[#This Row],[Kohdentamaton työvoima-koulutus 2]]+Opv.kohd.[[#This Row],[Maahan-muuttajien koulutus 2]]+Opv.kohd.[[#This Row],[Lisätalousarvioiden perusteella jaetut 2]]),0)</f>
        <v>0</v>
      </c>
      <c r="S84" s="210">
        <f>IFERROR(VLOOKUP(Opv.kohd.[[#This Row],[Y-tunnus]],#REF!,COLUMN(#REF!),FALSE)+VLOOKUP(Opv.kohd.[[#This Row],[Y-tunnus]],#REF!,COLUMN(#REF!),FALSE),0)</f>
        <v>0</v>
      </c>
      <c r="T84" s="210">
        <f>IFERROR(VLOOKUP(Opv.kohd.[[#This Row],[Y-tunnus]],#REF!,COLUMN(#REF!),FALSE)+VLOOKUP(Opv.kohd.[[#This Row],[Y-tunnus]],#REF!,COLUMN(#REF!),FALSE),0)</f>
        <v>0</v>
      </c>
      <c r="U8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84" s="210">
        <f>Opv.kohd.[[#This Row],[Kohdentamat-tomat 2]]+Opv.kohd.[[#This Row],[Kohdentamaton työvoima-koulutus 2]]+Opv.kohd.[[#This Row],[Maahan-muuttajien koulutus 2]]+Opv.kohd.[[#This Row],[Lisätalousarvioiden perusteella jaetut 2]]</f>
        <v>0</v>
      </c>
      <c r="W84" s="210">
        <f>Opv.kohd.[[#This Row],[Kohdentamat-tomat 2]]-(Opv.kohd.[[#This Row],[Järjestämisluvan mukaiset 1]]+Opv.kohd.[[#This Row],[Kohdentamat-tomat 1]]+Opv.kohd.[[#This Row],[Nuorisotyöt. väh. ja osaamistarp. vast., muu kuin työvoima-koulutus 1]]+Opv.kohd.[[#This Row],[Talousarvion perusteella kohdentamattomat]])</f>
        <v>0</v>
      </c>
      <c r="X84" s="210">
        <f>Opv.kohd.[[#This Row],[Kohdentamaton työvoima-koulutus 2]]-(Opv.kohd.[[#This Row],[Työvoima-koulutus 1]]+Opv.kohd.[[#This Row],[Nuorisotyöt. väh. ja osaamistarp. vast., työvoima-koulutus 1]]+Opv.kohd.[[#This Row],[Talousarvion perusteella työvoimakoulutus 1]])</f>
        <v>0</v>
      </c>
      <c r="Y84" s="210">
        <f>Opv.kohd.[[#This Row],[Maahan-muuttajien koulutus 2]]-Opv.kohd.[[#This Row],[Maahan-muuttajien koulutus 1]]</f>
        <v>0</v>
      </c>
      <c r="Z84" s="210">
        <f>Opv.kohd.[[#This Row],[Lisätalousarvioiden perusteella jaetut 2]]-Opv.kohd.[[#This Row],[Lisätalousarvioiden perusteella]]</f>
        <v>0</v>
      </c>
      <c r="AA84" s="210">
        <f>Opv.kohd.[[#This Row],[Toteutuneet opiskelijavuodet yhteensä 2]]-Opv.kohd.[[#This Row],[Vuoden 2018 tavoitteelliset opiskelijavuodet yhteensä 1]]</f>
        <v>0</v>
      </c>
      <c r="AB84" s="207">
        <f>IFERROR(VLOOKUP(Opv.kohd.[[#This Row],[Y-tunnus]],#REF!,3,FALSE),0)</f>
        <v>0</v>
      </c>
      <c r="AC84" s="207">
        <f>IFERROR(VLOOKUP(Opv.kohd.[[#This Row],[Y-tunnus]],#REF!,4,FALSE),0)</f>
        <v>0</v>
      </c>
      <c r="AD84" s="207">
        <f>IFERROR(VLOOKUP(Opv.kohd.[[#This Row],[Y-tunnus]],#REF!,5,FALSE),0)</f>
        <v>0</v>
      </c>
      <c r="AE84" s="207">
        <f>IFERROR(VLOOKUP(Opv.kohd.[[#This Row],[Y-tunnus]],#REF!,6,FALSE),0)</f>
        <v>0</v>
      </c>
      <c r="AF84" s="207">
        <f>IFERROR(VLOOKUP(Opv.kohd.[[#This Row],[Y-tunnus]],#REF!,7,FALSE),0)</f>
        <v>0</v>
      </c>
      <c r="AG84" s="207">
        <f>IFERROR(VLOOKUP(Opv.kohd.[[#This Row],[Y-tunnus]],#REF!,8,FALSE),0)</f>
        <v>0</v>
      </c>
      <c r="AH84" s="207">
        <f>IFERROR(VLOOKUP(Opv.kohd.[[#This Row],[Y-tunnus]],#REF!,9,FALSE),0)</f>
        <v>0</v>
      </c>
      <c r="AI84" s="207">
        <f>IFERROR(VLOOKUP(Opv.kohd.[[#This Row],[Y-tunnus]],#REF!,10,FALSE),0)</f>
        <v>0</v>
      </c>
      <c r="AJ84" s="204">
        <f>Opv.kohd.[[#This Row],[Järjestämisluvan mukaiset 4]]-Opv.kohd.[[#This Row],[Järjestämisluvan mukaiset 1]]</f>
        <v>0</v>
      </c>
      <c r="AK84" s="204">
        <f>Opv.kohd.[[#This Row],[Kohdentamat-tomat 4]]-Opv.kohd.[[#This Row],[Kohdentamat-tomat 1]]</f>
        <v>0</v>
      </c>
      <c r="AL84" s="204">
        <f>Opv.kohd.[[#This Row],[Työvoima-koulutus 4]]-Opv.kohd.[[#This Row],[Työvoima-koulutus 1]]</f>
        <v>0</v>
      </c>
      <c r="AM84" s="204">
        <f>Opv.kohd.[[#This Row],[Maahan-muuttajien koulutus 4]]-Opv.kohd.[[#This Row],[Maahan-muuttajien koulutus 1]]</f>
        <v>0</v>
      </c>
      <c r="AN84" s="204">
        <f>Opv.kohd.[[#This Row],[Nuorisotyöt. väh. ja osaamistarp. vast., muu kuin työvoima-koulutus 4]]-Opv.kohd.[[#This Row],[Nuorisotyöt. väh. ja osaamistarp. vast., muu kuin työvoima-koulutus 1]]</f>
        <v>0</v>
      </c>
      <c r="AO84" s="204">
        <f>Opv.kohd.[[#This Row],[Nuorisotyöt. väh. ja osaamistarp. vast., työvoima-koulutus 4]]-Opv.kohd.[[#This Row],[Nuorisotyöt. väh. ja osaamistarp. vast., työvoima-koulutus 1]]</f>
        <v>0</v>
      </c>
      <c r="AP84" s="204">
        <f>Opv.kohd.[[#This Row],[Yhteensä 4]]-Opv.kohd.[[#This Row],[Yhteensä  1]]</f>
        <v>0</v>
      </c>
      <c r="AQ84" s="204">
        <f>Opv.kohd.[[#This Row],[Ensikertaisella suoritepäätöksellä jaetut tavoitteelliset opiskelijavuodet yhteensä 4]]-Opv.kohd.[[#This Row],[Ensikertaisella suoritepäätöksellä jaetut tavoitteelliset opiskelijavuodet yhteensä 1]]</f>
        <v>0</v>
      </c>
      <c r="AR84" s="208">
        <f>IFERROR(Opv.kohd.[[#This Row],[Järjestämisluvan mukaiset 5]]/Opv.kohd.[[#This Row],[Järjestämisluvan mukaiset 4]],0)</f>
        <v>0</v>
      </c>
      <c r="AS84" s="208">
        <f>IFERROR(Opv.kohd.[[#This Row],[Kohdentamat-tomat 5]]/Opv.kohd.[[#This Row],[Kohdentamat-tomat 4]],0)</f>
        <v>0</v>
      </c>
      <c r="AT84" s="208">
        <f>IFERROR(Opv.kohd.[[#This Row],[Työvoima-koulutus 5]]/Opv.kohd.[[#This Row],[Työvoima-koulutus 4]],0)</f>
        <v>0</v>
      </c>
      <c r="AU84" s="208">
        <f>IFERROR(Opv.kohd.[[#This Row],[Maahan-muuttajien koulutus 5]]/Opv.kohd.[[#This Row],[Maahan-muuttajien koulutus 4]],0)</f>
        <v>0</v>
      </c>
      <c r="AV84" s="208">
        <f>IFERROR(Opv.kohd.[[#This Row],[Nuorisotyöt. väh. ja osaamistarp. vast., muu kuin työvoima-koulutus 5]]/Opv.kohd.[[#This Row],[Nuorisotyöt. väh. ja osaamistarp. vast., muu kuin työvoima-koulutus 4]],0)</f>
        <v>0</v>
      </c>
      <c r="AW84" s="208">
        <f>IFERROR(Opv.kohd.[[#This Row],[Nuorisotyöt. väh. ja osaamistarp. vast., työvoima-koulutus 5]]/Opv.kohd.[[#This Row],[Nuorisotyöt. väh. ja osaamistarp. vast., työvoima-koulutus 4]],0)</f>
        <v>0</v>
      </c>
      <c r="AX84" s="208">
        <f>IFERROR(Opv.kohd.[[#This Row],[Yhteensä 5]]/Opv.kohd.[[#This Row],[Yhteensä 4]],0)</f>
        <v>0</v>
      </c>
      <c r="AY84" s="208">
        <f>IFERROR(Opv.kohd.[[#This Row],[Ensikertaisella suoritepäätöksellä jaetut tavoitteelliset opiskelijavuodet yhteensä 5]]/Opv.kohd.[[#This Row],[Ensikertaisella suoritepäätöksellä jaetut tavoitteelliset opiskelijavuodet yhteensä 4]],0)</f>
        <v>0</v>
      </c>
      <c r="AZ84" s="207">
        <f>Opv.kohd.[[#This Row],[Yhteensä 7a]]-Opv.kohd.[[#This Row],[Työvoima-koulutus 7a]]</f>
        <v>0</v>
      </c>
      <c r="BA84" s="207">
        <f>IFERROR(VLOOKUP(Opv.kohd.[[#This Row],[Y-tunnus]],#REF!,COLUMN(#REF!),FALSE),0)</f>
        <v>0</v>
      </c>
      <c r="BB84" s="207">
        <f>IFERROR(VLOOKUP(Opv.kohd.[[#This Row],[Y-tunnus]],#REF!,COLUMN(#REF!),FALSE),0)</f>
        <v>0</v>
      </c>
      <c r="BC84" s="207">
        <f>Opv.kohd.[[#This Row],[Muu kuin työvoima-koulutus 7c]]-Opv.kohd.[[#This Row],[Muu kuin työvoima-koulutus 7a]]</f>
        <v>0</v>
      </c>
      <c r="BD84" s="207">
        <f>Opv.kohd.[[#This Row],[Työvoima-koulutus 7c]]-Opv.kohd.[[#This Row],[Työvoima-koulutus 7a]]</f>
        <v>0</v>
      </c>
      <c r="BE84" s="207">
        <f>Opv.kohd.[[#This Row],[Yhteensä 7c]]-Opv.kohd.[[#This Row],[Yhteensä 7a]]</f>
        <v>0</v>
      </c>
      <c r="BF84" s="207">
        <f>Opv.kohd.[[#This Row],[Yhteensä 7c]]-Opv.kohd.[[#This Row],[Työvoima-koulutus 7c]]</f>
        <v>0</v>
      </c>
      <c r="BG84" s="207">
        <f>IFERROR(VLOOKUP(Opv.kohd.[[#This Row],[Y-tunnus]],#REF!,COLUMN(#REF!),FALSE),0)</f>
        <v>0</v>
      </c>
      <c r="BH84" s="207">
        <f>IFERROR(VLOOKUP(Opv.kohd.[[#This Row],[Y-tunnus]],#REF!,COLUMN(#REF!),FALSE),0)</f>
        <v>0</v>
      </c>
      <c r="BI84" s="207">
        <f>IFERROR(VLOOKUP(Opv.kohd.[[#This Row],[Y-tunnus]],#REF!,COLUMN(#REF!),FALSE),0)</f>
        <v>0</v>
      </c>
      <c r="BJ84" s="207">
        <f>IFERROR(VLOOKUP(Opv.kohd.[[#This Row],[Y-tunnus]],#REF!,COLUMN(#REF!),FALSE),0)</f>
        <v>0</v>
      </c>
      <c r="BK84" s="207">
        <f>Opv.kohd.[[#This Row],[Muu kuin työvoima-koulutus 7d]]+Opv.kohd.[[#This Row],[Työvoima-koulutus 7d]]</f>
        <v>0</v>
      </c>
      <c r="BL84" s="207">
        <f>Opv.kohd.[[#This Row],[Muu kuin työvoima-koulutus 7c]]-Opv.kohd.[[#This Row],[Muu kuin työvoima-koulutus 7d]]</f>
        <v>0</v>
      </c>
      <c r="BM84" s="207">
        <f>Opv.kohd.[[#This Row],[Työvoima-koulutus 7c]]-Opv.kohd.[[#This Row],[Työvoima-koulutus 7d]]</f>
        <v>0</v>
      </c>
      <c r="BN84" s="207">
        <f>Opv.kohd.[[#This Row],[Yhteensä 7c]]-Opv.kohd.[[#This Row],[Yhteensä 7d]]</f>
        <v>0</v>
      </c>
      <c r="BO84" s="207">
        <f>Opv.kohd.[[#This Row],[Muu kuin työvoima-koulutus 7e]]-(Opv.kohd.[[#This Row],[Järjestämisluvan mukaiset 4]]+Opv.kohd.[[#This Row],[Kohdentamat-tomat 4]]+Opv.kohd.[[#This Row],[Maahan-muuttajien koulutus 4]]+Opv.kohd.[[#This Row],[Nuorisotyöt. väh. ja osaamistarp. vast., muu kuin työvoima-koulutus 4]])</f>
        <v>0</v>
      </c>
      <c r="BP84" s="207">
        <f>Opv.kohd.[[#This Row],[Työvoima-koulutus 7e]]-(Opv.kohd.[[#This Row],[Työvoima-koulutus 4]]+Opv.kohd.[[#This Row],[Nuorisotyöt. väh. ja osaamistarp. vast., työvoima-koulutus 4]])</f>
        <v>0</v>
      </c>
      <c r="BQ84" s="207">
        <f>Opv.kohd.[[#This Row],[Yhteensä 7e]]-Opv.kohd.[[#This Row],[Ensikertaisella suoritepäätöksellä jaetut tavoitteelliset opiskelijavuodet yhteensä 4]]</f>
        <v>0</v>
      </c>
      <c r="BR84" s="263">
        <v>2470</v>
      </c>
      <c r="BS84" s="263">
        <v>100</v>
      </c>
      <c r="BT84" s="263">
        <v>106</v>
      </c>
      <c r="BU84" s="263">
        <v>80</v>
      </c>
      <c r="BV84" s="263">
        <v>10</v>
      </c>
      <c r="BW84" s="263">
        <v>0</v>
      </c>
      <c r="BX84" s="263">
        <v>296</v>
      </c>
      <c r="BY84" s="263">
        <v>2766</v>
      </c>
      <c r="BZ84" s="207">
        <f t="shared" si="17"/>
        <v>2470</v>
      </c>
      <c r="CA84" s="207">
        <f t="shared" si="18"/>
        <v>100</v>
      </c>
      <c r="CB84" s="207">
        <f t="shared" si="19"/>
        <v>106</v>
      </c>
      <c r="CC84" s="207">
        <f t="shared" si="20"/>
        <v>80</v>
      </c>
      <c r="CD84" s="207">
        <f t="shared" si="21"/>
        <v>10</v>
      </c>
      <c r="CE84" s="207">
        <f t="shared" si="22"/>
        <v>0</v>
      </c>
      <c r="CF84" s="207">
        <f t="shared" si="23"/>
        <v>296</v>
      </c>
      <c r="CG84" s="207">
        <f t="shared" si="24"/>
        <v>2766</v>
      </c>
      <c r="CH84" s="207">
        <f>Opv.kohd.[[#This Row],[Tavoitteelliset opiskelijavuodet yhteensä 9]]-Opv.kohd.[[#This Row],[Työvoima-koulutus 9]]-Opv.kohd.[[#This Row],[Nuorisotyöt. väh. ja osaamistarp. vast., työvoima-koulutus 9]]-Opv.kohd.[[#This Row],[Muu kuin työvoima-koulutus 7e]]</f>
        <v>2660</v>
      </c>
      <c r="CI84" s="207">
        <f>(Opv.kohd.[[#This Row],[Työvoima-koulutus 9]]+Opv.kohd.[[#This Row],[Nuorisotyöt. väh. ja osaamistarp. vast., työvoima-koulutus 9]])-Opv.kohd.[[#This Row],[Työvoima-koulutus 7e]]</f>
        <v>106</v>
      </c>
      <c r="CJ84" s="207">
        <f>Opv.kohd.[[#This Row],[Tavoitteelliset opiskelijavuodet yhteensä 9]]-Opv.kohd.[[#This Row],[Yhteensä 7e]]</f>
        <v>2766</v>
      </c>
      <c r="CK84" s="207">
        <f>Opv.kohd.[[#This Row],[Järjestämisluvan mukaiset 4]]+Opv.kohd.[[#This Row],[Järjestämisluvan mukaiset 13]]</f>
        <v>0</v>
      </c>
      <c r="CL84" s="207">
        <f>Opv.kohd.[[#This Row],[Kohdentamat-tomat 4]]+Opv.kohd.[[#This Row],[Kohdentamat-tomat 13]]</f>
        <v>0</v>
      </c>
      <c r="CM84" s="207">
        <f>Opv.kohd.[[#This Row],[Työvoima-koulutus 4]]+Opv.kohd.[[#This Row],[Työvoima-koulutus 13]]</f>
        <v>0</v>
      </c>
      <c r="CN84" s="207">
        <f>Opv.kohd.[[#This Row],[Maahan-muuttajien koulutus 4]]+Opv.kohd.[[#This Row],[Maahan-muuttajien koulutus 13]]</f>
        <v>0</v>
      </c>
      <c r="CO84" s="207">
        <f>Opv.kohd.[[#This Row],[Nuorisotyöt. väh. ja osaamistarp. vast., muu kuin työvoima-koulutus 4]]+Opv.kohd.[[#This Row],[Nuorisotyöt. väh. ja osaamistarp. vast., muu kuin työvoima-koulutus 13]]</f>
        <v>0</v>
      </c>
      <c r="CP84" s="207">
        <f>Opv.kohd.[[#This Row],[Nuorisotyöt. väh. ja osaamistarp. vast., työvoima-koulutus 4]]+Opv.kohd.[[#This Row],[Nuorisotyöt. väh. ja osaamistarp. vast., työvoima-koulutus 13]]</f>
        <v>0</v>
      </c>
      <c r="CQ84" s="207">
        <f>Opv.kohd.[[#This Row],[Yhteensä 4]]+Opv.kohd.[[#This Row],[Yhteensä 13]]</f>
        <v>0</v>
      </c>
      <c r="CR84" s="207">
        <f>Opv.kohd.[[#This Row],[Ensikertaisella suoritepäätöksellä jaetut tavoitteelliset opiskelijavuodet yhteensä 4]]+Opv.kohd.[[#This Row],[Tavoitteelliset opiskelijavuodet yhteensä 13]]</f>
        <v>0</v>
      </c>
      <c r="CS84" s="120">
        <v>0</v>
      </c>
      <c r="CT84" s="120">
        <v>0</v>
      </c>
      <c r="CU84" s="120">
        <v>0</v>
      </c>
      <c r="CV84" s="120">
        <v>0</v>
      </c>
      <c r="CW84" s="120">
        <v>0</v>
      </c>
      <c r="CX84" s="120">
        <v>0</v>
      </c>
      <c r="CY84" s="120">
        <v>0</v>
      </c>
      <c r="CZ84" s="120">
        <v>0</v>
      </c>
      <c r="DA84" s="209">
        <f>IFERROR(Opv.kohd.[[#This Row],[Järjestämisluvan mukaiset 13]]/Opv.kohd.[[#This Row],[Järjestämisluvan mukaiset 12]],0)</f>
        <v>0</v>
      </c>
      <c r="DB84" s="209">
        <f>IFERROR(Opv.kohd.[[#This Row],[Kohdentamat-tomat 13]]/Opv.kohd.[[#This Row],[Kohdentamat-tomat 12]],0)</f>
        <v>0</v>
      </c>
      <c r="DC84" s="209">
        <f>IFERROR(Opv.kohd.[[#This Row],[Työvoima-koulutus 13]]/Opv.kohd.[[#This Row],[Työvoima-koulutus 12]],0)</f>
        <v>0</v>
      </c>
      <c r="DD84" s="209">
        <f>IFERROR(Opv.kohd.[[#This Row],[Maahan-muuttajien koulutus 13]]/Opv.kohd.[[#This Row],[Maahan-muuttajien koulutus 12]],0)</f>
        <v>0</v>
      </c>
      <c r="DE84" s="209">
        <f>IFERROR(Opv.kohd.[[#This Row],[Nuorisotyöt. väh. ja osaamistarp. vast., muu kuin työvoima-koulutus 13]]/Opv.kohd.[[#This Row],[Nuorisotyöt. väh. ja osaamistarp. vast., muu kuin työvoima-koulutus 12]],0)</f>
        <v>0</v>
      </c>
      <c r="DF84" s="209">
        <f>IFERROR(Opv.kohd.[[#This Row],[Nuorisotyöt. väh. ja osaamistarp. vast., työvoima-koulutus 13]]/Opv.kohd.[[#This Row],[Nuorisotyöt. väh. ja osaamistarp. vast., työvoima-koulutus 12]],0)</f>
        <v>0</v>
      </c>
      <c r="DG84" s="209">
        <f>IFERROR(Opv.kohd.[[#This Row],[Yhteensä 13]]/Opv.kohd.[[#This Row],[Yhteensä 12]],0)</f>
        <v>0</v>
      </c>
      <c r="DH84" s="209">
        <f>IFERROR(Opv.kohd.[[#This Row],[Tavoitteelliset opiskelijavuodet yhteensä 13]]/Opv.kohd.[[#This Row],[Tavoitteelliset opiskelijavuodet yhteensä 12]],0)</f>
        <v>0</v>
      </c>
      <c r="DI84" s="207">
        <f>Opv.kohd.[[#This Row],[Järjestämisluvan mukaiset 12]]-Opv.kohd.[[#This Row],[Järjestämisluvan mukaiset 9]]</f>
        <v>-2470</v>
      </c>
      <c r="DJ84" s="207">
        <f>Opv.kohd.[[#This Row],[Kohdentamat-tomat 12]]-Opv.kohd.[[#This Row],[Kohdentamat-tomat 9]]</f>
        <v>-100</v>
      </c>
      <c r="DK84" s="207">
        <f>Opv.kohd.[[#This Row],[Työvoima-koulutus 12]]-Opv.kohd.[[#This Row],[Työvoima-koulutus 9]]</f>
        <v>-106</v>
      </c>
      <c r="DL84" s="207">
        <f>Opv.kohd.[[#This Row],[Maahan-muuttajien koulutus 12]]-Opv.kohd.[[#This Row],[Maahan-muuttajien koulutus 9]]</f>
        <v>-80</v>
      </c>
      <c r="DM84" s="207">
        <f>Opv.kohd.[[#This Row],[Nuorisotyöt. väh. ja osaamistarp. vast., muu kuin työvoima-koulutus 12]]-Opv.kohd.[[#This Row],[Nuorisotyöt. väh. ja osaamistarp. vast., muu kuin työvoima-koulutus 9]]</f>
        <v>-10</v>
      </c>
      <c r="DN84" s="207">
        <f>Opv.kohd.[[#This Row],[Nuorisotyöt. väh. ja osaamistarp. vast., työvoima-koulutus 12]]-Opv.kohd.[[#This Row],[Nuorisotyöt. väh. ja osaamistarp. vast., työvoima-koulutus 9]]</f>
        <v>0</v>
      </c>
      <c r="DO84" s="207">
        <f>Opv.kohd.[[#This Row],[Yhteensä 12]]-Opv.kohd.[[#This Row],[Yhteensä 9]]</f>
        <v>-296</v>
      </c>
      <c r="DP84" s="207">
        <f>Opv.kohd.[[#This Row],[Tavoitteelliset opiskelijavuodet yhteensä 12]]-Opv.kohd.[[#This Row],[Tavoitteelliset opiskelijavuodet yhteensä 9]]</f>
        <v>-2766</v>
      </c>
      <c r="DQ84" s="209">
        <f>IFERROR(Opv.kohd.[[#This Row],[Järjestämisluvan mukaiset 15]]/Opv.kohd.[[#This Row],[Järjestämisluvan mukaiset 9]],0)</f>
        <v>-1</v>
      </c>
      <c r="DR84" s="209">
        <f t="shared" si="25"/>
        <v>0</v>
      </c>
      <c r="DS84" s="209">
        <f t="shared" si="26"/>
        <v>0</v>
      </c>
      <c r="DT84" s="209">
        <f t="shared" si="27"/>
        <v>0</v>
      </c>
      <c r="DU84" s="209">
        <f t="shared" si="28"/>
        <v>0</v>
      </c>
      <c r="DV84" s="209">
        <f t="shared" si="29"/>
        <v>0</v>
      </c>
      <c r="DW84" s="209">
        <f t="shared" si="30"/>
        <v>0</v>
      </c>
      <c r="DX84" s="209">
        <f t="shared" si="31"/>
        <v>0</v>
      </c>
    </row>
    <row r="85" spans="1:128" x14ac:dyDescent="0.25">
      <c r="A85" s="204" t="e">
        <f>IF(INDEX(#REF!,ROW(85:85)-1,1)=0,"",INDEX(#REF!,ROW(85:85)-1,1))</f>
        <v>#REF!</v>
      </c>
      <c r="B85" s="205" t="str">
        <f>IFERROR(VLOOKUP(Opv.kohd.[[#This Row],[Y-tunnus]],'0 Järjestäjätiedot'!$A:$H,2,FALSE),"")</f>
        <v/>
      </c>
      <c r="C85" s="204" t="str">
        <f>IFERROR(VLOOKUP(Opv.kohd.[[#This Row],[Y-tunnus]],'0 Järjestäjätiedot'!$A:$H,COLUMN('0 Järjestäjätiedot'!D:D),FALSE),"")</f>
        <v/>
      </c>
      <c r="D85" s="204" t="str">
        <f>IFERROR(VLOOKUP(Opv.kohd.[[#This Row],[Y-tunnus]],'0 Järjestäjätiedot'!$A:$H,COLUMN('0 Järjestäjätiedot'!H:H),FALSE),"")</f>
        <v/>
      </c>
      <c r="E85" s="204">
        <f>IFERROR(VLOOKUP(Opv.kohd.[[#This Row],[Y-tunnus]],#REF!,COLUMN(#REF!),FALSE),0)</f>
        <v>0</v>
      </c>
      <c r="F85" s="204">
        <f>IFERROR(VLOOKUP(Opv.kohd.[[#This Row],[Y-tunnus]],#REF!,COLUMN(#REF!),FALSE),0)</f>
        <v>0</v>
      </c>
      <c r="G85" s="204">
        <f>IFERROR(VLOOKUP(Opv.kohd.[[#This Row],[Y-tunnus]],#REF!,COLUMN(#REF!),FALSE),0)</f>
        <v>0</v>
      </c>
      <c r="H85" s="204">
        <f>IFERROR(VLOOKUP(Opv.kohd.[[#This Row],[Y-tunnus]],#REF!,COLUMN(#REF!),FALSE),0)</f>
        <v>0</v>
      </c>
      <c r="I85" s="204">
        <f>IFERROR(VLOOKUP(Opv.kohd.[[#This Row],[Y-tunnus]],#REF!,COLUMN(#REF!),FALSE),0)</f>
        <v>0</v>
      </c>
      <c r="J85" s="204">
        <f>IFERROR(VLOOKUP(Opv.kohd.[[#This Row],[Y-tunnus]],#REF!,COLUMN(#REF!),FALSE),0)</f>
        <v>0</v>
      </c>
      <c r="K8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85" s="204">
        <f>Opv.kohd.[[#This Row],[Järjestämisluvan mukaiset 1]]+Opv.kohd.[[#This Row],[Yhteensä  1]]</f>
        <v>0</v>
      </c>
      <c r="M85" s="204">
        <f>IFERROR(VLOOKUP(Opv.kohd.[[#This Row],[Y-tunnus]],#REF!,COLUMN(#REF!),FALSE),0)</f>
        <v>0</v>
      </c>
      <c r="N85" s="204">
        <f>IFERROR(VLOOKUP(Opv.kohd.[[#This Row],[Y-tunnus]],#REF!,COLUMN(#REF!),FALSE),0)</f>
        <v>0</v>
      </c>
      <c r="O85" s="204">
        <f>IFERROR(VLOOKUP(Opv.kohd.[[#This Row],[Y-tunnus]],#REF!,COLUMN(#REF!),FALSE)+VLOOKUP(Opv.kohd.[[#This Row],[Y-tunnus]],#REF!,COLUMN(#REF!),FALSE),0)</f>
        <v>0</v>
      </c>
      <c r="P85" s="204">
        <f>Opv.kohd.[[#This Row],[Talousarvion perusteella kohdentamattomat]]+Opv.kohd.[[#This Row],[Talousarvion perusteella työvoimakoulutus 1]]+Opv.kohd.[[#This Row],[Lisätalousarvioiden perusteella]]</f>
        <v>0</v>
      </c>
      <c r="Q85" s="204">
        <f>IFERROR(VLOOKUP(Opv.kohd.[[#This Row],[Y-tunnus]],#REF!,COLUMN(#REF!),FALSE),0)</f>
        <v>0</v>
      </c>
      <c r="R85" s="210">
        <f>IFERROR(VLOOKUP(Opv.kohd.[[#This Row],[Y-tunnus]],#REF!,COLUMN(#REF!),FALSE)-(Opv.kohd.[[#This Row],[Kohdentamaton työvoima-koulutus 2]]+Opv.kohd.[[#This Row],[Maahan-muuttajien koulutus 2]]+Opv.kohd.[[#This Row],[Lisätalousarvioiden perusteella jaetut 2]]),0)</f>
        <v>0</v>
      </c>
      <c r="S85" s="210">
        <f>IFERROR(VLOOKUP(Opv.kohd.[[#This Row],[Y-tunnus]],#REF!,COLUMN(#REF!),FALSE)+VLOOKUP(Opv.kohd.[[#This Row],[Y-tunnus]],#REF!,COLUMN(#REF!),FALSE),0)</f>
        <v>0</v>
      </c>
      <c r="T85" s="210">
        <f>IFERROR(VLOOKUP(Opv.kohd.[[#This Row],[Y-tunnus]],#REF!,COLUMN(#REF!),FALSE)+VLOOKUP(Opv.kohd.[[#This Row],[Y-tunnus]],#REF!,COLUMN(#REF!),FALSE),0)</f>
        <v>0</v>
      </c>
      <c r="U8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85" s="210">
        <f>Opv.kohd.[[#This Row],[Kohdentamat-tomat 2]]+Opv.kohd.[[#This Row],[Kohdentamaton työvoima-koulutus 2]]+Opv.kohd.[[#This Row],[Maahan-muuttajien koulutus 2]]+Opv.kohd.[[#This Row],[Lisätalousarvioiden perusteella jaetut 2]]</f>
        <v>0</v>
      </c>
      <c r="W85" s="210">
        <f>Opv.kohd.[[#This Row],[Kohdentamat-tomat 2]]-(Opv.kohd.[[#This Row],[Järjestämisluvan mukaiset 1]]+Opv.kohd.[[#This Row],[Kohdentamat-tomat 1]]+Opv.kohd.[[#This Row],[Nuorisotyöt. väh. ja osaamistarp. vast., muu kuin työvoima-koulutus 1]]+Opv.kohd.[[#This Row],[Talousarvion perusteella kohdentamattomat]])</f>
        <v>0</v>
      </c>
      <c r="X85" s="210">
        <f>Opv.kohd.[[#This Row],[Kohdentamaton työvoima-koulutus 2]]-(Opv.kohd.[[#This Row],[Työvoima-koulutus 1]]+Opv.kohd.[[#This Row],[Nuorisotyöt. väh. ja osaamistarp. vast., työvoima-koulutus 1]]+Opv.kohd.[[#This Row],[Talousarvion perusteella työvoimakoulutus 1]])</f>
        <v>0</v>
      </c>
      <c r="Y85" s="210">
        <f>Opv.kohd.[[#This Row],[Maahan-muuttajien koulutus 2]]-Opv.kohd.[[#This Row],[Maahan-muuttajien koulutus 1]]</f>
        <v>0</v>
      </c>
      <c r="Z85" s="210">
        <f>Opv.kohd.[[#This Row],[Lisätalousarvioiden perusteella jaetut 2]]-Opv.kohd.[[#This Row],[Lisätalousarvioiden perusteella]]</f>
        <v>0</v>
      </c>
      <c r="AA85" s="210">
        <f>Opv.kohd.[[#This Row],[Toteutuneet opiskelijavuodet yhteensä 2]]-Opv.kohd.[[#This Row],[Vuoden 2018 tavoitteelliset opiskelijavuodet yhteensä 1]]</f>
        <v>0</v>
      </c>
      <c r="AB85" s="207">
        <f>IFERROR(VLOOKUP(Opv.kohd.[[#This Row],[Y-tunnus]],#REF!,3,FALSE),0)</f>
        <v>0</v>
      </c>
      <c r="AC85" s="207">
        <f>IFERROR(VLOOKUP(Opv.kohd.[[#This Row],[Y-tunnus]],#REF!,4,FALSE),0)</f>
        <v>0</v>
      </c>
      <c r="AD85" s="207">
        <f>IFERROR(VLOOKUP(Opv.kohd.[[#This Row],[Y-tunnus]],#REF!,5,FALSE),0)</f>
        <v>0</v>
      </c>
      <c r="AE85" s="207">
        <f>IFERROR(VLOOKUP(Opv.kohd.[[#This Row],[Y-tunnus]],#REF!,6,FALSE),0)</f>
        <v>0</v>
      </c>
      <c r="AF85" s="207">
        <f>IFERROR(VLOOKUP(Opv.kohd.[[#This Row],[Y-tunnus]],#REF!,7,FALSE),0)</f>
        <v>0</v>
      </c>
      <c r="AG85" s="207">
        <f>IFERROR(VLOOKUP(Opv.kohd.[[#This Row],[Y-tunnus]],#REF!,8,FALSE),0)</f>
        <v>0</v>
      </c>
      <c r="AH85" s="207">
        <f>IFERROR(VLOOKUP(Opv.kohd.[[#This Row],[Y-tunnus]],#REF!,9,FALSE),0)</f>
        <v>0</v>
      </c>
      <c r="AI85" s="207">
        <f>IFERROR(VLOOKUP(Opv.kohd.[[#This Row],[Y-tunnus]],#REF!,10,FALSE),0)</f>
        <v>0</v>
      </c>
      <c r="AJ85" s="204">
        <f>Opv.kohd.[[#This Row],[Järjestämisluvan mukaiset 4]]-Opv.kohd.[[#This Row],[Järjestämisluvan mukaiset 1]]</f>
        <v>0</v>
      </c>
      <c r="AK85" s="204">
        <f>Opv.kohd.[[#This Row],[Kohdentamat-tomat 4]]-Opv.kohd.[[#This Row],[Kohdentamat-tomat 1]]</f>
        <v>0</v>
      </c>
      <c r="AL85" s="204">
        <f>Opv.kohd.[[#This Row],[Työvoima-koulutus 4]]-Opv.kohd.[[#This Row],[Työvoima-koulutus 1]]</f>
        <v>0</v>
      </c>
      <c r="AM85" s="204">
        <f>Opv.kohd.[[#This Row],[Maahan-muuttajien koulutus 4]]-Opv.kohd.[[#This Row],[Maahan-muuttajien koulutus 1]]</f>
        <v>0</v>
      </c>
      <c r="AN85" s="204">
        <f>Opv.kohd.[[#This Row],[Nuorisotyöt. väh. ja osaamistarp. vast., muu kuin työvoima-koulutus 4]]-Opv.kohd.[[#This Row],[Nuorisotyöt. väh. ja osaamistarp. vast., muu kuin työvoima-koulutus 1]]</f>
        <v>0</v>
      </c>
      <c r="AO85" s="204">
        <f>Opv.kohd.[[#This Row],[Nuorisotyöt. väh. ja osaamistarp. vast., työvoima-koulutus 4]]-Opv.kohd.[[#This Row],[Nuorisotyöt. väh. ja osaamistarp. vast., työvoima-koulutus 1]]</f>
        <v>0</v>
      </c>
      <c r="AP85" s="204">
        <f>Opv.kohd.[[#This Row],[Yhteensä 4]]-Opv.kohd.[[#This Row],[Yhteensä  1]]</f>
        <v>0</v>
      </c>
      <c r="AQ85" s="204">
        <f>Opv.kohd.[[#This Row],[Ensikertaisella suoritepäätöksellä jaetut tavoitteelliset opiskelijavuodet yhteensä 4]]-Opv.kohd.[[#This Row],[Ensikertaisella suoritepäätöksellä jaetut tavoitteelliset opiskelijavuodet yhteensä 1]]</f>
        <v>0</v>
      </c>
      <c r="AR85" s="208">
        <f>IFERROR(Opv.kohd.[[#This Row],[Järjestämisluvan mukaiset 5]]/Opv.kohd.[[#This Row],[Järjestämisluvan mukaiset 4]],0)</f>
        <v>0</v>
      </c>
      <c r="AS85" s="208">
        <f>IFERROR(Opv.kohd.[[#This Row],[Kohdentamat-tomat 5]]/Opv.kohd.[[#This Row],[Kohdentamat-tomat 4]],0)</f>
        <v>0</v>
      </c>
      <c r="AT85" s="208">
        <f>IFERROR(Opv.kohd.[[#This Row],[Työvoima-koulutus 5]]/Opv.kohd.[[#This Row],[Työvoima-koulutus 4]],0)</f>
        <v>0</v>
      </c>
      <c r="AU85" s="208">
        <f>IFERROR(Opv.kohd.[[#This Row],[Maahan-muuttajien koulutus 5]]/Opv.kohd.[[#This Row],[Maahan-muuttajien koulutus 4]],0)</f>
        <v>0</v>
      </c>
      <c r="AV85" s="208">
        <f>IFERROR(Opv.kohd.[[#This Row],[Nuorisotyöt. väh. ja osaamistarp. vast., muu kuin työvoima-koulutus 5]]/Opv.kohd.[[#This Row],[Nuorisotyöt. väh. ja osaamistarp. vast., muu kuin työvoima-koulutus 4]],0)</f>
        <v>0</v>
      </c>
      <c r="AW85" s="208">
        <f>IFERROR(Opv.kohd.[[#This Row],[Nuorisotyöt. väh. ja osaamistarp. vast., työvoima-koulutus 5]]/Opv.kohd.[[#This Row],[Nuorisotyöt. väh. ja osaamistarp. vast., työvoima-koulutus 4]],0)</f>
        <v>0</v>
      </c>
      <c r="AX85" s="208">
        <f>IFERROR(Opv.kohd.[[#This Row],[Yhteensä 5]]/Opv.kohd.[[#This Row],[Yhteensä 4]],0)</f>
        <v>0</v>
      </c>
      <c r="AY85" s="208">
        <f>IFERROR(Opv.kohd.[[#This Row],[Ensikertaisella suoritepäätöksellä jaetut tavoitteelliset opiskelijavuodet yhteensä 5]]/Opv.kohd.[[#This Row],[Ensikertaisella suoritepäätöksellä jaetut tavoitteelliset opiskelijavuodet yhteensä 4]],0)</f>
        <v>0</v>
      </c>
      <c r="AZ85" s="207">
        <f>Opv.kohd.[[#This Row],[Yhteensä 7a]]-Opv.kohd.[[#This Row],[Työvoima-koulutus 7a]]</f>
        <v>0</v>
      </c>
      <c r="BA85" s="207">
        <f>IFERROR(VLOOKUP(Opv.kohd.[[#This Row],[Y-tunnus]],#REF!,COLUMN(#REF!),FALSE),0)</f>
        <v>0</v>
      </c>
      <c r="BB85" s="207">
        <f>IFERROR(VLOOKUP(Opv.kohd.[[#This Row],[Y-tunnus]],#REF!,COLUMN(#REF!),FALSE),0)</f>
        <v>0</v>
      </c>
      <c r="BC85" s="207">
        <f>Opv.kohd.[[#This Row],[Muu kuin työvoima-koulutus 7c]]-Opv.kohd.[[#This Row],[Muu kuin työvoima-koulutus 7a]]</f>
        <v>0</v>
      </c>
      <c r="BD85" s="207">
        <f>Opv.kohd.[[#This Row],[Työvoima-koulutus 7c]]-Opv.kohd.[[#This Row],[Työvoima-koulutus 7a]]</f>
        <v>0</v>
      </c>
      <c r="BE85" s="207">
        <f>Opv.kohd.[[#This Row],[Yhteensä 7c]]-Opv.kohd.[[#This Row],[Yhteensä 7a]]</f>
        <v>0</v>
      </c>
      <c r="BF85" s="207">
        <f>Opv.kohd.[[#This Row],[Yhteensä 7c]]-Opv.kohd.[[#This Row],[Työvoima-koulutus 7c]]</f>
        <v>0</v>
      </c>
      <c r="BG85" s="207">
        <f>IFERROR(VLOOKUP(Opv.kohd.[[#This Row],[Y-tunnus]],#REF!,COLUMN(#REF!),FALSE),0)</f>
        <v>0</v>
      </c>
      <c r="BH85" s="207">
        <f>IFERROR(VLOOKUP(Opv.kohd.[[#This Row],[Y-tunnus]],#REF!,COLUMN(#REF!),FALSE),0)</f>
        <v>0</v>
      </c>
      <c r="BI85" s="207">
        <f>IFERROR(VLOOKUP(Opv.kohd.[[#This Row],[Y-tunnus]],#REF!,COLUMN(#REF!),FALSE),0)</f>
        <v>0</v>
      </c>
      <c r="BJ85" s="207">
        <f>IFERROR(VLOOKUP(Opv.kohd.[[#This Row],[Y-tunnus]],#REF!,COLUMN(#REF!),FALSE),0)</f>
        <v>0</v>
      </c>
      <c r="BK85" s="207">
        <f>Opv.kohd.[[#This Row],[Muu kuin työvoima-koulutus 7d]]+Opv.kohd.[[#This Row],[Työvoima-koulutus 7d]]</f>
        <v>0</v>
      </c>
      <c r="BL85" s="207">
        <f>Opv.kohd.[[#This Row],[Muu kuin työvoima-koulutus 7c]]-Opv.kohd.[[#This Row],[Muu kuin työvoima-koulutus 7d]]</f>
        <v>0</v>
      </c>
      <c r="BM85" s="207">
        <f>Opv.kohd.[[#This Row],[Työvoima-koulutus 7c]]-Opv.kohd.[[#This Row],[Työvoima-koulutus 7d]]</f>
        <v>0</v>
      </c>
      <c r="BN85" s="207">
        <f>Opv.kohd.[[#This Row],[Yhteensä 7c]]-Opv.kohd.[[#This Row],[Yhteensä 7d]]</f>
        <v>0</v>
      </c>
      <c r="BO85" s="207">
        <f>Opv.kohd.[[#This Row],[Muu kuin työvoima-koulutus 7e]]-(Opv.kohd.[[#This Row],[Järjestämisluvan mukaiset 4]]+Opv.kohd.[[#This Row],[Kohdentamat-tomat 4]]+Opv.kohd.[[#This Row],[Maahan-muuttajien koulutus 4]]+Opv.kohd.[[#This Row],[Nuorisotyöt. väh. ja osaamistarp. vast., muu kuin työvoima-koulutus 4]])</f>
        <v>0</v>
      </c>
      <c r="BP85" s="207">
        <f>Opv.kohd.[[#This Row],[Työvoima-koulutus 7e]]-(Opv.kohd.[[#This Row],[Työvoima-koulutus 4]]+Opv.kohd.[[#This Row],[Nuorisotyöt. väh. ja osaamistarp. vast., työvoima-koulutus 4]])</f>
        <v>0</v>
      </c>
      <c r="BQ85" s="207">
        <f>Opv.kohd.[[#This Row],[Yhteensä 7e]]-Opv.kohd.[[#This Row],[Ensikertaisella suoritepäätöksellä jaetut tavoitteelliset opiskelijavuodet yhteensä 4]]</f>
        <v>0</v>
      </c>
      <c r="BR85" s="263">
        <v>4312</v>
      </c>
      <c r="BS85" s="263">
        <v>174</v>
      </c>
      <c r="BT85" s="263">
        <v>500</v>
      </c>
      <c r="BU85" s="263">
        <v>35</v>
      </c>
      <c r="BV85" s="263">
        <v>37</v>
      </c>
      <c r="BW85" s="263">
        <v>30</v>
      </c>
      <c r="BX85" s="263">
        <v>776</v>
      </c>
      <c r="BY85" s="263">
        <v>5088</v>
      </c>
      <c r="BZ85" s="207">
        <f t="shared" si="17"/>
        <v>4312</v>
      </c>
      <c r="CA85" s="207">
        <f t="shared" si="18"/>
        <v>174</v>
      </c>
      <c r="CB85" s="207">
        <f t="shared" si="19"/>
        <v>500</v>
      </c>
      <c r="CC85" s="207">
        <f t="shared" si="20"/>
        <v>35</v>
      </c>
      <c r="CD85" s="207">
        <f t="shared" si="21"/>
        <v>37</v>
      </c>
      <c r="CE85" s="207">
        <f t="shared" si="22"/>
        <v>30</v>
      </c>
      <c r="CF85" s="207">
        <f t="shared" si="23"/>
        <v>776</v>
      </c>
      <c r="CG85" s="207">
        <f t="shared" si="24"/>
        <v>5088</v>
      </c>
      <c r="CH85" s="207">
        <f>Opv.kohd.[[#This Row],[Tavoitteelliset opiskelijavuodet yhteensä 9]]-Opv.kohd.[[#This Row],[Työvoima-koulutus 9]]-Opv.kohd.[[#This Row],[Nuorisotyöt. väh. ja osaamistarp. vast., työvoima-koulutus 9]]-Opv.kohd.[[#This Row],[Muu kuin työvoima-koulutus 7e]]</f>
        <v>4558</v>
      </c>
      <c r="CI85" s="207">
        <f>(Opv.kohd.[[#This Row],[Työvoima-koulutus 9]]+Opv.kohd.[[#This Row],[Nuorisotyöt. väh. ja osaamistarp. vast., työvoima-koulutus 9]])-Opv.kohd.[[#This Row],[Työvoima-koulutus 7e]]</f>
        <v>530</v>
      </c>
      <c r="CJ85" s="207">
        <f>Opv.kohd.[[#This Row],[Tavoitteelliset opiskelijavuodet yhteensä 9]]-Opv.kohd.[[#This Row],[Yhteensä 7e]]</f>
        <v>5088</v>
      </c>
      <c r="CK85" s="207">
        <f>Opv.kohd.[[#This Row],[Järjestämisluvan mukaiset 4]]+Opv.kohd.[[#This Row],[Järjestämisluvan mukaiset 13]]</f>
        <v>0</v>
      </c>
      <c r="CL85" s="207">
        <f>Opv.kohd.[[#This Row],[Kohdentamat-tomat 4]]+Opv.kohd.[[#This Row],[Kohdentamat-tomat 13]]</f>
        <v>0</v>
      </c>
      <c r="CM85" s="207">
        <f>Opv.kohd.[[#This Row],[Työvoima-koulutus 4]]+Opv.kohd.[[#This Row],[Työvoima-koulutus 13]]</f>
        <v>0</v>
      </c>
      <c r="CN85" s="207">
        <f>Opv.kohd.[[#This Row],[Maahan-muuttajien koulutus 4]]+Opv.kohd.[[#This Row],[Maahan-muuttajien koulutus 13]]</f>
        <v>0</v>
      </c>
      <c r="CO85" s="207">
        <f>Opv.kohd.[[#This Row],[Nuorisotyöt. väh. ja osaamistarp. vast., muu kuin työvoima-koulutus 4]]+Opv.kohd.[[#This Row],[Nuorisotyöt. väh. ja osaamistarp. vast., muu kuin työvoima-koulutus 13]]</f>
        <v>0</v>
      </c>
      <c r="CP85" s="207">
        <f>Opv.kohd.[[#This Row],[Nuorisotyöt. väh. ja osaamistarp. vast., työvoima-koulutus 4]]+Opv.kohd.[[#This Row],[Nuorisotyöt. väh. ja osaamistarp. vast., työvoima-koulutus 13]]</f>
        <v>0</v>
      </c>
      <c r="CQ85" s="207">
        <f>Opv.kohd.[[#This Row],[Yhteensä 4]]+Opv.kohd.[[#This Row],[Yhteensä 13]]</f>
        <v>0</v>
      </c>
      <c r="CR85" s="207">
        <f>Opv.kohd.[[#This Row],[Ensikertaisella suoritepäätöksellä jaetut tavoitteelliset opiskelijavuodet yhteensä 4]]+Opv.kohd.[[#This Row],[Tavoitteelliset opiskelijavuodet yhteensä 13]]</f>
        <v>0</v>
      </c>
      <c r="CS85" s="120">
        <v>0</v>
      </c>
      <c r="CT85" s="120">
        <v>0</v>
      </c>
      <c r="CU85" s="120">
        <v>0</v>
      </c>
      <c r="CV85" s="120">
        <v>0</v>
      </c>
      <c r="CW85" s="120">
        <v>0</v>
      </c>
      <c r="CX85" s="120">
        <v>0</v>
      </c>
      <c r="CY85" s="120">
        <v>0</v>
      </c>
      <c r="CZ85" s="120">
        <v>0</v>
      </c>
      <c r="DA85" s="209">
        <f>IFERROR(Opv.kohd.[[#This Row],[Järjestämisluvan mukaiset 13]]/Opv.kohd.[[#This Row],[Järjestämisluvan mukaiset 12]],0)</f>
        <v>0</v>
      </c>
      <c r="DB85" s="209">
        <f>IFERROR(Opv.kohd.[[#This Row],[Kohdentamat-tomat 13]]/Opv.kohd.[[#This Row],[Kohdentamat-tomat 12]],0)</f>
        <v>0</v>
      </c>
      <c r="DC85" s="209">
        <f>IFERROR(Opv.kohd.[[#This Row],[Työvoima-koulutus 13]]/Opv.kohd.[[#This Row],[Työvoima-koulutus 12]],0)</f>
        <v>0</v>
      </c>
      <c r="DD85" s="209">
        <f>IFERROR(Opv.kohd.[[#This Row],[Maahan-muuttajien koulutus 13]]/Opv.kohd.[[#This Row],[Maahan-muuttajien koulutus 12]],0)</f>
        <v>0</v>
      </c>
      <c r="DE85" s="209">
        <f>IFERROR(Opv.kohd.[[#This Row],[Nuorisotyöt. väh. ja osaamistarp. vast., muu kuin työvoima-koulutus 13]]/Opv.kohd.[[#This Row],[Nuorisotyöt. väh. ja osaamistarp. vast., muu kuin työvoima-koulutus 12]],0)</f>
        <v>0</v>
      </c>
      <c r="DF85" s="209">
        <f>IFERROR(Opv.kohd.[[#This Row],[Nuorisotyöt. väh. ja osaamistarp. vast., työvoima-koulutus 13]]/Opv.kohd.[[#This Row],[Nuorisotyöt. väh. ja osaamistarp. vast., työvoima-koulutus 12]],0)</f>
        <v>0</v>
      </c>
      <c r="DG85" s="209">
        <f>IFERROR(Opv.kohd.[[#This Row],[Yhteensä 13]]/Opv.kohd.[[#This Row],[Yhteensä 12]],0)</f>
        <v>0</v>
      </c>
      <c r="DH85" s="209">
        <f>IFERROR(Opv.kohd.[[#This Row],[Tavoitteelliset opiskelijavuodet yhteensä 13]]/Opv.kohd.[[#This Row],[Tavoitteelliset opiskelijavuodet yhteensä 12]],0)</f>
        <v>0</v>
      </c>
      <c r="DI85" s="207">
        <f>Opv.kohd.[[#This Row],[Järjestämisluvan mukaiset 12]]-Opv.kohd.[[#This Row],[Järjestämisluvan mukaiset 9]]</f>
        <v>-4312</v>
      </c>
      <c r="DJ85" s="207">
        <f>Opv.kohd.[[#This Row],[Kohdentamat-tomat 12]]-Opv.kohd.[[#This Row],[Kohdentamat-tomat 9]]</f>
        <v>-174</v>
      </c>
      <c r="DK85" s="207">
        <f>Opv.kohd.[[#This Row],[Työvoima-koulutus 12]]-Opv.kohd.[[#This Row],[Työvoima-koulutus 9]]</f>
        <v>-500</v>
      </c>
      <c r="DL85" s="207">
        <f>Opv.kohd.[[#This Row],[Maahan-muuttajien koulutus 12]]-Opv.kohd.[[#This Row],[Maahan-muuttajien koulutus 9]]</f>
        <v>-35</v>
      </c>
      <c r="DM85" s="207">
        <f>Opv.kohd.[[#This Row],[Nuorisotyöt. väh. ja osaamistarp. vast., muu kuin työvoima-koulutus 12]]-Opv.kohd.[[#This Row],[Nuorisotyöt. väh. ja osaamistarp. vast., muu kuin työvoima-koulutus 9]]</f>
        <v>-37</v>
      </c>
      <c r="DN85" s="207">
        <f>Opv.kohd.[[#This Row],[Nuorisotyöt. väh. ja osaamistarp. vast., työvoima-koulutus 12]]-Opv.kohd.[[#This Row],[Nuorisotyöt. väh. ja osaamistarp. vast., työvoima-koulutus 9]]</f>
        <v>-30</v>
      </c>
      <c r="DO85" s="207">
        <f>Opv.kohd.[[#This Row],[Yhteensä 12]]-Opv.kohd.[[#This Row],[Yhteensä 9]]</f>
        <v>-776</v>
      </c>
      <c r="DP85" s="207">
        <f>Opv.kohd.[[#This Row],[Tavoitteelliset opiskelijavuodet yhteensä 12]]-Opv.kohd.[[#This Row],[Tavoitteelliset opiskelijavuodet yhteensä 9]]</f>
        <v>-5088</v>
      </c>
      <c r="DQ85" s="209">
        <f>IFERROR(Opv.kohd.[[#This Row],[Järjestämisluvan mukaiset 15]]/Opv.kohd.[[#This Row],[Järjestämisluvan mukaiset 9]],0)</f>
        <v>-1</v>
      </c>
      <c r="DR85" s="209">
        <f t="shared" si="25"/>
        <v>0</v>
      </c>
      <c r="DS85" s="209">
        <f t="shared" si="26"/>
        <v>0</v>
      </c>
      <c r="DT85" s="209">
        <f t="shared" si="27"/>
        <v>0</v>
      </c>
      <c r="DU85" s="209">
        <f t="shared" si="28"/>
        <v>0</v>
      </c>
      <c r="DV85" s="209">
        <f t="shared" si="29"/>
        <v>0</v>
      </c>
      <c r="DW85" s="209">
        <f t="shared" si="30"/>
        <v>0</v>
      </c>
      <c r="DX85" s="209">
        <f t="shared" si="31"/>
        <v>0</v>
      </c>
    </row>
    <row r="86" spans="1:128" x14ac:dyDescent="0.25">
      <c r="A86" s="204" t="e">
        <f>IF(INDEX(#REF!,ROW(86:86)-1,1)=0,"",INDEX(#REF!,ROW(86:86)-1,1))</f>
        <v>#REF!</v>
      </c>
      <c r="B86" s="205" t="str">
        <f>IFERROR(VLOOKUP(Opv.kohd.[[#This Row],[Y-tunnus]],'0 Järjestäjätiedot'!$A:$H,2,FALSE),"")</f>
        <v/>
      </c>
      <c r="C86" s="204" t="str">
        <f>IFERROR(VLOOKUP(Opv.kohd.[[#This Row],[Y-tunnus]],'0 Järjestäjätiedot'!$A:$H,COLUMN('0 Järjestäjätiedot'!D:D),FALSE),"")</f>
        <v/>
      </c>
      <c r="D86" s="204" t="str">
        <f>IFERROR(VLOOKUP(Opv.kohd.[[#This Row],[Y-tunnus]],'0 Järjestäjätiedot'!$A:$H,COLUMN('0 Järjestäjätiedot'!H:H),FALSE),"")</f>
        <v/>
      </c>
      <c r="E86" s="204">
        <f>IFERROR(VLOOKUP(Opv.kohd.[[#This Row],[Y-tunnus]],#REF!,COLUMN(#REF!),FALSE),0)</f>
        <v>0</v>
      </c>
      <c r="F86" s="204">
        <f>IFERROR(VLOOKUP(Opv.kohd.[[#This Row],[Y-tunnus]],#REF!,COLUMN(#REF!),FALSE),0)</f>
        <v>0</v>
      </c>
      <c r="G86" s="204">
        <f>IFERROR(VLOOKUP(Opv.kohd.[[#This Row],[Y-tunnus]],#REF!,COLUMN(#REF!),FALSE),0)</f>
        <v>0</v>
      </c>
      <c r="H86" s="204">
        <f>IFERROR(VLOOKUP(Opv.kohd.[[#This Row],[Y-tunnus]],#REF!,COLUMN(#REF!),FALSE),0)</f>
        <v>0</v>
      </c>
      <c r="I86" s="204">
        <f>IFERROR(VLOOKUP(Opv.kohd.[[#This Row],[Y-tunnus]],#REF!,COLUMN(#REF!),FALSE),0)</f>
        <v>0</v>
      </c>
      <c r="J86" s="204">
        <f>IFERROR(VLOOKUP(Opv.kohd.[[#This Row],[Y-tunnus]],#REF!,COLUMN(#REF!),FALSE),0)</f>
        <v>0</v>
      </c>
      <c r="K8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86" s="204">
        <f>Opv.kohd.[[#This Row],[Järjestämisluvan mukaiset 1]]+Opv.kohd.[[#This Row],[Yhteensä  1]]</f>
        <v>0</v>
      </c>
      <c r="M86" s="204">
        <f>IFERROR(VLOOKUP(Opv.kohd.[[#This Row],[Y-tunnus]],#REF!,COLUMN(#REF!),FALSE),0)</f>
        <v>0</v>
      </c>
      <c r="N86" s="204">
        <f>IFERROR(VLOOKUP(Opv.kohd.[[#This Row],[Y-tunnus]],#REF!,COLUMN(#REF!),FALSE),0)</f>
        <v>0</v>
      </c>
      <c r="O86" s="204">
        <f>IFERROR(VLOOKUP(Opv.kohd.[[#This Row],[Y-tunnus]],#REF!,COLUMN(#REF!),FALSE)+VLOOKUP(Opv.kohd.[[#This Row],[Y-tunnus]],#REF!,COLUMN(#REF!),FALSE),0)</f>
        <v>0</v>
      </c>
      <c r="P86" s="204">
        <f>Opv.kohd.[[#This Row],[Talousarvion perusteella kohdentamattomat]]+Opv.kohd.[[#This Row],[Talousarvion perusteella työvoimakoulutus 1]]+Opv.kohd.[[#This Row],[Lisätalousarvioiden perusteella]]</f>
        <v>0</v>
      </c>
      <c r="Q86" s="204">
        <f>IFERROR(VLOOKUP(Opv.kohd.[[#This Row],[Y-tunnus]],#REF!,COLUMN(#REF!),FALSE),0)</f>
        <v>0</v>
      </c>
      <c r="R86" s="210">
        <f>IFERROR(VLOOKUP(Opv.kohd.[[#This Row],[Y-tunnus]],#REF!,COLUMN(#REF!),FALSE)-(Opv.kohd.[[#This Row],[Kohdentamaton työvoima-koulutus 2]]+Opv.kohd.[[#This Row],[Maahan-muuttajien koulutus 2]]+Opv.kohd.[[#This Row],[Lisätalousarvioiden perusteella jaetut 2]]),0)</f>
        <v>0</v>
      </c>
      <c r="S86" s="210">
        <f>IFERROR(VLOOKUP(Opv.kohd.[[#This Row],[Y-tunnus]],#REF!,COLUMN(#REF!),FALSE)+VLOOKUP(Opv.kohd.[[#This Row],[Y-tunnus]],#REF!,COLUMN(#REF!),FALSE),0)</f>
        <v>0</v>
      </c>
      <c r="T86" s="210">
        <f>IFERROR(VLOOKUP(Opv.kohd.[[#This Row],[Y-tunnus]],#REF!,COLUMN(#REF!),FALSE)+VLOOKUP(Opv.kohd.[[#This Row],[Y-tunnus]],#REF!,COLUMN(#REF!),FALSE),0)</f>
        <v>0</v>
      </c>
      <c r="U8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86" s="210">
        <f>Opv.kohd.[[#This Row],[Kohdentamat-tomat 2]]+Opv.kohd.[[#This Row],[Kohdentamaton työvoima-koulutus 2]]+Opv.kohd.[[#This Row],[Maahan-muuttajien koulutus 2]]+Opv.kohd.[[#This Row],[Lisätalousarvioiden perusteella jaetut 2]]</f>
        <v>0</v>
      </c>
      <c r="W86" s="210">
        <f>Opv.kohd.[[#This Row],[Kohdentamat-tomat 2]]-(Opv.kohd.[[#This Row],[Järjestämisluvan mukaiset 1]]+Opv.kohd.[[#This Row],[Kohdentamat-tomat 1]]+Opv.kohd.[[#This Row],[Nuorisotyöt. väh. ja osaamistarp. vast., muu kuin työvoima-koulutus 1]]+Opv.kohd.[[#This Row],[Talousarvion perusteella kohdentamattomat]])</f>
        <v>0</v>
      </c>
      <c r="X86" s="210">
        <f>Opv.kohd.[[#This Row],[Kohdentamaton työvoima-koulutus 2]]-(Opv.kohd.[[#This Row],[Työvoima-koulutus 1]]+Opv.kohd.[[#This Row],[Nuorisotyöt. väh. ja osaamistarp. vast., työvoima-koulutus 1]]+Opv.kohd.[[#This Row],[Talousarvion perusteella työvoimakoulutus 1]])</f>
        <v>0</v>
      </c>
      <c r="Y86" s="210">
        <f>Opv.kohd.[[#This Row],[Maahan-muuttajien koulutus 2]]-Opv.kohd.[[#This Row],[Maahan-muuttajien koulutus 1]]</f>
        <v>0</v>
      </c>
      <c r="Z86" s="210">
        <f>Opv.kohd.[[#This Row],[Lisätalousarvioiden perusteella jaetut 2]]-Opv.kohd.[[#This Row],[Lisätalousarvioiden perusteella]]</f>
        <v>0</v>
      </c>
      <c r="AA86" s="210">
        <f>Opv.kohd.[[#This Row],[Toteutuneet opiskelijavuodet yhteensä 2]]-Opv.kohd.[[#This Row],[Vuoden 2018 tavoitteelliset opiskelijavuodet yhteensä 1]]</f>
        <v>0</v>
      </c>
      <c r="AB86" s="207">
        <f>IFERROR(VLOOKUP(Opv.kohd.[[#This Row],[Y-tunnus]],#REF!,3,FALSE),0)</f>
        <v>0</v>
      </c>
      <c r="AC86" s="207">
        <f>IFERROR(VLOOKUP(Opv.kohd.[[#This Row],[Y-tunnus]],#REF!,4,FALSE),0)</f>
        <v>0</v>
      </c>
      <c r="AD86" s="207">
        <f>IFERROR(VLOOKUP(Opv.kohd.[[#This Row],[Y-tunnus]],#REF!,5,FALSE),0)</f>
        <v>0</v>
      </c>
      <c r="AE86" s="207">
        <f>IFERROR(VLOOKUP(Opv.kohd.[[#This Row],[Y-tunnus]],#REF!,6,FALSE),0)</f>
        <v>0</v>
      </c>
      <c r="AF86" s="207">
        <f>IFERROR(VLOOKUP(Opv.kohd.[[#This Row],[Y-tunnus]],#REF!,7,FALSE),0)</f>
        <v>0</v>
      </c>
      <c r="AG86" s="207">
        <f>IFERROR(VLOOKUP(Opv.kohd.[[#This Row],[Y-tunnus]],#REF!,8,FALSE),0)</f>
        <v>0</v>
      </c>
      <c r="AH86" s="207">
        <f>IFERROR(VLOOKUP(Opv.kohd.[[#This Row],[Y-tunnus]],#REF!,9,FALSE),0)</f>
        <v>0</v>
      </c>
      <c r="AI86" s="207">
        <f>IFERROR(VLOOKUP(Opv.kohd.[[#This Row],[Y-tunnus]],#REF!,10,FALSE),0)</f>
        <v>0</v>
      </c>
      <c r="AJ86" s="204">
        <f>Opv.kohd.[[#This Row],[Järjestämisluvan mukaiset 4]]-Opv.kohd.[[#This Row],[Järjestämisluvan mukaiset 1]]</f>
        <v>0</v>
      </c>
      <c r="AK86" s="204">
        <f>Opv.kohd.[[#This Row],[Kohdentamat-tomat 4]]-Opv.kohd.[[#This Row],[Kohdentamat-tomat 1]]</f>
        <v>0</v>
      </c>
      <c r="AL86" s="204">
        <f>Opv.kohd.[[#This Row],[Työvoima-koulutus 4]]-Opv.kohd.[[#This Row],[Työvoima-koulutus 1]]</f>
        <v>0</v>
      </c>
      <c r="AM86" s="204">
        <f>Opv.kohd.[[#This Row],[Maahan-muuttajien koulutus 4]]-Opv.kohd.[[#This Row],[Maahan-muuttajien koulutus 1]]</f>
        <v>0</v>
      </c>
      <c r="AN86" s="204">
        <f>Opv.kohd.[[#This Row],[Nuorisotyöt. väh. ja osaamistarp. vast., muu kuin työvoima-koulutus 4]]-Opv.kohd.[[#This Row],[Nuorisotyöt. väh. ja osaamistarp. vast., muu kuin työvoima-koulutus 1]]</f>
        <v>0</v>
      </c>
      <c r="AO86" s="204">
        <f>Opv.kohd.[[#This Row],[Nuorisotyöt. väh. ja osaamistarp. vast., työvoima-koulutus 4]]-Opv.kohd.[[#This Row],[Nuorisotyöt. väh. ja osaamistarp. vast., työvoima-koulutus 1]]</f>
        <v>0</v>
      </c>
      <c r="AP86" s="204">
        <f>Opv.kohd.[[#This Row],[Yhteensä 4]]-Opv.kohd.[[#This Row],[Yhteensä  1]]</f>
        <v>0</v>
      </c>
      <c r="AQ86" s="204">
        <f>Opv.kohd.[[#This Row],[Ensikertaisella suoritepäätöksellä jaetut tavoitteelliset opiskelijavuodet yhteensä 4]]-Opv.kohd.[[#This Row],[Ensikertaisella suoritepäätöksellä jaetut tavoitteelliset opiskelijavuodet yhteensä 1]]</f>
        <v>0</v>
      </c>
      <c r="AR86" s="208">
        <f>IFERROR(Opv.kohd.[[#This Row],[Järjestämisluvan mukaiset 5]]/Opv.kohd.[[#This Row],[Järjestämisluvan mukaiset 4]],0)</f>
        <v>0</v>
      </c>
      <c r="AS86" s="208">
        <f>IFERROR(Opv.kohd.[[#This Row],[Kohdentamat-tomat 5]]/Opv.kohd.[[#This Row],[Kohdentamat-tomat 4]],0)</f>
        <v>0</v>
      </c>
      <c r="AT86" s="208">
        <f>IFERROR(Opv.kohd.[[#This Row],[Työvoima-koulutus 5]]/Opv.kohd.[[#This Row],[Työvoima-koulutus 4]],0)</f>
        <v>0</v>
      </c>
      <c r="AU86" s="208">
        <f>IFERROR(Opv.kohd.[[#This Row],[Maahan-muuttajien koulutus 5]]/Opv.kohd.[[#This Row],[Maahan-muuttajien koulutus 4]],0)</f>
        <v>0</v>
      </c>
      <c r="AV86" s="208">
        <f>IFERROR(Opv.kohd.[[#This Row],[Nuorisotyöt. väh. ja osaamistarp. vast., muu kuin työvoima-koulutus 5]]/Opv.kohd.[[#This Row],[Nuorisotyöt. väh. ja osaamistarp. vast., muu kuin työvoima-koulutus 4]],0)</f>
        <v>0</v>
      </c>
      <c r="AW86" s="208">
        <f>IFERROR(Opv.kohd.[[#This Row],[Nuorisotyöt. väh. ja osaamistarp. vast., työvoima-koulutus 5]]/Opv.kohd.[[#This Row],[Nuorisotyöt. väh. ja osaamistarp. vast., työvoima-koulutus 4]],0)</f>
        <v>0</v>
      </c>
      <c r="AX86" s="208">
        <f>IFERROR(Opv.kohd.[[#This Row],[Yhteensä 5]]/Opv.kohd.[[#This Row],[Yhteensä 4]],0)</f>
        <v>0</v>
      </c>
      <c r="AY86" s="208">
        <f>IFERROR(Opv.kohd.[[#This Row],[Ensikertaisella suoritepäätöksellä jaetut tavoitteelliset opiskelijavuodet yhteensä 5]]/Opv.kohd.[[#This Row],[Ensikertaisella suoritepäätöksellä jaetut tavoitteelliset opiskelijavuodet yhteensä 4]],0)</f>
        <v>0</v>
      </c>
      <c r="AZ86" s="207">
        <f>Opv.kohd.[[#This Row],[Yhteensä 7a]]-Opv.kohd.[[#This Row],[Työvoima-koulutus 7a]]</f>
        <v>0</v>
      </c>
      <c r="BA86" s="207">
        <f>IFERROR(VLOOKUP(Opv.kohd.[[#This Row],[Y-tunnus]],#REF!,COLUMN(#REF!),FALSE),0)</f>
        <v>0</v>
      </c>
      <c r="BB86" s="207">
        <f>IFERROR(VLOOKUP(Opv.kohd.[[#This Row],[Y-tunnus]],#REF!,COLUMN(#REF!),FALSE),0)</f>
        <v>0</v>
      </c>
      <c r="BC86" s="207">
        <f>Opv.kohd.[[#This Row],[Muu kuin työvoima-koulutus 7c]]-Opv.kohd.[[#This Row],[Muu kuin työvoima-koulutus 7a]]</f>
        <v>0</v>
      </c>
      <c r="BD86" s="207">
        <f>Opv.kohd.[[#This Row],[Työvoima-koulutus 7c]]-Opv.kohd.[[#This Row],[Työvoima-koulutus 7a]]</f>
        <v>0</v>
      </c>
      <c r="BE86" s="207">
        <f>Opv.kohd.[[#This Row],[Yhteensä 7c]]-Opv.kohd.[[#This Row],[Yhteensä 7a]]</f>
        <v>0</v>
      </c>
      <c r="BF86" s="207">
        <f>Opv.kohd.[[#This Row],[Yhteensä 7c]]-Opv.kohd.[[#This Row],[Työvoima-koulutus 7c]]</f>
        <v>0</v>
      </c>
      <c r="BG86" s="207">
        <f>IFERROR(VLOOKUP(Opv.kohd.[[#This Row],[Y-tunnus]],#REF!,COLUMN(#REF!),FALSE),0)</f>
        <v>0</v>
      </c>
      <c r="BH86" s="207">
        <f>IFERROR(VLOOKUP(Opv.kohd.[[#This Row],[Y-tunnus]],#REF!,COLUMN(#REF!),FALSE),0)</f>
        <v>0</v>
      </c>
      <c r="BI86" s="207">
        <f>IFERROR(VLOOKUP(Opv.kohd.[[#This Row],[Y-tunnus]],#REF!,COLUMN(#REF!),FALSE),0)</f>
        <v>0</v>
      </c>
      <c r="BJ86" s="207">
        <f>IFERROR(VLOOKUP(Opv.kohd.[[#This Row],[Y-tunnus]],#REF!,COLUMN(#REF!),FALSE),0)</f>
        <v>0</v>
      </c>
      <c r="BK86" s="207">
        <f>Opv.kohd.[[#This Row],[Muu kuin työvoima-koulutus 7d]]+Opv.kohd.[[#This Row],[Työvoima-koulutus 7d]]</f>
        <v>0</v>
      </c>
      <c r="BL86" s="207">
        <f>Opv.kohd.[[#This Row],[Muu kuin työvoima-koulutus 7c]]-Opv.kohd.[[#This Row],[Muu kuin työvoima-koulutus 7d]]</f>
        <v>0</v>
      </c>
      <c r="BM86" s="207">
        <f>Opv.kohd.[[#This Row],[Työvoima-koulutus 7c]]-Opv.kohd.[[#This Row],[Työvoima-koulutus 7d]]</f>
        <v>0</v>
      </c>
      <c r="BN86" s="207">
        <f>Opv.kohd.[[#This Row],[Yhteensä 7c]]-Opv.kohd.[[#This Row],[Yhteensä 7d]]</f>
        <v>0</v>
      </c>
      <c r="BO86" s="207">
        <f>Opv.kohd.[[#This Row],[Muu kuin työvoima-koulutus 7e]]-(Opv.kohd.[[#This Row],[Järjestämisluvan mukaiset 4]]+Opv.kohd.[[#This Row],[Kohdentamat-tomat 4]]+Opv.kohd.[[#This Row],[Maahan-muuttajien koulutus 4]]+Opv.kohd.[[#This Row],[Nuorisotyöt. väh. ja osaamistarp. vast., muu kuin työvoima-koulutus 4]])</f>
        <v>0</v>
      </c>
      <c r="BP86" s="207">
        <f>Opv.kohd.[[#This Row],[Työvoima-koulutus 7e]]-(Opv.kohd.[[#This Row],[Työvoima-koulutus 4]]+Opv.kohd.[[#This Row],[Nuorisotyöt. väh. ja osaamistarp. vast., työvoima-koulutus 4]])</f>
        <v>0</v>
      </c>
      <c r="BQ86" s="207">
        <f>Opv.kohd.[[#This Row],[Yhteensä 7e]]-Opv.kohd.[[#This Row],[Ensikertaisella suoritepäätöksellä jaetut tavoitteelliset opiskelijavuodet yhteensä 4]]</f>
        <v>0</v>
      </c>
      <c r="BR86" s="263">
        <v>199</v>
      </c>
      <c r="BS86" s="263">
        <v>10</v>
      </c>
      <c r="BT86" s="263">
        <v>0</v>
      </c>
      <c r="BU86" s="263">
        <v>10</v>
      </c>
      <c r="BV86" s="263">
        <v>0</v>
      </c>
      <c r="BW86" s="263">
        <v>0</v>
      </c>
      <c r="BX86" s="263">
        <v>20</v>
      </c>
      <c r="BY86" s="263">
        <v>219</v>
      </c>
      <c r="BZ86" s="207">
        <f t="shared" si="17"/>
        <v>199</v>
      </c>
      <c r="CA86" s="207">
        <f t="shared" si="18"/>
        <v>10</v>
      </c>
      <c r="CB86" s="207">
        <f t="shared" si="19"/>
        <v>0</v>
      </c>
      <c r="CC86" s="207">
        <f t="shared" si="20"/>
        <v>10</v>
      </c>
      <c r="CD86" s="207">
        <f t="shared" si="21"/>
        <v>0</v>
      </c>
      <c r="CE86" s="207">
        <f t="shared" si="22"/>
        <v>0</v>
      </c>
      <c r="CF86" s="207">
        <f t="shared" si="23"/>
        <v>20</v>
      </c>
      <c r="CG86" s="207">
        <f t="shared" si="24"/>
        <v>219</v>
      </c>
      <c r="CH86" s="207">
        <f>Opv.kohd.[[#This Row],[Tavoitteelliset opiskelijavuodet yhteensä 9]]-Opv.kohd.[[#This Row],[Työvoima-koulutus 9]]-Opv.kohd.[[#This Row],[Nuorisotyöt. väh. ja osaamistarp. vast., työvoima-koulutus 9]]-Opv.kohd.[[#This Row],[Muu kuin työvoima-koulutus 7e]]</f>
        <v>219</v>
      </c>
      <c r="CI86" s="207">
        <f>(Opv.kohd.[[#This Row],[Työvoima-koulutus 9]]+Opv.kohd.[[#This Row],[Nuorisotyöt. väh. ja osaamistarp. vast., työvoima-koulutus 9]])-Opv.kohd.[[#This Row],[Työvoima-koulutus 7e]]</f>
        <v>0</v>
      </c>
      <c r="CJ86" s="207">
        <f>Opv.kohd.[[#This Row],[Tavoitteelliset opiskelijavuodet yhteensä 9]]-Opv.kohd.[[#This Row],[Yhteensä 7e]]</f>
        <v>219</v>
      </c>
      <c r="CK86" s="207">
        <f>Opv.kohd.[[#This Row],[Järjestämisluvan mukaiset 4]]+Opv.kohd.[[#This Row],[Järjestämisluvan mukaiset 13]]</f>
        <v>0</v>
      </c>
      <c r="CL86" s="207">
        <f>Opv.kohd.[[#This Row],[Kohdentamat-tomat 4]]+Opv.kohd.[[#This Row],[Kohdentamat-tomat 13]]</f>
        <v>0</v>
      </c>
      <c r="CM86" s="207">
        <f>Opv.kohd.[[#This Row],[Työvoima-koulutus 4]]+Opv.kohd.[[#This Row],[Työvoima-koulutus 13]]</f>
        <v>0</v>
      </c>
      <c r="CN86" s="207">
        <f>Opv.kohd.[[#This Row],[Maahan-muuttajien koulutus 4]]+Opv.kohd.[[#This Row],[Maahan-muuttajien koulutus 13]]</f>
        <v>0</v>
      </c>
      <c r="CO86" s="207">
        <f>Opv.kohd.[[#This Row],[Nuorisotyöt. väh. ja osaamistarp. vast., muu kuin työvoima-koulutus 4]]+Opv.kohd.[[#This Row],[Nuorisotyöt. väh. ja osaamistarp. vast., muu kuin työvoima-koulutus 13]]</f>
        <v>0</v>
      </c>
      <c r="CP86" s="207">
        <f>Opv.kohd.[[#This Row],[Nuorisotyöt. väh. ja osaamistarp. vast., työvoima-koulutus 4]]+Opv.kohd.[[#This Row],[Nuorisotyöt. väh. ja osaamistarp. vast., työvoima-koulutus 13]]</f>
        <v>0</v>
      </c>
      <c r="CQ86" s="207">
        <f>Opv.kohd.[[#This Row],[Yhteensä 4]]+Opv.kohd.[[#This Row],[Yhteensä 13]]</f>
        <v>0</v>
      </c>
      <c r="CR86" s="207">
        <f>Opv.kohd.[[#This Row],[Ensikertaisella suoritepäätöksellä jaetut tavoitteelliset opiskelijavuodet yhteensä 4]]+Opv.kohd.[[#This Row],[Tavoitteelliset opiskelijavuodet yhteensä 13]]</f>
        <v>0</v>
      </c>
      <c r="CS86" s="120">
        <v>0</v>
      </c>
      <c r="CT86" s="120">
        <v>0</v>
      </c>
      <c r="CU86" s="120">
        <v>0</v>
      </c>
      <c r="CV86" s="120">
        <v>0</v>
      </c>
      <c r="CW86" s="120">
        <v>0</v>
      </c>
      <c r="CX86" s="120">
        <v>0</v>
      </c>
      <c r="CY86" s="120">
        <v>0</v>
      </c>
      <c r="CZ86" s="120">
        <v>0</v>
      </c>
      <c r="DA86" s="209">
        <f>IFERROR(Opv.kohd.[[#This Row],[Järjestämisluvan mukaiset 13]]/Opv.kohd.[[#This Row],[Järjestämisluvan mukaiset 12]],0)</f>
        <v>0</v>
      </c>
      <c r="DB86" s="209">
        <f>IFERROR(Opv.kohd.[[#This Row],[Kohdentamat-tomat 13]]/Opv.kohd.[[#This Row],[Kohdentamat-tomat 12]],0)</f>
        <v>0</v>
      </c>
      <c r="DC86" s="209">
        <f>IFERROR(Opv.kohd.[[#This Row],[Työvoima-koulutus 13]]/Opv.kohd.[[#This Row],[Työvoima-koulutus 12]],0)</f>
        <v>0</v>
      </c>
      <c r="DD86" s="209">
        <f>IFERROR(Opv.kohd.[[#This Row],[Maahan-muuttajien koulutus 13]]/Opv.kohd.[[#This Row],[Maahan-muuttajien koulutus 12]],0)</f>
        <v>0</v>
      </c>
      <c r="DE86" s="209">
        <f>IFERROR(Opv.kohd.[[#This Row],[Nuorisotyöt. väh. ja osaamistarp. vast., muu kuin työvoima-koulutus 13]]/Opv.kohd.[[#This Row],[Nuorisotyöt. väh. ja osaamistarp. vast., muu kuin työvoima-koulutus 12]],0)</f>
        <v>0</v>
      </c>
      <c r="DF86" s="209">
        <f>IFERROR(Opv.kohd.[[#This Row],[Nuorisotyöt. väh. ja osaamistarp. vast., työvoima-koulutus 13]]/Opv.kohd.[[#This Row],[Nuorisotyöt. väh. ja osaamistarp. vast., työvoima-koulutus 12]],0)</f>
        <v>0</v>
      </c>
      <c r="DG86" s="209">
        <f>IFERROR(Opv.kohd.[[#This Row],[Yhteensä 13]]/Opv.kohd.[[#This Row],[Yhteensä 12]],0)</f>
        <v>0</v>
      </c>
      <c r="DH86" s="209">
        <f>IFERROR(Opv.kohd.[[#This Row],[Tavoitteelliset opiskelijavuodet yhteensä 13]]/Opv.kohd.[[#This Row],[Tavoitteelliset opiskelijavuodet yhteensä 12]],0)</f>
        <v>0</v>
      </c>
      <c r="DI86" s="207">
        <f>Opv.kohd.[[#This Row],[Järjestämisluvan mukaiset 12]]-Opv.kohd.[[#This Row],[Järjestämisluvan mukaiset 9]]</f>
        <v>-199</v>
      </c>
      <c r="DJ86" s="207">
        <f>Opv.kohd.[[#This Row],[Kohdentamat-tomat 12]]-Opv.kohd.[[#This Row],[Kohdentamat-tomat 9]]</f>
        <v>-10</v>
      </c>
      <c r="DK86" s="207">
        <f>Opv.kohd.[[#This Row],[Työvoima-koulutus 12]]-Opv.kohd.[[#This Row],[Työvoima-koulutus 9]]</f>
        <v>0</v>
      </c>
      <c r="DL86" s="207">
        <f>Opv.kohd.[[#This Row],[Maahan-muuttajien koulutus 12]]-Opv.kohd.[[#This Row],[Maahan-muuttajien koulutus 9]]</f>
        <v>-10</v>
      </c>
      <c r="DM86" s="207">
        <f>Opv.kohd.[[#This Row],[Nuorisotyöt. väh. ja osaamistarp. vast., muu kuin työvoima-koulutus 12]]-Opv.kohd.[[#This Row],[Nuorisotyöt. väh. ja osaamistarp. vast., muu kuin työvoima-koulutus 9]]</f>
        <v>0</v>
      </c>
      <c r="DN86" s="207">
        <f>Opv.kohd.[[#This Row],[Nuorisotyöt. väh. ja osaamistarp. vast., työvoima-koulutus 12]]-Opv.kohd.[[#This Row],[Nuorisotyöt. väh. ja osaamistarp. vast., työvoima-koulutus 9]]</f>
        <v>0</v>
      </c>
      <c r="DO86" s="207">
        <f>Opv.kohd.[[#This Row],[Yhteensä 12]]-Opv.kohd.[[#This Row],[Yhteensä 9]]</f>
        <v>-20</v>
      </c>
      <c r="DP86" s="207">
        <f>Opv.kohd.[[#This Row],[Tavoitteelliset opiskelijavuodet yhteensä 12]]-Opv.kohd.[[#This Row],[Tavoitteelliset opiskelijavuodet yhteensä 9]]</f>
        <v>-219</v>
      </c>
      <c r="DQ86" s="209">
        <f>IFERROR(Opv.kohd.[[#This Row],[Järjestämisluvan mukaiset 15]]/Opv.kohd.[[#This Row],[Järjestämisluvan mukaiset 9]],0)</f>
        <v>-1</v>
      </c>
      <c r="DR86" s="209">
        <f t="shared" si="25"/>
        <v>0</v>
      </c>
      <c r="DS86" s="209">
        <f t="shared" si="26"/>
        <v>0</v>
      </c>
      <c r="DT86" s="209">
        <f t="shared" si="27"/>
        <v>0</v>
      </c>
      <c r="DU86" s="209">
        <f t="shared" si="28"/>
        <v>0</v>
      </c>
      <c r="DV86" s="209">
        <f t="shared" si="29"/>
        <v>0</v>
      </c>
      <c r="DW86" s="209">
        <f t="shared" si="30"/>
        <v>0</v>
      </c>
      <c r="DX86" s="209">
        <f t="shared" si="31"/>
        <v>0</v>
      </c>
    </row>
    <row r="87" spans="1:128" x14ac:dyDescent="0.25">
      <c r="A87" s="204" t="e">
        <f>IF(INDEX(#REF!,ROW(87:87)-1,1)=0,"",INDEX(#REF!,ROW(87:87)-1,1))</f>
        <v>#REF!</v>
      </c>
      <c r="B87" s="205" t="str">
        <f>IFERROR(VLOOKUP(Opv.kohd.[[#This Row],[Y-tunnus]],'0 Järjestäjätiedot'!$A:$H,2,FALSE),"")</f>
        <v/>
      </c>
      <c r="C87" s="204" t="str">
        <f>IFERROR(VLOOKUP(Opv.kohd.[[#This Row],[Y-tunnus]],'0 Järjestäjätiedot'!$A:$H,COLUMN('0 Järjestäjätiedot'!D:D),FALSE),"")</f>
        <v/>
      </c>
      <c r="D87" s="204" t="str">
        <f>IFERROR(VLOOKUP(Opv.kohd.[[#This Row],[Y-tunnus]],'0 Järjestäjätiedot'!$A:$H,COLUMN('0 Järjestäjätiedot'!H:H),FALSE),"")</f>
        <v/>
      </c>
      <c r="E87" s="204">
        <f>IFERROR(VLOOKUP(Opv.kohd.[[#This Row],[Y-tunnus]],#REF!,COLUMN(#REF!),FALSE),0)</f>
        <v>0</v>
      </c>
      <c r="F87" s="204">
        <f>IFERROR(VLOOKUP(Opv.kohd.[[#This Row],[Y-tunnus]],#REF!,COLUMN(#REF!),FALSE),0)</f>
        <v>0</v>
      </c>
      <c r="G87" s="204">
        <f>IFERROR(VLOOKUP(Opv.kohd.[[#This Row],[Y-tunnus]],#REF!,COLUMN(#REF!),FALSE),0)</f>
        <v>0</v>
      </c>
      <c r="H87" s="204">
        <f>IFERROR(VLOOKUP(Opv.kohd.[[#This Row],[Y-tunnus]],#REF!,COLUMN(#REF!),FALSE),0)</f>
        <v>0</v>
      </c>
      <c r="I87" s="204">
        <f>IFERROR(VLOOKUP(Opv.kohd.[[#This Row],[Y-tunnus]],#REF!,COLUMN(#REF!),FALSE),0)</f>
        <v>0</v>
      </c>
      <c r="J87" s="204">
        <f>IFERROR(VLOOKUP(Opv.kohd.[[#This Row],[Y-tunnus]],#REF!,COLUMN(#REF!),FALSE),0)</f>
        <v>0</v>
      </c>
      <c r="K8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87" s="204">
        <f>Opv.kohd.[[#This Row],[Järjestämisluvan mukaiset 1]]+Opv.kohd.[[#This Row],[Yhteensä  1]]</f>
        <v>0</v>
      </c>
      <c r="M87" s="204">
        <f>IFERROR(VLOOKUP(Opv.kohd.[[#This Row],[Y-tunnus]],#REF!,COLUMN(#REF!),FALSE),0)</f>
        <v>0</v>
      </c>
      <c r="N87" s="204">
        <f>IFERROR(VLOOKUP(Opv.kohd.[[#This Row],[Y-tunnus]],#REF!,COLUMN(#REF!),FALSE),0)</f>
        <v>0</v>
      </c>
      <c r="O87" s="204">
        <f>IFERROR(VLOOKUP(Opv.kohd.[[#This Row],[Y-tunnus]],#REF!,COLUMN(#REF!),FALSE)+VLOOKUP(Opv.kohd.[[#This Row],[Y-tunnus]],#REF!,COLUMN(#REF!),FALSE),0)</f>
        <v>0</v>
      </c>
      <c r="P87" s="204">
        <f>Opv.kohd.[[#This Row],[Talousarvion perusteella kohdentamattomat]]+Opv.kohd.[[#This Row],[Talousarvion perusteella työvoimakoulutus 1]]+Opv.kohd.[[#This Row],[Lisätalousarvioiden perusteella]]</f>
        <v>0</v>
      </c>
      <c r="Q87" s="204">
        <f>IFERROR(VLOOKUP(Opv.kohd.[[#This Row],[Y-tunnus]],#REF!,COLUMN(#REF!),FALSE),0)</f>
        <v>0</v>
      </c>
      <c r="R87" s="210">
        <f>IFERROR(VLOOKUP(Opv.kohd.[[#This Row],[Y-tunnus]],#REF!,COLUMN(#REF!),FALSE)-(Opv.kohd.[[#This Row],[Kohdentamaton työvoima-koulutus 2]]+Opv.kohd.[[#This Row],[Maahan-muuttajien koulutus 2]]+Opv.kohd.[[#This Row],[Lisätalousarvioiden perusteella jaetut 2]]),0)</f>
        <v>0</v>
      </c>
      <c r="S87" s="210">
        <f>IFERROR(VLOOKUP(Opv.kohd.[[#This Row],[Y-tunnus]],#REF!,COLUMN(#REF!),FALSE)+VLOOKUP(Opv.kohd.[[#This Row],[Y-tunnus]],#REF!,COLUMN(#REF!),FALSE),0)</f>
        <v>0</v>
      </c>
      <c r="T87" s="210">
        <f>IFERROR(VLOOKUP(Opv.kohd.[[#This Row],[Y-tunnus]],#REF!,COLUMN(#REF!),FALSE)+VLOOKUP(Opv.kohd.[[#This Row],[Y-tunnus]],#REF!,COLUMN(#REF!),FALSE),0)</f>
        <v>0</v>
      </c>
      <c r="U8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87" s="210">
        <f>Opv.kohd.[[#This Row],[Kohdentamat-tomat 2]]+Opv.kohd.[[#This Row],[Kohdentamaton työvoima-koulutus 2]]+Opv.kohd.[[#This Row],[Maahan-muuttajien koulutus 2]]+Opv.kohd.[[#This Row],[Lisätalousarvioiden perusteella jaetut 2]]</f>
        <v>0</v>
      </c>
      <c r="W87" s="210">
        <f>Opv.kohd.[[#This Row],[Kohdentamat-tomat 2]]-(Opv.kohd.[[#This Row],[Järjestämisluvan mukaiset 1]]+Opv.kohd.[[#This Row],[Kohdentamat-tomat 1]]+Opv.kohd.[[#This Row],[Nuorisotyöt. väh. ja osaamistarp. vast., muu kuin työvoima-koulutus 1]]+Opv.kohd.[[#This Row],[Talousarvion perusteella kohdentamattomat]])</f>
        <v>0</v>
      </c>
      <c r="X87" s="210">
        <f>Opv.kohd.[[#This Row],[Kohdentamaton työvoima-koulutus 2]]-(Opv.kohd.[[#This Row],[Työvoima-koulutus 1]]+Opv.kohd.[[#This Row],[Nuorisotyöt. väh. ja osaamistarp. vast., työvoima-koulutus 1]]+Opv.kohd.[[#This Row],[Talousarvion perusteella työvoimakoulutus 1]])</f>
        <v>0</v>
      </c>
      <c r="Y87" s="210">
        <f>Opv.kohd.[[#This Row],[Maahan-muuttajien koulutus 2]]-Opv.kohd.[[#This Row],[Maahan-muuttajien koulutus 1]]</f>
        <v>0</v>
      </c>
      <c r="Z87" s="210">
        <f>Opv.kohd.[[#This Row],[Lisätalousarvioiden perusteella jaetut 2]]-Opv.kohd.[[#This Row],[Lisätalousarvioiden perusteella]]</f>
        <v>0</v>
      </c>
      <c r="AA87" s="210">
        <f>Opv.kohd.[[#This Row],[Toteutuneet opiskelijavuodet yhteensä 2]]-Opv.kohd.[[#This Row],[Vuoden 2018 tavoitteelliset opiskelijavuodet yhteensä 1]]</f>
        <v>0</v>
      </c>
      <c r="AB87" s="207">
        <f>IFERROR(VLOOKUP(Opv.kohd.[[#This Row],[Y-tunnus]],#REF!,3,FALSE),0)</f>
        <v>0</v>
      </c>
      <c r="AC87" s="207">
        <f>IFERROR(VLOOKUP(Opv.kohd.[[#This Row],[Y-tunnus]],#REF!,4,FALSE),0)</f>
        <v>0</v>
      </c>
      <c r="AD87" s="207">
        <f>IFERROR(VLOOKUP(Opv.kohd.[[#This Row],[Y-tunnus]],#REF!,5,FALSE),0)</f>
        <v>0</v>
      </c>
      <c r="AE87" s="207">
        <f>IFERROR(VLOOKUP(Opv.kohd.[[#This Row],[Y-tunnus]],#REF!,6,FALSE),0)</f>
        <v>0</v>
      </c>
      <c r="AF87" s="207">
        <f>IFERROR(VLOOKUP(Opv.kohd.[[#This Row],[Y-tunnus]],#REF!,7,FALSE),0)</f>
        <v>0</v>
      </c>
      <c r="AG87" s="207">
        <f>IFERROR(VLOOKUP(Opv.kohd.[[#This Row],[Y-tunnus]],#REF!,8,FALSE),0)</f>
        <v>0</v>
      </c>
      <c r="AH87" s="207">
        <f>IFERROR(VLOOKUP(Opv.kohd.[[#This Row],[Y-tunnus]],#REF!,9,FALSE),0)</f>
        <v>0</v>
      </c>
      <c r="AI87" s="207">
        <f>IFERROR(VLOOKUP(Opv.kohd.[[#This Row],[Y-tunnus]],#REF!,10,FALSE),0)</f>
        <v>0</v>
      </c>
      <c r="AJ87" s="204">
        <f>Opv.kohd.[[#This Row],[Järjestämisluvan mukaiset 4]]-Opv.kohd.[[#This Row],[Järjestämisluvan mukaiset 1]]</f>
        <v>0</v>
      </c>
      <c r="AK87" s="204">
        <f>Opv.kohd.[[#This Row],[Kohdentamat-tomat 4]]-Opv.kohd.[[#This Row],[Kohdentamat-tomat 1]]</f>
        <v>0</v>
      </c>
      <c r="AL87" s="204">
        <f>Opv.kohd.[[#This Row],[Työvoima-koulutus 4]]-Opv.kohd.[[#This Row],[Työvoima-koulutus 1]]</f>
        <v>0</v>
      </c>
      <c r="AM87" s="204">
        <f>Opv.kohd.[[#This Row],[Maahan-muuttajien koulutus 4]]-Opv.kohd.[[#This Row],[Maahan-muuttajien koulutus 1]]</f>
        <v>0</v>
      </c>
      <c r="AN87" s="204">
        <f>Opv.kohd.[[#This Row],[Nuorisotyöt. väh. ja osaamistarp. vast., muu kuin työvoima-koulutus 4]]-Opv.kohd.[[#This Row],[Nuorisotyöt. väh. ja osaamistarp. vast., muu kuin työvoima-koulutus 1]]</f>
        <v>0</v>
      </c>
      <c r="AO87" s="204">
        <f>Opv.kohd.[[#This Row],[Nuorisotyöt. väh. ja osaamistarp. vast., työvoima-koulutus 4]]-Opv.kohd.[[#This Row],[Nuorisotyöt. väh. ja osaamistarp. vast., työvoima-koulutus 1]]</f>
        <v>0</v>
      </c>
      <c r="AP87" s="204">
        <f>Opv.kohd.[[#This Row],[Yhteensä 4]]-Opv.kohd.[[#This Row],[Yhteensä  1]]</f>
        <v>0</v>
      </c>
      <c r="AQ87" s="204">
        <f>Opv.kohd.[[#This Row],[Ensikertaisella suoritepäätöksellä jaetut tavoitteelliset opiskelijavuodet yhteensä 4]]-Opv.kohd.[[#This Row],[Ensikertaisella suoritepäätöksellä jaetut tavoitteelliset opiskelijavuodet yhteensä 1]]</f>
        <v>0</v>
      </c>
      <c r="AR87" s="208">
        <f>IFERROR(Opv.kohd.[[#This Row],[Järjestämisluvan mukaiset 5]]/Opv.kohd.[[#This Row],[Järjestämisluvan mukaiset 4]],0)</f>
        <v>0</v>
      </c>
      <c r="AS87" s="208">
        <f>IFERROR(Opv.kohd.[[#This Row],[Kohdentamat-tomat 5]]/Opv.kohd.[[#This Row],[Kohdentamat-tomat 4]],0)</f>
        <v>0</v>
      </c>
      <c r="AT87" s="208">
        <f>IFERROR(Opv.kohd.[[#This Row],[Työvoima-koulutus 5]]/Opv.kohd.[[#This Row],[Työvoima-koulutus 4]],0)</f>
        <v>0</v>
      </c>
      <c r="AU87" s="208">
        <f>IFERROR(Opv.kohd.[[#This Row],[Maahan-muuttajien koulutus 5]]/Opv.kohd.[[#This Row],[Maahan-muuttajien koulutus 4]],0)</f>
        <v>0</v>
      </c>
      <c r="AV87" s="208">
        <f>IFERROR(Opv.kohd.[[#This Row],[Nuorisotyöt. väh. ja osaamistarp. vast., muu kuin työvoima-koulutus 5]]/Opv.kohd.[[#This Row],[Nuorisotyöt. väh. ja osaamistarp. vast., muu kuin työvoima-koulutus 4]],0)</f>
        <v>0</v>
      </c>
      <c r="AW87" s="208">
        <f>IFERROR(Opv.kohd.[[#This Row],[Nuorisotyöt. väh. ja osaamistarp. vast., työvoima-koulutus 5]]/Opv.kohd.[[#This Row],[Nuorisotyöt. väh. ja osaamistarp. vast., työvoima-koulutus 4]],0)</f>
        <v>0</v>
      </c>
      <c r="AX87" s="208">
        <f>IFERROR(Opv.kohd.[[#This Row],[Yhteensä 5]]/Opv.kohd.[[#This Row],[Yhteensä 4]],0)</f>
        <v>0</v>
      </c>
      <c r="AY87" s="208">
        <f>IFERROR(Opv.kohd.[[#This Row],[Ensikertaisella suoritepäätöksellä jaetut tavoitteelliset opiskelijavuodet yhteensä 5]]/Opv.kohd.[[#This Row],[Ensikertaisella suoritepäätöksellä jaetut tavoitteelliset opiskelijavuodet yhteensä 4]],0)</f>
        <v>0</v>
      </c>
      <c r="AZ87" s="207">
        <f>Opv.kohd.[[#This Row],[Yhteensä 7a]]-Opv.kohd.[[#This Row],[Työvoima-koulutus 7a]]</f>
        <v>0</v>
      </c>
      <c r="BA87" s="207">
        <f>IFERROR(VLOOKUP(Opv.kohd.[[#This Row],[Y-tunnus]],#REF!,COLUMN(#REF!),FALSE),0)</f>
        <v>0</v>
      </c>
      <c r="BB87" s="207">
        <f>IFERROR(VLOOKUP(Opv.kohd.[[#This Row],[Y-tunnus]],#REF!,COLUMN(#REF!),FALSE),0)</f>
        <v>0</v>
      </c>
      <c r="BC87" s="207">
        <f>Opv.kohd.[[#This Row],[Muu kuin työvoima-koulutus 7c]]-Opv.kohd.[[#This Row],[Muu kuin työvoima-koulutus 7a]]</f>
        <v>0</v>
      </c>
      <c r="BD87" s="207">
        <f>Opv.kohd.[[#This Row],[Työvoima-koulutus 7c]]-Opv.kohd.[[#This Row],[Työvoima-koulutus 7a]]</f>
        <v>0</v>
      </c>
      <c r="BE87" s="207">
        <f>Opv.kohd.[[#This Row],[Yhteensä 7c]]-Opv.kohd.[[#This Row],[Yhteensä 7a]]</f>
        <v>0</v>
      </c>
      <c r="BF87" s="207">
        <f>Opv.kohd.[[#This Row],[Yhteensä 7c]]-Opv.kohd.[[#This Row],[Työvoima-koulutus 7c]]</f>
        <v>0</v>
      </c>
      <c r="BG87" s="207">
        <f>IFERROR(VLOOKUP(Opv.kohd.[[#This Row],[Y-tunnus]],#REF!,COLUMN(#REF!),FALSE),0)</f>
        <v>0</v>
      </c>
      <c r="BH87" s="207">
        <f>IFERROR(VLOOKUP(Opv.kohd.[[#This Row],[Y-tunnus]],#REF!,COLUMN(#REF!),FALSE),0)</f>
        <v>0</v>
      </c>
      <c r="BI87" s="207">
        <f>IFERROR(VLOOKUP(Opv.kohd.[[#This Row],[Y-tunnus]],#REF!,COLUMN(#REF!),FALSE),0)</f>
        <v>0</v>
      </c>
      <c r="BJ87" s="207">
        <f>IFERROR(VLOOKUP(Opv.kohd.[[#This Row],[Y-tunnus]],#REF!,COLUMN(#REF!),FALSE),0)</f>
        <v>0</v>
      </c>
      <c r="BK87" s="207">
        <f>Opv.kohd.[[#This Row],[Muu kuin työvoima-koulutus 7d]]+Opv.kohd.[[#This Row],[Työvoima-koulutus 7d]]</f>
        <v>0</v>
      </c>
      <c r="BL87" s="207">
        <f>Opv.kohd.[[#This Row],[Muu kuin työvoima-koulutus 7c]]-Opv.kohd.[[#This Row],[Muu kuin työvoima-koulutus 7d]]</f>
        <v>0</v>
      </c>
      <c r="BM87" s="207">
        <f>Opv.kohd.[[#This Row],[Työvoima-koulutus 7c]]-Opv.kohd.[[#This Row],[Työvoima-koulutus 7d]]</f>
        <v>0</v>
      </c>
      <c r="BN87" s="207">
        <f>Opv.kohd.[[#This Row],[Yhteensä 7c]]-Opv.kohd.[[#This Row],[Yhteensä 7d]]</f>
        <v>0</v>
      </c>
      <c r="BO87" s="207">
        <f>Opv.kohd.[[#This Row],[Muu kuin työvoima-koulutus 7e]]-(Opv.kohd.[[#This Row],[Järjestämisluvan mukaiset 4]]+Opv.kohd.[[#This Row],[Kohdentamat-tomat 4]]+Opv.kohd.[[#This Row],[Maahan-muuttajien koulutus 4]]+Opv.kohd.[[#This Row],[Nuorisotyöt. väh. ja osaamistarp. vast., muu kuin työvoima-koulutus 4]])</f>
        <v>0</v>
      </c>
      <c r="BP87" s="207">
        <f>Opv.kohd.[[#This Row],[Työvoima-koulutus 7e]]-(Opv.kohd.[[#This Row],[Työvoima-koulutus 4]]+Opv.kohd.[[#This Row],[Nuorisotyöt. väh. ja osaamistarp. vast., työvoima-koulutus 4]])</f>
        <v>0</v>
      </c>
      <c r="BQ87" s="207">
        <f>Opv.kohd.[[#This Row],[Yhteensä 7e]]-Opv.kohd.[[#This Row],[Ensikertaisella suoritepäätöksellä jaetut tavoitteelliset opiskelijavuodet yhteensä 4]]</f>
        <v>0</v>
      </c>
      <c r="BR87" s="263">
        <v>73</v>
      </c>
      <c r="BS87" s="263">
        <v>0</v>
      </c>
      <c r="BT87" s="263">
        <v>0</v>
      </c>
      <c r="BU87" s="263">
        <v>0</v>
      </c>
      <c r="BV87" s="263">
        <v>0</v>
      </c>
      <c r="BW87" s="263">
        <v>0</v>
      </c>
      <c r="BX87" s="263">
        <v>0</v>
      </c>
      <c r="BY87" s="263">
        <v>73</v>
      </c>
      <c r="BZ87" s="207">
        <f t="shared" si="17"/>
        <v>73</v>
      </c>
      <c r="CA87" s="207">
        <f t="shared" si="18"/>
        <v>0</v>
      </c>
      <c r="CB87" s="207">
        <f t="shared" si="19"/>
        <v>0</v>
      </c>
      <c r="CC87" s="207">
        <f t="shared" si="20"/>
        <v>0</v>
      </c>
      <c r="CD87" s="207">
        <f t="shared" si="21"/>
        <v>0</v>
      </c>
      <c r="CE87" s="207">
        <f t="shared" si="22"/>
        <v>0</v>
      </c>
      <c r="CF87" s="207">
        <f t="shared" si="23"/>
        <v>0</v>
      </c>
      <c r="CG87" s="207">
        <f t="shared" si="24"/>
        <v>73</v>
      </c>
      <c r="CH87" s="207">
        <f>Opv.kohd.[[#This Row],[Tavoitteelliset opiskelijavuodet yhteensä 9]]-Opv.kohd.[[#This Row],[Työvoima-koulutus 9]]-Opv.kohd.[[#This Row],[Nuorisotyöt. väh. ja osaamistarp. vast., työvoima-koulutus 9]]-Opv.kohd.[[#This Row],[Muu kuin työvoima-koulutus 7e]]</f>
        <v>73</v>
      </c>
      <c r="CI87" s="207">
        <f>(Opv.kohd.[[#This Row],[Työvoima-koulutus 9]]+Opv.kohd.[[#This Row],[Nuorisotyöt. väh. ja osaamistarp. vast., työvoima-koulutus 9]])-Opv.kohd.[[#This Row],[Työvoima-koulutus 7e]]</f>
        <v>0</v>
      </c>
      <c r="CJ87" s="207">
        <f>Opv.kohd.[[#This Row],[Tavoitteelliset opiskelijavuodet yhteensä 9]]-Opv.kohd.[[#This Row],[Yhteensä 7e]]</f>
        <v>73</v>
      </c>
      <c r="CK87" s="207">
        <f>Opv.kohd.[[#This Row],[Järjestämisluvan mukaiset 4]]+Opv.kohd.[[#This Row],[Järjestämisluvan mukaiset 13]]</f>
        <v>0</v>
      </c>
      <c r="CL87" s="207">
        <f>Opv.kohd.[[#This Row],[Kohdentamat-tomat 4]]+Opv.kohd.[[#This Row],[Kohdentamat-tomat 13]]</f>
        <v>0</v>
      </c>
      <c r="CM87" s="207">
        <f>Opv.kohd.[[#This Row],[Työvoima-koulutus 4]]+Opv.kohd.[[#This Row],[Työvoima-koulutus 13]]</f>
        <v>0</v>
      </c>
      <c r="CN87" s="207">
        <f>Opv.kohd.[[#This Row],[Maahan-muuttajien koulutus 4]]+Opv.kohd.[[#This Row],[Maahan-muuttajien koulutus 13]]</f>
        <v>0</v>
      </c>
      <c r="CO87" s="207">
        <f>Opv.kohd.[[#This Row],[Nuorisotyöt. väh. ja osaamistarp. vast., muu kuin työvoima-koulutus 4]]+Opv.kohd.[[#This Row],[Nuorisotyöt. väh. ja osaamistarp. vast., muu kuin työvoima-koulutus 13]]</f>
        <v>0</v>
      </c>
      <c r="CP87" s="207">
        <f>Opv.kohd.[[#This Row],[Nuorisotyöt. väh. ja osaamistarp. vast., työvoima-koulutus 4]]+Opv.kohd.[[#This Row],[Nuorisotyöt. väh. ja osaamistarp. vast., työvoima-koulutus 13]]</f>
        <v>0</v>
      </c>
      <c r="CQ87" s="207">
        <f>Opv.kohd.[[#This Row],[Yhteensä 4]]+Opv.kohd.[[#This Row],[Yhteensä 13]]</f>
        <v>0</v>
      </c>
      <c r="CR87" s="207">
        <f>Opv.kohd.[[#This Row],[Ensikertaisella suoritepäätöksellä jaetut tavoitteelliset opiskelijavuodet yhteensä 4]]+Opv.kohd.[[#This Row],[Tavoitteelliset opiskelijavuodet yhteensä 13]]</f>
        <v>0</v>
      </c>
      <c r="CS87" s="120">
        <v>0</v>
      </c>
      <c r="CT87" s="120">
        <v>0</v>
      </c>
      <c r="CU87" s="120">
        <v>0</v>
      </c>
      <c r="CV87" s="120">
        <v>0</v>
      </c>
      <c r="CW87" s="120">
        <v>0</v>
      </c>
      <c r="CX87" s="120">
        <v>0</v>
      </c>
      <c r="CY87" s="120">
        <v>0</v>
      </c>
      <c r="CZ87" s="120">
        <v>0</v>
      </c>
      <c r="DA87" s="209">
        <f>IFERROR(Opv.kohd.[[#This Row],[Järjestämisluvan mukaiset 13]]/Opv.kohd.[[#This Row],[Järjestämisluvan mukaiset 12]],0)</f>
        <v>0</v>
      </c>
      <c r="DB87" s="209">
        <f>IFERROR(Opv.kohd.[[#This Row],[Kohdentamat-tomat 13]]/Opv.kohd.[[#This Row],[Kohdentamat-tomat 12]],0)</f>
        <v>0</v>
      </c>
      <c r="DC87" s="209">
        <f>IFERROR(Opv.kohd.[[#This Row],[Työvoima-koulutus 13]]/Opv.kohd.[[#This Row],[Työvoima-koulutus 12]],0)</f>
        <v>0</v>
      </c>
      <c r="DD87" s="209">
        <f>IFERROR(Opv.kohd.[[#This Row],[Maahan-muuttajien koulutus 13]]/Opv.kohd.[[#This Row],[Maahan-muuttajien koulutus 12]],0)</f>
        <v>0</v>
      </c>
      <c r="DE87" s="209">
        <f>IFERROR(Opv.kohd.[[#This Row],[Nuorisotyöt. väh. ja osaamistarp. vast., muu kuin työvoima-koulutus 13]]/Opv.kohd.[[#This Row],[Nuorisotyöt. väh. ja osaamistarp. vast., muu kuin työvoima-koulutus 12]],0)</f>
        <v>0</v>
      </c>
      <c r="DF87" s="209">
        <f>IFERROR(Opv.kohd.[[#This Row],[Nuorisotyöt. väh. ja osaamistarp. vast., työvoima-koulutus 13]]/Opv.kohd.[[#This Row],[Nuorisotyöt. väh. ja osaamistarp. vast., työvoima-koulutus 12]],0)</f>
        <v>0</v>
      </c>
      <c r="DG87" s="209">
        <f>IFERROR(Opv.kohd.[[#This Row],[Yhteensä 13]]/Opv.kohd.[[#This Row],[Yhteensä 12]],0)</f>
        <v>0</v>
      </c>
      <c r="DH87" s="209">
        <f>IFERROR(Opv.kohd.[[#This Row],[Tavoitteelliset opiskelijavuodet yhteensä 13]]/Opv.kohd.[[#This Row],[Tavoitteelliset opiskelijavuodet yhteensä 12]],0)</f>
        <v>0</v>
      </c>
      <c r="DI87" s="207">
        <f>Opv.kohd.[[#This Row],[Järjestämisluvan mukaiset 12]]-Opv.kohd.[[#This Row],[Järjestämisluvan mukaiset 9]]</f>
        <v>-73</v>
      </c>
      <c r="DJ87" s="207">
        <f>Opv.kohd.[[#This Row],[Kohdentamat-tomat 12]]-Opv.kohd.[[#This Row],[Kohdentamat-tomat 9]]</f>
        <v>0</v>
      </c>
      <c r="DK87" s="207">
        <f>Opv.kohd.[[#This Row],[Työvoima-koulutus 12]]-Opv.kohd.[[#This Row],[Työvoima-koulutus 9]]</f>
        <v>0</v>
      </c>
      <c r="DL87" s="207">
        <f>Opv.kohd.[[#This Row],[Maahan-muuttajien koulutus 12]]-Opv.kohd.[[#This Row],[Maahan-muuttajien koulutus 9]]</f>
        <v>0</v>
      </c>
      <c r="DM87" s="207">
        <f>Opv.kohd.[[#This Row],[Nuorisotyöt. väh. ja osaamistarp. vast., muu kuin työvoima-koulutus 12]]-Opv.kohd.[[#This Row],[Nuorisotyöt. väh. ja osaamistarp. vast., muu kuin työvoima-koulutus 9]]</f>
        <v>0</v>
      </c>
      <c r="DN87" s="207">
        <f>Opv.kohd.[[#This Row],[Nuorisotyöt. väh. ja osaamistarp. vast., työvoima-koulutus 12]]-Opv.kohd.[[#This Row],[Nuorisotyöt. väh. ja osaamistarp. vast., työvoima-koulutus 9]]</f>
        <v>0</v>
      </c>
      <c r="DO87" s="207">
        <f>Opv.kohd.[[#This Row],[Yhteensä 12]]-Opv.kohd.[[#This Row],[Yhteensä 9]]</f>
        <v>0</v>
      </c>
      <c r="DP87" s="207">
        <f>Opv.kohd.[[#This Row],[Tavoitteelliset opiskelijavuodet yhteensä 12]]-Opv.kohd.[[#This Row],[Tavoitteelliset opiskelijavuodet yhteensä 9]]</f>
        <v>-73</v>
      </c>
      <c r="DQ87" s="209">
        <f>IFERROR(Opv.kohd.[[#This Row],[Järjestämisluvan mukaiset 15]]/Opv.kohd.[[#This Row],[Järjestämisluvan mukaiset 9]],0)</f>
        <v>-1</v>
      </c>
      <c r="DR87" s="209">
        <f t="shared" si="25"/>
        <v>0</v>
      </c>
      <c r="DS87" s="209">
        <f t="shared" si="26"/>
        <v>0</v>
      </c>
      <c r="DT87" s="209">
        <f t="shared" si="27"/>
        <v>0</v>
      </c>
      <c r="DU87" s="209">
        <f t="shared" si="28"/>
        <v>0</v>
      </c>
      <c r="DV87" s="209">
        <f t="shared" si="29"/>
        <v>0</v>
      </c>
      <c r="DW87" s="209">
        <f t="shared" si="30"/>
        <v>0</v>
      </c>
      <c r="DX87" s="209">
        <f t="shared" si="31"/>
        <v>0</v>
      </c>
    </row>
    <row r="88" spans="1:128" x14ac:dyDescent="0.25">
      <c r="A88" s="204" t="e">
        <f>IF(INDEX(#REF!,ROW(88:88)-1,1)=0,"",INDEX(#REF!,ROW(88:88)-1,1))</f>
        <v>#REF!</v>
      </c>
      <c r="B88" s="205" t="str">
        <f>IFERROR(VLOOKUP(Opv.kohd.[[#This Row],[Y-tunnus]],'0 Järjestäjätiedot'!$A:$H,2,FALSE),"")</f>
        <v/>
      </c>
      <c r="C88" s="204" t="str">
        <f>IFERROR(VLOOKUP(Opv.kohd.[[#This Row],[Y-tunnus]],'0 Järjestäjätiedot'!$A:$H,COLUMN('0 Järjestäjätiedot'!D:D),FALSE),"")</f>
        <v/>
      </c>
      <c r="D88" s="204" t="str">
        <f>IFERROR(VLOOKUP(Opv.kohd.[[#This Row],[Y-tunnus]],'0 Järjestäjätiedot'!$A:$H,COLUMN('0 Järjestäjätiedot'!H:H),FALSE),"")</f>
        <v/>
      </c>
      <c r="E88" s="204">
        <f>IFERROR(VLOOKUP(Opv.kohd.[[#This Row],[Y-tunnus]],#REF!,COLUMN(#REF!),FALSE),0)</f>
        <v>0</v>
      </c>
      <c r="F88" s="204">
        <f>IFERROR(VLOOKUP(Opv.kohd.[[#This Row],[Y-tunnus]],#REF!,COLUMN(#REF!),FALSE),0)</f>
        <v>0</v>
      </c>
      <c r="G88" s="204">
        <f>IFERROR(VLOOKUP(Opv.kohd.[[#This Row],[Y-tunnus]],#REF!,COLUMN(#REF!),FALSE),0)</f>
        <v>0</v>
      </c>
      <c r="H88" s="204">
        <f>IFERROR(VLOOKUP(Opv.kohd.[[#This Row],[Y-tunnus]],#REF!,COLUMN(#REF!),FALSE),0)</f>
        <v>0</v>
      </c>
      <c r="I88" s="204">
        <f>IFERROR(VLOOKUP(Opv.kohd.[[#This Row],[Y-tunnus]],#REF!,COLUMN(#REF!),FALSE),0)</f>
        <v>0</v>
      </c>
      <c r="J88" s="204">
        <f>IFERROR(VLOOKUP(Opv.kohd.[[#This Row],[Y-tunnus]],#REF!,COLUMN(#REF!),FALSE),0)</f>
        <v>0</v>
      </c>
      <c r="K8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88" s="204">
        <f>Opv.kohd.[[#This Row],[Järjestämisluvan mukaiset 1]]+Opv.kohd.[[#This Row],[Yhteensä  1]]</f>
        <v>0</v>
      </c>
      <c r="M88" s="204">
        <f>IFERROR(VLOOKUP(Opv.kohd.[[#This Row],[Y-tunnus]],#REF!,COLUMN(#REF!),FALSE),0)</f>
        <v>0</v>
      </c>
      <c r="N88" s="204">
        <f>IFERROR(VLOOKUP(Opv.kohd.[[#This Row],[Y-tunnus]],#REF!,COLUMN(#REF!),FALSE),0)</f>
        <v>0</v>
      </c>
      <c r="O88" s="204">
        <f>IFERROR(VLOOKUP(Opv.kohd.[[#This Row],[Y-tunnus]],#REF!,COLUMN(#REF!),FALSE)+VLOOKUP(Opv.kohd.[[#This Row],[Y-tunnus]],#REF!,COLUMN(#REF!),FALSE),0)</f>
        <v>0</v>
      </c>
      <c r="P88" s="204">
        <f>Opv.kohd.[[#This Row],[Talousarvion perusteella kohdentamattomat]]+Opv.kohd.[[#This Row],[Talousarvion perusteella työvoimakoulutus 1]]+Opv.kohd.[[#This Row],[Lisätalousarvioiden perusteella]]</f>
        <v>0</v>
      </c>
      <c r="Q88" s="204">
        <f>IFERROR(VLOOKUP(Opv.kohd.[[#This Row],[Y-tunnus]],#REF!,COLUMN(#REF!),FALSE),0)</f>
        <v>0</v>
      </c>
      <c r="R88" s="210">
        <f>IFERROR(VLOOKUP(Opv.kohd.[[#This Row],[Y-tunnus]],#REF!,COLUMN(#REF!),FALSE)-(Opv.kohd.[[#This Row],[Kohdentamaton työvoima-koulutus 2]]+Opv.kohd.[[#This Row],[Maahan-muuttajien koulutus 2]]+Opv.kohd.[[#This Row],[Lisätalousarvioiden perusteella jaetut 2]]),0)</f>
        <v>0</v>
      </c>
      <c r="S88" s="210">
        <f>IFERROR(VLOOKUP(Opv.kohd.[[#This Row],[Y-tunnus]],#REF!,COLUMN(#REF!),FALSE)+VLOOKUP(Opv.kohd.[[#This Row],[Y-tunnus]],#REF!,COLUMN(#REF!),FALSE),0)</f>
        <v>0</v>
      </c>
      <c r="T88" s="210">
        <f>IFERROR(VLOOKUP(Opv.kohd.[[#This Row],[Y-tunnus]],#REF!,COLUMN(#REF!),FALSE)+VLOOKUP(Opv.kohd.[[#This Row],[Y-tunnus]],#REF!,COLUMN(#REF!),FALSE),0)</f>
        <v>0</v>
      </c>
      <c r="U8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88" s="210">
        <f>Opv.kohd.[[#This Row],[Kohdentamat-tomat 2]]+Opv.kohd.[[#This Row],[Kohdentamaton työvoima-koulutus 2]]+Opv.kohd.[[#This Row],[Maahan-muuttajien koulutus 2]]+Opv.kohd.[[#This Row],[Lisätalousarvioiden perusteella jaetut 2]]</f>
        <v>0</v>
      </c>
      <c r="W88" s="210">
        <f>Opv.kohd.[[#This Row],[Kohdentamat-tomat 2]]-(Opv.kohd.[[#This Row],[Järjestämisluvan mukaiset 1]]+Opv.kohd.[[#This Row],[Kohdentamat-tomat 1]]+Opv.kohd.[[#This Row],[Nuorisotyöt. väh. ja osaamistarp. vast., muu kuin työvoima-koulutus 1]]+Opv.kohd.[[#This Row],[Talousarvion perusteella kohdentamattomat]])</f>
        <v>0</v>
      </c>
      <c r="X88" s="210">
        <f>Opv.kohd.[[#This Row],[Kohdentamaton työvoima-koulutus 2]]-(Opv.kohd.[[#This Row],[Työvoima-koulutus 1]]+Opv.kohd.[[#This Row],[Nuorisotyöt. väh. ja osaamistarp. vast., työvoima-koulutus 1]]+Opv.kohd.[[#This Row],[Talousarvion perusteella työvoimakoulutus 1]])</f>
        <v>0</v>
      </c>
      <c r="Y88" s="210">
        <f>Opv.kohd.[[#This Row],[Maahan-muuttajien koulutus 2]]-Opv.kohd.[[#This Row],[Maahan-muuttajien koulutus 1]]</f>
        <v>0</v>
      </c>
      <c r="Z88" s="210">
        <f>Opv.kohd.[[#This Row],[Lisätalousarvioiden perusteella jaetut 2]]-Opv.kohd.[[#This Row],[Lisätalousarvioiden perusteella]]</f>
        <v>0</v>
      </c>
      <c r="AA88" s="210">
        <f>Opv.kohd.[[#This Row],[Toteutuneet opiskelijavuodet yhteensä 2]]-Opv.kohd.[[#This Row],[Vuoden 2018 tavoitteelliset opiskelijavuodet yhteensä 1]]</f>
        <v>0</v>
      </c>
      <c r="AB88" s="207">
        <f>IFERROR(VLOOKUP(Opv.kohd.[[#This Row],[Y-tunnus]],#REF!,3,FALSE),0)</f>
        <v>0</v>
      </c>
      <c r="AC88" s="207">
        <f>IFERROR(VLOOKUP(Opv.kohd.[[#This Row],[Y-tunnus]],#REF!,4,FALSE),0)</f>
        <v>0</v>
      </c>
      <c r="AD88" s="207">
        <f>IFERROR(VLOOKUP(Opv.kohd.[[#This Row],[Y-tunnus]],#REF!,5,FALSE),0)</f>
        <v>0</v>
      </c>
      <c r="AE88" s="207">
        <f>IFERROR(VLOOKUP(Opv.kohd.[[#This Row],[Y-tunnus]],#REF!,6,FALSE),0)</f>
        <v>0</v>
      </c>
      <c r="AF88" s="207">
        <f>IFERROR(VLOOKUP(Opv.kohd.[[#This Row],[Y-tunnus]],#REF!,7,FALSE),0)</f>
        <v>0</v>
      </c>
      <c r="AG88" s="207">
        <f>IFERROR(VLOOKUP(Opv.kohd.[[#This Row],[Y-tunnus]],#REF!,8,FALSE),0)</f>
        <v>0</v>
      </c>
      <c r="AH88" s="207">
        <f>IFERROR(VLOOKUP(Opv.kohd.[[#This Row],[Y-tunnus]],#REF!,9,FALSE),0)</f>
        <v>0</v>
      </c>
      <c r="AI88" s="207">
        <f>IFERROR(VLOOKUP(Opv.kohd.[[#This Row],[Y-tunnus]],#REF!,10,FALSE),0)</f>
        <v>0</v>
      </c>
      <c r="AJ88" s="204">
        <f>Opv.kohd.[[#This Row],[Järjestämisluvan mukaiset 4]]-Opv.kohd.[[#This Row],[Järjestämisluvan mukaiset 1]]</f>
        <v>0</v>
      </c>
      <c r="AK88" s="204">
        <f>Opv.kohd.[[#This Row],[Kohdentamat-tomat 4]]-Opv.kohd.[[#This Row],[Kohdentamat-tomat 1]]</f>
        <v>0</v>
      </c>
      <c r="AL88" s="204">
        <f>Opv.kohd.[[#This Row],[Työvoima-koulutus 4]]-Opv.kohd.[[#This Row],[Työvoima-koulutus 1]]</f>
        <v>0</v>
      </c>
      <c r="AM88" s="204">
        <f>Opv.kohd.[[#This Row],[Maahan-muuttajien koulutus 4]]-Opv.kohd.[[#This Row],[Maahan-muuttajien koulutus 1]]</f>
        <v>0</v>
      </c>
      <c r="AN88" s="204">
        <f>Opv.kohd.[[#This Row],[Nuorisotyöt. väh. ja osaamistarp. vast., muu kuin työvoima-koulutus 4]]-Opv.kohd.[[#This Row],[Nuorisotyöt. väh. ja osaamistarp. vast., muu kuin työvoima-koulutus 1]]</f>
        <v>0</v>
      </c>
      <c r="AO88" s="204">
        <f>Opv.kohd.[[#This Row],[Nuorisotyöt. väh. ja osaamistarp. vast., työvoima-koulutus 4]]-Opv.kohd.[[#This Row],[Nuorisotyöt. väh. ja osaamistarp. vast., työvoima-koulutus 1]]</f>
        <v>0</v>
      </c>
      <c r="AP88" s="204">
        <f>Opv.kohd.[[#This Row],[Yhteensä 4]]-Opv.kohd.[[#This Row],[Yhteensä  1]]</f>
        <v>0</v>
      </c>
      <c r="AQ88" s="204">
        <f>Opv.kohd.[[#This Row],[Ensikertaisella suoritepäätöksellä jaetut tavoitteelliset opiskelijavuodet yhteensä 4]]-Opv.kohd.[[#This Row],[Ensikertaisella suoritepäätöksellä jaetut tavoitteelliset opiskelijavuodet yhteensä 1]]</f>
        <v>0</v>
      </c>
      <c r="AR88" s="208">
        <f>IFERROR(Opv.kohd.[[#This Row],[Järjestämisluvan mukaiset 5]]/Opv.kohd.[[#This Row],[Järjestämisluvan mukaiset 4]],0)</f>
        <v>0</v>
      </c>
      <c r="AS88" s="208">
        <f>IFERROR(Opv.kohd.[[#This Row],[Kohdentamat-tomat 5]]/Opv.kohd.[[#This Row],[Kohdentamat-tomat 4]],0)</f>
        <v>0</v>
      </c>
      <c r="AT88" s="208">
        <f>IFERROR(Opv.kohd.[[#This Row],[Työvoima-koulutus 5]]/Opv.kohd.[[#This Row],[Työvoima-koulutus 4]],0)</f>
        <v>0</v>
      </c>
      <c r="AU88" s="208">
        <f>IFERROR(Opv.kohd.[[#This Row],[Maahan-muuttajien koulutus 5]]/Opv.kohd.[[#This Row],[Maahan-muuttajien koulutus 4]],0)</f>
        <v>0</v>
      </c>
      <c r="AV88" s="208">
        <f>IFERROR(Opv.kohd.[[#This Row],[Nuorisotyöt. väh. ja osaamistarp. vast., muu kuin työvoima-koulutus 5]]/Opv.kohd.[[#This Row],[Nuorisotyöt. väh. ja osaamistarp. vast., muu kuin työvoima-koulutus 4]],0)</f>
        <v>0</v>
      </c>
      <c r="AW88" s="208">
        <f>IFERROR(Opv.kohd.[[#This Row],[Nuorisotyöt. väh. ja osaamistarp. vast., työvoima-koulutus 5]]/Opv.kohd.[[#This Row],[Nuorisotyöt. väh. ja osaamistarp. vast., työvoima-koulutus 4]],0)</f>
        <v>0</v>
      </c>
      <c r="AX88" s="208">
        <f>IFERROR(Opv.kohd.[[#This Row],[Yhteensä 5]]/Opv.kohd.[[#This Row],[Yhteensä 4]],0)</f>
        <v>0</v>
      </c>
      <c r="AY88" s="208">
        <f>IFERROR(Opv.kohd.[[#This Row],[Ensikertaisella suoritepäätöksellä jaetut tavoitteelliset opiskelijavuodet yhteensä 5]]/Opv.kohd.[[#This Row],[Ensikertaisella suoritepäätöksellä jaetut tavoitteelliset opiskelijavuodet yhteensä 4]],0)</f>
        <v>0</v>
      </c>
      <c r="AZ88" s="207">
        <f>Opv.kohd.[[#This Row],[Yhteensä 7a]]-Opv.kohd.[[#This Row],[Työvoima-koulutus 7a]]</f>
        <v>0</v>
      </c>
      <c r="BA88" s="207">
        <f>IFERROR(VLOOKUP(Opv.kohd.[[#This Row],[Y-tunnus]],#REF!,COLUMN(#REF!),FALSE),0)</f>
        <v>0</v>
      </c>
      <c r="BB88" s="207">
        <f>IFERROR(VLOOKUP(Opv.kohd.[[#This Row],[Y-tunnus]],#REF!,COLUMN(#REF!),FALSE),0)</f>
        <v>0</v>
      </c>
      <c r="BC88" s="207">
        <f>Opv.kohd.[[#This Row],[Muu kuin työvoima-koulutus 7c]]-Opv.kohd.[[#This Row],[Muu kuin työvoima-koulutus 7a]]</f>
        <v>0</v>
      </c>
      <c r="BD88" s="207">
        <f>Opv.kohd.[[#This Row],[Työvoima-koulutus 7c]]-Opv.kohd.[[#This Row],[Työvoima-koulutus 7a]]</f>
        <v>0</v>
      </c>
      <c r="BE88" s="207">
        <f>Opv.kohd.[[#This Row],[Yhteensä 7c]]-Opv.kohd.[[#This Row],[Yhteensä 7a]]</f>
        <v>0</v>
      </c>
      <c r="BF88" s="207">
        <f>Opv.kohd.[[#This Row],[Yhteensä 7c]]-Opv.kohd.[[#This Row],[Työvoima-koulutus 7c]]</f>
        <v>0</v>
      </c>
      <c r="BG88" s="207">
        <f>IFERROR(VLOOKUP(Opv.kohd.[[#This Row],[Y-tunnus]],#REF!,COLUMN(#REF!),FALSE),0)</f>
        <v>0</v>
      </c>
      <c r="BH88" s="207">
        <f>IFERROR(VLOOKUP(Opv.kohd.[[#This Row],[Y-tunnus]],#REF!,COLUMN(#REF!),FALSE),0)</f>
        <v>0</v>
      </c>
      <c r="BI88" s="207">
        <f>IFERROR(VLOOKUP(Opv.kohd.[[#This Row],[Y-tunnus]],#REF!,COLUMN(#REF!),FALSE),0)</f>
        <v>0</v>
      </c>
      <c r="BJ88" s="207">
        <f>IFERROR(VLOOKUP(Opv.kohd.[[#This Row],[Y-tunnus]],#REF!,COLUMN(#REF!),FALSE),0)</f>
        <v>0</v>
      </c>
      <c r="BK88" s="207">
        <f>Opv.kohd.[[#This Row],[Muu kuin työvoima-koulutus 7d]]+Opv.kohd.[[#This Row],[Työvoima-koulutus 7d]]</f>
        <v>0</v>
      </c>
      <c r="BL88" s="207">
        <f>Opv.kohd.[[#This Row],[Muu kuin työvoima-koulutus 7c]]-Opv.kohd.[[#This Row],[Muu kuin työvoima-koulutus 7d]]</f>
        <v>0</v>
      </c>
      <c r="BM88" s="207">
        <f>Opv.kohd.[[#This Row],[Työvoima-koulutus 7c]]-Opv.kohd.[[#This Row],[Työvoima-koulutus 7d]]</f>
        <v>0</v>
      </c>
      <c r="BN88" s="207">
        <f>Opv.kohd.[[#This Row],[Yhteensä 7c]]-Opv.kohd.[[#This Row],[Yhteensä 7d]]</f>
        <v>0</v>
      </c>
      <c r="BO88" s="207">
        <f>Opv.kohd.[[#This Row],[Muu kuin työvoima-koulutus 7e]]-(Opv.kohd.[[#This Row],[Järjestämisluvan mukaiset 4]]+Opv.kohd.[[#This Row],[Kohdentamat-tomat 4]]+Opv.kohd.[[#This Row],[Maahan-muuttajien koulutus 4]]+Opv.kohd.[[#This Row],[Nuorisotyöt. väh. ja osaamistarp. vast., muu kuin työvoima-koulutus 4]])</f>
        <v>0</v>
      </c>
      <c r="BP88" s="207">
        <f>Opv.kohd.[[#This Row],[Työvoima-koulutus 7e]]-(Opv.kohd.[[#This Row],[Työvoima-koulutus 4]]+Opv.kohd.[[#This Row],[Nuorisotyöt. väh. ja osaamistarp. vast., työvoima-koulutus 4]])</f>
        <v>0</v>
      </c>
      <c r="BQ88" s="207">
        <f>Opv.kohd.[[#This Row],[Yhteensä 7e]]-Opv.kohd.[[#This Row],[Ensikertaisella suoritepäätöksellä jaetut tavoitteelliset opiskelijavuodet yhteensä 4]]</f>
        <v>0</v>
      </c>
      <c r="BR88" s="263">
        <v>953</v>
      </c>
      <c r="BS88" s="263">
        <v>70</v>
      </c>
      <c r="BT88" s="263">
        <v>0</v>
      </c>
      <c r="BU88" s="263">
        <v>0</v>
      </c>
      <c r="BV88" s="263">
        <v>0</v>
      </c>
      <c r="BW88" s="263">
        <v>0</v>
      </c>
      <c r="BX88" s="263">
        <v>70</v>
      </c>
      <c r="BY88" s="263">
        <v>1023</v>
      </c>
      <c r="BZ88" s="207">
        <f t="shared" si="17"/>
        <v>953</v>
      </c>
      <c r="CA88" s="207">
        <f t="shared" si="18"/>
        <v>70</v>
      </c>
      <c r="CB88" s="207">
        <f t="shared" si="19"/>
        <v>0</v>
      </c>
      <c r="CC88" s="207">
        <f t="shared" si="20"/>
        <v>0</v>
      </c>
      <c r="CD88" s="207">
        <f t="shared" si="21"/>
        <v>0</v>
      </c>
      <c r="CE88" s="207">
        <f t="shared" si="22"/>
        <v>0</v>
      </c>
      <c r="CF88" s="207">
        <f t="shared" si="23"/>
        <v>70</v>
      </c>
      <c r="CG88" s="207">
        <f t="shared" si="24"/>
        <v>1023</v>
      </c>
      <c r="CH88" s="207">
        <f>Opv.kohd.[[#This Row],[Tavoitteelliset opiskelijavuodet yhteensä 9]]-Opv.kohd.[[#This Row],[Työvoima-koulutus 9]]-Opv.kohd.[[#This Row],[Nuorisotyöt. väh. ja osaamistarp. vast., työvoima-koulutus 9]]-Opv.kohd.[[#This Row],[Muu kuin työvoima-koulutus 7e]]</f>
        <v>1023</v>
      </c>
      <c r="CI88" s="207">
        <f>(Opv.kohd.[[#This Row],[Työvoima-koulutus 9]]+Opv.kohd.[[#This Row],[Nuorisotyöt. väh. ja osaamistarp. vast., työvoima-koulutus 9]])-Opv.kohd.[[#This Row],[Työvoima-koulutus 7e]]</f>
        <v>0</v>
      </c>
      <c r="CJ88" s="207">
        <f>Opv.kohd.[[#This Row],[Tavoitteelliset opiskelijavuodet yhteensä 9]]-Opv.kohd.[[#This Row],[Yhteensä 7e]]</f>
        <v>1023</v>
      </c>
      <c r="CK88" s="207">
        <f>Opv.kohd.[[#This Row],[Järjestämisluvan mukaiset 4]]+Opv.kohd.[[#This Row],[Järjestämisluvan mukaiset 13]]</f>
        <v>0</v>
      </c>
      <c r="CL88" s="207">
        <f>Opv.kohd.[[#This Row],[Kohdentamat-tomat 4]]+Opv.kohd.[[#This Row],[Kohdentamat-tomat 13]]</f>
        <v>0</v>
      </c>
      <c r="CM88" s="207">
        <f>Opv.kohd.[[#This Row],[Työvoima-koulutus 4]]+Opv.kohd.[[#This Row],[Työvoima-koulutus 13]]</f>
        <v>0</v>
      </c>
      <c r="CN88" s="207">
        <f>Opv.kohd.[[#This Row],[Maahan-muuttajien koulutus 4]]+Opv.kohd.[[#This Row],[Maahan-muuttajien koulutus 13]]</f>
        <v>0</v>
      </c>
      <c r="CO88" s="207">
        <f>Opv.kohd.[[#This Row],[Nuorisotyöt. väh. ja osaamistarp. vast., muu kuin työvoima-koulutus 4]]+Opv.kohd.[[#This Row],[Nuorisotyöt. väh. ja osaamistarp. vast., muu kuin työvoima-koulutus 13]]</f>
        <v>0</v>
      </c>
      <c r="CP88" s="207">
        <f>Opv.kohd.[[#This Row],[Nuorisotyöt. väh. ja osaamistarp. vast., työvoima-koulutus 4]]+Opv.kohd.[[#This Row],[Nuorisotyöt. väh. ja osaamistarp. vast., työvoima-koulutus 13]]</f>
        <v>0</v>
      </c>
      <c r="CQ88" s="207">
        <f>Opv.kohd.[[#This Row],[Yhteensä 4]]+Opv.kohd.[[#This Row],[Yhteensä 13]]</f>
        <v>0</v>
      </c>
      <c r="CR88" s="207">
        <f>Opv.kohd.[[#This Row],[Ensikertaisella suoritepäätöksellä jaetut tavoitteelliset opiskelijavuodet yhteensä 4]]+Opv.kohd.[[#This Row],[Tavoitteelliset opiskelijavuodet yhteensä 13]]</f>
        <v>0</v>
      </c>
      <c r="CS88" s="120">
        <v>0</v>
      </c>
      <c r="CT88" s="120">
        <v>0</v>
      </c>
      <c r="CU88" s="120">
        <v>0</v>
      </c>
      <c r="CV88" s="120">
        <v>0</v>
      </c>
      <c r="CW88" s="120">
        <v>0</v>
      </c>
      <c r="CX88" s="120">
        <v>0</v>
      </c>
      <c r="CY88" s="120">
        <v>0</v>
      </c>
      <c r="CZ88" s="120">
        <v>0</v>
      </c>
      <c r="DA88" s="209">
        <f>IFERROR(Opv.kohd.[[#This Row],[Järjestämisluvan mukaiset 13]]/Opv.kohd.[[#This Row],[Järjestämisluvan mukaiset 12]],0)</f>
        <v>0</v>
      </c>
      <c r="DB88" s="209">
        <f>IFERROR(Opv.kohd.[[#This Row],[Kohdentamat-tomat 13]]/Opv.kohd.[[#This Row],[Kohdentamat-tomat 12]],0)</f>
        <v>0</v>
      </c>
      <c r="DC88" s="209">
        <f>IFERROR(Opv.kohd.[[#This Row],[Työvoima-koulutus 13]]/Opv.kohd.[[#This Row],[Työvoima-koulutus 12]],0)</f>
        <v>0</v>
      </c>
      <c r="DD88" s="209">
        <f>IFERROR(Opv.kohd.[[#This Row],[Maahan-muuttajien koulutus 13]]/Opv.kohd.[[#This Row],[Maahan-muuttajien koulutus 12]],0)</f>
        <v>0</v>
      </c>
      <c r="DE88" s="209">
        <f>IFERROR(Opv.kohd.[[#This Row],[Nuorisotyöt. väh. ja osaamistarp. vast., muu kuin työvoima-koulutus 13]]/Opv.kohd.[[#This Row],[Nuorisotyöt. väh. ja osaamistarp. vast., muu kuin työvoima-koulutus 12]],0)</f>
        <v>0</v>
      </c>
      <c r="DF88" s="209">
        <f>IFERROR(Opv.kohd.[[#This Row],[Nuorisotyöt. väh. ja osaamistarp. vast., työvoima-koulutus 13]]/Opv.kohd.[[#This Row],[Nuorisotyöt. väh. ja osaamistarp. vast., työvoima-koulutus 12]],0)</f>
        <v>0</v>
      </c>
      <c r="DG88" s="209">
        <f>IFERROR(Opv.kohd.[[#This Row],[Yhteensä 13]]/Opv.kohd.[[#This Row],[Yhteensä 12]],0)</f>
        <v>0</v>
      </c>
      <c r="DH88" s="209">
        <f>IFERROR(Opv.kohd.[[#This Row],[Tavoitteelliset opiskelijavuodet yhteensä 13]]/Opv.kohd.[[#This Row],[Tavoitteelliset opiskelijavuodet yhteensä 12]],0)</f>
        <v>0</v>
      </c>
      <c r="DI88" s="207">
        <f>Opv.kohd.[[#This Row],[Järjestämisluvan mukaiset 12]]-Opv.kohd.[[#This Row],[Järjestämisluvan mukaiset 9]]</f>
        <v>-953</v>
      </c>
      <c r="DJ88" s="207">
        <f>Opv.kohd.[[#This Row],[Kohdentamat-tomat 12]]-Opv.kohd.[[#This Row],[Kohdentamat-tomat 9]]</f>
        <v>-70</v>
      </c>
      <c r="DK88" s="207">
        <f>Opv.kohd.[[#This Row],[Työvoima-koulutus 12]]-Opv.kohd.[[#This Row],[Työvoima-koulutus 9]]</f>
        <v>0</v>
      </c>
      <c r="DL88" s="207">
        <f>Opv.kohd.[[#This Row],[Maahan-muuttajien koulutus 12]]-Opv.kohd.[[#This Row],[Maahan-muuttajien koulutus 9]]</f>
        <v>0</v>
      </c>
      <c r="DM88" s="207">
        <f>Opv.kohd.[[#This Row],[Nuorisotyöt. väh. ja osaamistarp. vast., muu kuin työvoima-koulutus 12]]-Opv.kohd.[[#This Row],[Nuorisotyöt. väh. ja osaamistarp. vast., muu kuin työvoima-koulutus 9]]</f>
        <v>0</v>
      </c>
      <c r="DN88" s="207">
        <f>Opv.kohd.[[#This Row],[Nuorisotyöt. väh. ja osaamistarp. vast., työvoima-koulutus 12]]-Opv.kohd.[[#This Row],[Nuorisotyöt. väh. ja osaamistarp. vast., työvoima-koulutus 9]]</f>
        <v>0</v>
      </c>
      <c r="DO88" s="207">
        <f>Opv.kohd.[[#This Row],[Yhteensä 12]]-Opv.kohd.[[#This Row],[Yhteensä 9]]</f>
        <v>-70</v>
      </c>
      <c r="DP88" s="207">
        <f>Opv.kohd.[[#This Row],[Tavoitteelliset opiskelijavuodet yhteensä 12]]-Opv.kohd.[[#This Row],[Tavoitteelliset opiskelijavuodet yhteensä 9]]</f>
        <v>-1023</v>
      </c>
      <c r="DQ88" s="209">
        <f>IFERROR(Opv.kohd.[[#This Row],[Järjestämisluvan mukaiset 15]]/Opv.kohd.[[#This Row],[Järjestämisluvan mukaiset 9]],0)</f>
        <v>-1</v>
      </c>
      <c r="DR88" s="209">
        <f t="shared" si="25"/>
        <v>0</v>
      </c>
      <c r="DS88" s="209">
        <f t="shared" si="26"/>
        <v>0</v>
      </c>
      <c r="DT88" s="209">
        <f t="shared" si="27"/>
        <v>0</v>
      </c>
      <c r="DU88" s="209">
        <f t="shared" si="28"/>
        <v>0</v>
      </c>
      <c r="DV88" s="209">
        <f t="shared" si="29"/>
        <v>0</v>
      </c>
      <c r="DW88" s="209">
        <f t="shared" si="30"/>
        <v>0</v>
      </c>
      <c r="DX88" s="209">
        <f t="shared" si="31"/>
        <v>0</v>
      </c>
    </row>
    <row r="89" spans="1:128" x14ac:dyDescent="0.25">
      <c r="A89" s="204" t="e">
        <f>IF(INDEX(#REF!,ROW(89:89)-1,1)=0,"",INDEX(#REF!,ROW(89:89)-1,1))</f>
        <v>#REF!</v>
      </c>
      <c r="B89" s="205" t="str">
        <f>IFERROR(VLOOKUP(Opv.kohd.[[#This Row],[Y-tunnus]],'0 Järjestäjätiedot'!$A:$H,2,FALSE),"")</f>
        <v/>
      </c>
      <c r="C89" s="204" t="str">
        <f>IFERROR(VLOOKUP(Opv.kohd.[[#This Row],[Y-tunnus]],'0 Järjestäjätiedot'!$A:$H,COLUMN('0 Järjestäjätiedot'!D:D),FALSE),"")</f>
        <v/>
      </c>
      <c r="D89" s="204" t="str">
        <f>IFERROR(VLOOKUP(Opv.kohd.[[#This Row],[Y-tunnus]],'0 Järjestäjätiedot'!$A:$H,COLUMN('0 Järjestäjätiedot'!H:H),FALSE),"")</f>
        <v/>
      </c>
      <c r="E89" s="204">
        <f>IFERROR(VLOOKUP(Opv.kohd.[[#This Row],[Y-tunnus]],#REF!,COLUMN(#REF!),FALSE),0)</f>
        <v>0</v>
      </c>
      <c r="F89" s="204">
        <f>IFERROR(VLOOKUP(Opv.kohd.[[#This Row],[Y-tunnus]],#REF!,COLUMN(#REF!),FALSE),0)</f>
        <v>0</v>
      </c>
      <c r="G89" s="204">
        <f>IFERROR(VLOOKUP(Opv.kohd.[[#This Row],[Y-tunnus]],#REF!,COLUMN(#REF!),FALSE),0)</f>
        <v>0</v>
      </c>
      <c r="H89" s="204">
        <f>IFERROR(VLOOKUP(Opv.kohd.[[#This Row],[Y-tunnus]],#REF!,COLUMN(#REF!),FALSE),0)</f>
        <v>0</v>
      </c>
      <c r="I89" s="204">
        <f>IFERROR(VLOOKUP(Opv.kohd.[[#This Row],[Y-tunnus]],#REF!,COLUMN(#REF!),FALSE),0)</f>
        <v>0</v>
      </c>
      <c r="J89" s="204">
        <f>IFERROR(VLOOKUP(Opv.kohd.[[#This Row],[Y-tunnus]],#REF!,COLUMN(#REF!),FALSE),0)</f>
        <v>0</v>
      </c>
      <c r="K8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89" s="204">
        <f>Opv.kohd.[[#This Row],[Järjestämisluvan mukaiset 1]]+Opv.kohd.[[#This Row],[Yhteensä  1]]</f>
        <v>0</v>
      </c>
      <c r="M89" s="204">
        <f>IFERROR(VLOOKUP(Opv.kohd.[[#This Row],[Y-tunnus]],#REF!,COLUMN(#REF!),FALSE),0)</f>
        <v>0</v>
      </c>
      <c r="N89" s="204">
        <f>IFERROR(VLOOKUP(Opv.kohd.[[#This Row],[Y-tunnus]],#REF!,COLUMN(#REF!),FALSE),0)</f>
        <v>0</v>
      </c>
      <c r="O89" s="204">
        <f>IFERROR(VLOOKUP(Opv.kohd.[[#This Row],[Y-tunnus]],#REF!,COLUMN(#REF!),FALSE)+VLOOKUP(Opv.kohd.[[#This Row],[Y-tunnus]],#REF!,COLUMN(#REF!),FALSE),0)</f>
        <v>0</v>
      </c>
      <c r="P89" s="204">
        <f>Opv.kohd.[[#This Row],[Talousarvion perusteella kohdentamattomat]]+Opv.kohd.[[#This Row],[Talousarvion perusteella työvoimakoulutus 1]]+Opv.kohd.[[#This Row],[Lisätalousarvioiden perusteella]]</f>
        <v>0</v>
      </c>
      <c r="Q89" s="204">
        <f>IFERROR(VLOOKUP(Opv.kohd.[[#This Row],[Y-tunnus]],#REF!,COLUMN(#REF!),FALSE),0)</f>
        <v>0</v>
      </c>
      <c r="R89" s="210">
        <f>IFERROR(VLOOKUP(Opv.kohd.[[#This Row],[Y-tunnus]],#REF!,COLUMN(#REF!),FALSE)-(Opv.kohd.[[#This Row],[Kohdentamaton työvoima-koulutus 2]]+Opv.kohd.[[#This Row],[Maahan-muuttajien koulutus 2]]+Opv.kohd.[[#This Row],[Lisätalousarvioiden perusteella jaetut 2]]),0)</f>
        <v>0</v>
      </c>
      <c r="S89" s="210">
        <f>IFERROR(VLOOKUP(Opv.kohd.[[#This Row],[Y-tunnus]],#REF!,COLUMN(#REF!),FALSE)+VLOOKUP(Opv.kohd.[[#This Row],[Y-tunnus]],#REF!,COLUMN(#REF!),FALSE),0)</f>
        <v>0</v>
      </c>
      <c r="T89" s="210">
        <f>IFERROR(VLOOKUP(Opv.kohd.[[#This Row],[Y-tunnus]],#REF!,COLUMN(#REF!),FALSE)+VLOOKUP(Opv.kohd.[[#This Row],[Y-tunnus]],#REF!,COLUMN(#REF!),FALSE),0)</f>
        <v>0</v>
      </c>
      <c r="U8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89" s="210">
        <f>Opv.kohd.[[#This Row],[Kohdentamat-tomat 2]]+Opv.kohd.[[#This Row],[Kohdentamaton työvoima-koulutus 2]]+Opv.kohd.[[#This Row],[Maahan-muuttajien koulutus 2]]+Opv.kohd.[[#This Row],[Lisätalousarvioiden perusteella jaetut 2]]</f>
        <v>0</v>
      </c>
      <c r="W89" s="210">
        <f>Opv.kohd.[[#This Row],[Kohdentamat-tomat 2]]-(Opv.kohd.[[#This Row],[Järjestämisluvan mukaiset 1]]+Opv.kohd.[[#This Row],[Kohdentamat-tomat 1]]+Opv.kohd.[[#This Row],[Nuorisotyöt. väh. ja osaamistarp. vast., muu kuin työvoima-koulutus 1]]+Opv.kohd.[[#This Row],[Talousarvion perusteella kohdentamattomat]])</f>
        <v>0</v>
      </c>
      <c r="X89" s="210">
        <f>Opv.kohd.[[#This Row],[Kohdentamaton työvoima-koulutus 2]]-(Opv.kohd.[[#This Row],[Työvoima-koulutus 1]]+Opv.kohd.[[#This Row],[Nuorisotyöt. väh. ja osaamistarp. vast., työvoima-koulutus 1]]+Opv.kohd.[[#This Row],[Talousarvion perusteella työvoimakoulutus 1]])</f>
        <v>0</v>
      </c>
      <c r="Y89" s="210">
        <f>Opv.kohd.[[#This Row],[Maahan-muuttajien koulutus 2]]-Opv.kohd.[[#This Row],[Maahan-muuttajien koulutus 1]]</f>
        <v>0</v>
      </c>
      <c r="Z89" s="210">
        <f>Opv.kohd.[[#This Row],[Lisätalousarvioiden perusteella jaetut 2]]-Opv.kohd.[[#This Row],[Lisätalousarvioiden perusteella]]</f>
        <v>0</v>
      </c>
      <c r="AA89" s="210">
        <f>Opv.kohd.[[#This Row],[Toteutuneet opiskelijavuodet yhteensä 2]]-Opv.kohd.[[#This Row],[Vuoden 2018 tavoitteelliset opiskelijavuodet yhteensä 1]]</f>
        <v>0</v>
      </c>
      <c r="AB89" s="207">
        <f>IFERROR(VLOOKUP(Opv.kohd.[[#This Row],[Y-tunnus]],#REF!,3,FALSE),0)</f>
        <v>0</v>
      </c>
      <c r="AC89" s="207">
        <f>IFERROR(VLOOKUP(Opv.kohd.[[#This Row],[Y-tunnus]],#REF!,4,FALSE),0)</f>
        <v>0</v>
      </c>
      <c r="AD89" s="207">
        <f>IFERROR(VLOOKUP(Opv.kohd.[[#This Row],[Y-tunnus]],#REF!,5,FALSE),0)</f>
        <v>0</v>
      </c>
      <c r="AE89" s="207">
        <f>IFERROR(VLOOKUP(Opv.kohd.[[#This Row],[Y-tunnus]],#REF!,6,FALSE),0)</f>
        <v>0</v>
      </c>
      <c r="AF89" s="207">
        <f>IFERROR(VLOOKUP(Opv.kohd.[[#This Row],[Y-tunnus]],#REF!,7,FALSE),0)</f>
        <v>0</v>
      </c>
      <c r="AG89" s="207">
        <f>IFERROR(VLOOKUP(Opv.kohd.[[#This Row],[Y-tunnus]],#REF!,8,FALSE),0)</f>
        <v>0</v>
      </c>
      <c r="AH89" s="207">
        <f>IFERROR(VLOOKUP(Opv.kohd.[[#This Row],[Y-tunnus]],#REF!,9,FALSE),0)</f>
        <v>0</v>
      </c>
      <c r="AI89" s="207">
        <f>IFERROR(VLOOKUP(Opv.kohd.[[#This Row],[Y-tunnus]],#REF!,10,FALSE),0)</f>
        <v>0</v>
      </c>
      <c r="AJ89" s="204">
        <f>Opv.kohd.[[#This Row],[Järjestämisluvan mukaiset 4]]-Opv.kohd.[[#This Row],[Järjestämisluvan mukaiset 1]]</f>
        <v>0</v>
      </c>
      <c r="AK89" s="204">
        <f>Opv.kohd.[[#This Row],[Kohdentamat-tomat 4]]-Opv.kohd.[[#This Row],[Kohdentamat-tomat 1]]</f>
        <v>0</v>
      </c>
      <c r="AL89" s="204">
        <f>Opv.kohd.[[#This Row],[Työvoima-koulutus 4]]-Opv.kohd.[[#This Row],[Työvoima-koulutus 1]]</f>
        <v>0</v>
      </c>
      <c r="AM89" s="204">
        <f>Opv.kohd.[[#This Row],[Maahan-muuttajien koulutus 4]]-Opv.kohd.[[#This Row],[Maahan-muuttajien koulutus 1]]</f>
        <v>0</v>
      </c>
      <c r="AN89" s="204">
        <f>Opv.kohd.[[#This Row],[Nuorisotyöt. väh. ja osaamistarp. vast., muu kuin työvoima-koulutus 4]]-Opv.kohd.[[#This Row],[Nuorisotyöt. väh. ja osaamistarp. vast., muu kuin työvoima-koulutus 1]]</f>
        <v>0</v>
      </c>
      <c r="AO89" s="204">
        <f>Opv.kohd.[[#This Row],[Nuorisotyöt. väh. ja osaamistarp. vast., työvoima-koulutus 4]]-Opv.kohd.[[#This Row],[Nuorisotyöt. väh. ja osaamistarp. vast., työvoima-koulutus 1]]</f>
        <v>0</v>
      </c>
      <c r="AP89" s="204">
        <f>Opv.kohd.[[#This Row],[Yhteensä 4]]-Opv.kohd.[[#This Row],[Yhteensä  1]]</f>
        <v>0</v>
      </c>
      <c r="AQ89" s="204">
        <f>Opv.kohd.[[#This Row],[Ensikertaisella suoritepäätöksellä jaetut tavoitteelliset opiskelijavuodet yhteensä 4]]-Opv.kohd.[[#This Row],[Ensikertaisella suoritepäätöksellä jaetut tavoitteelliset opiskelijavuodet yhteensä 1]]</f>
        <v>0</v>
      </c>
      <c r="AR89" s="208">
        <f>IFERROR(Opv.kohd.[[#This Row],[Järjestämisluvan mukaiset 5]]/Opv.kohd.[[#This Row],[Järjestämisluvan mukaiset 4]],0)</f>
        <v>0</v>
      </c>
      <c r="AS89" s="208">
        <f>IFERROR(Opv.kohd.[[#This Row],[Kohdentamat-tomat 5]]/Opv.kohd.[[#This Row],[Kohdentamat-tomat 4]],0)</f>
        <v>0</v>
      </c>
      <c r="AT89" s="208">
        <f>IFERROR(Opv.kohd.[[#This Row],[Työvoima-koulutus 5]]/Opv.kohd.[[#This Row],[Työvoima-koulutus 4]],0)</f>
        <v>0</v>
      </c>
      <c r="AU89" s="208">
        <f>IFERROR(Opv.kohd.[[#This Row],[Maahan-muuttajien koulutus 5]]/Opv.kohd.[[#This Row],[Maahan-muuttajien koulutus 4]],0)</f>
        <v>0</v>
      </c>
      <c r="AV89" s="208">
        <f>IFERROR(Opv.kohd.[[#This Row],[Nuorisotyöt. väh. ja osaamistarp. vast., muu kuin työvoima-koulutus 5]]/Opv.kohd.[[#This Row],[Nuorisotyöt. väh. ja osaamistarp. vast., muu kuin työvoima-koulutus 4]],0)</f>
        <v>0</v>
      </c>
      <c r="AW89" s="208">
        <f>IFERROR(Opv.kohd.[[#This Row],[Nuorisotyöt. väh. ja osaamistarp. vast., työvoima-koulutus 5]]/Opv.kohd.[[#This Row],[Nuorisotyöt. väh. ja osaamistarp. vast., työvoima-koulutus 4]],0)</f>
        <v>0</v>
      </c>
      <c r="AX89" s="208">
        <f>IFERROR(Opv.kohd.[[#This Row],[Yhteensä 5]]/Opv.kohd.[[#This Row],[Yhteensä 4]],0)</f>
        <v>0</v>
      </c>
      <c r="AY89" s="208">
        <f>IFERROR(Opv.kohd.[[#This Row],[Ensikertaisella suoritepäätöksellä jaetut tavoitteelliset opiskelijavuodet yhteensä 5]]/Opv.kohd.[[#This Row],[Ensikertaisella suoritepäätöksellä jaetut tavoitteelliset opiskelijavuodet yhteensä 4]],0)</f>
        <v>0</v>
      </c>
      <c r="AZ89" s="207">
        <f>Opv.kohd.[[#This Row],[Yhteensä 7a]]-Opv.kohd.[[#This Row],[Työvoima-koulutus 7a]]</f>
        <v>0</v>
      </c>
      <c r="BA89" s="207">
        <f>IFERROR(VLOOKUP(Opv.kohd.[[#This Row],[Y-tunnus]],#REF!,COLUMN(#REF!),FALSE),0)</f>
        <v>0</v>
      </c>
      <c r="BB89" s="207">
        <f>IFERROR(VLOOKUP(Opv.kohd.[[#This Row],[Y-tunnus]],#REF!,COLUMN(#REF!),FALSE),0)</f>
        <v>0</v>
      </c>
      <c r="BC89" s="207">
        <f>Opv.kohd.[[#This Row],[Muu kuin työvoima-koulutus 7c]]-Opv.kohd.[[#This Row],[Muu kuin työvoima-koulutus 7a]]</f>
        <v>0</v>
      </c>
      <c r="BD89" s="207">
        <f>Opv.kohd.[[#This Row],[Työvoima-koulutus 7c]]-Opv.kohd.[[#This Row],[Työvoima-koulutus 7a]]</f>
        <v>0</v>
      </c>
      <c r="BE89" s="207">
        <f>Opv.kohd.[[#This Row],[Yhteensä 7c]]-Opv.kohd.[[#This Row],[Yhteensä 7a]]</f>
        <v>0</v>
      </c>
      <c r="BF89" s="207">
        <f>Opv.kohd.[[#This Row],[Yhteensä 7c]]-Opv.kohd.[[#This Row],[Työvoima-koulutus 7c]]</f>
        <v>0</v>
      </c>
      <c r="BG89" s="207">
        <f>IFERROR(VLOOKUP(Opv.kohd.[[#This Row],[Y-tunnus]],#REF!,COLUMN(#REF!),FALSE),0)</f>
        <v>0</v>
      </c>
      <c r="BH89" s="207">
        <f>IFERROR(VLOOKUP(Opv.kohd.[[#This Row],[Y-tunnus]],#REF!,COLUMN(#REF!),FALSE),0)</f>
        <v>0</v>
      </c>
      <c r="BI89" s="207">
        <f>IFERROR(VLOOKUP(Opv.kohd.[[#This Row],[Y-tunnus]],#REF!,COLUMN(#REF!),FALSE),0)</f>
        <v>0</v>
      </c>
      <c r="BJ89" s="207">
        <f>IFERROR(VLOOKUP(Opv.kohd.[[#This Row],[Y-tunnus]],#REF!,COLUMN(#REF!),FALSE),0)</f>
        <v>0</v>
      </c>
      <c r="BK89" s="207">
        <f>Opv.kohd.[[#This Row],[Muu kuin työvoima-koulutus 7d]]+Opv.kohd.[[#This Row],[Työvoima-koulutus 7d]]</f>
        <v>0</v>
      </c>
      <c r="BL89" s="207">
        <f>Opv.kohd.[[#This Row],[Muu kuin työvoima-koulutus 7c]]-Opv.kohd.[[#This Row],[Muu kuin työvoima-koulutus 7d]]</f>
        <v>0</v>
      </c>
      <c r="BM89" s="207">
        <f>Opv.kohd.[[#This Row],[Työvoima-koulutus 7c]]-Opv.kohd.[[#This Row],[Työvoima-koulutus 7d]]</f>
        <v>0</v>
      </c>
      <c r="BN89" s="207">
        <f>Opv.kohd.[[#This Row],[Yhteensä 7c]]-Opv.kohd.[[#This Row],[Yhteensä 7d]]</f>
        <v>0</v>
      </c>
      <c r="BO89" s="207">
        <f>Opv.kohd.[[#This Row],[Muu kuin työvoima-koulutus 7e]]-(Opv.kohd.[[#This Row],[Järjestämisluvan mukaiset 4]]+Opv.kohd.[[#This Row],[Kohdentamat-tomat 4]]+Opv.kohd.[[#This Row],[Maahan-muuttajien koulutus 4]]+Opv.kohd.[[#This Row],[Nuorisotyöt. väh. ja osaamistarp. vast., muu kuin työvoima-koulutus 4]])</f>
        <v>0</v>
      </c>
      <c r="BP89" s="207">
        <f>Opv.kohd.[[#This Row],[Työvoima-koulutus 7e]]-(Opv.kohd.[[#This Row],[Työvoima-koulutus 4]]+Opv.kohd.[[#This Row],[Nuorisotyöt. väh. ja osaamistarp. vast., työvoima-koulutus 4]])</f>
        <v>0</v>
      </c>
      <c r="BQ89" s="207">
        <f>Opv.kohd.[[#This Row],[Yhteensä 7e]]-Opv.kohd.[[#This Row],[Ensikertaisella suoritepäätöksellä jaetut tavoitteelliset opiskelijavuodet yhteensä 4]]</f>
        <v>0</v>
      </c>
      <c r="BR89" s="263">
        <v>153</v>
      </c>
      <c r="BS89" s="263">
        <v>15</v>
      </c>
      <c r="BT89" s="263">
        <v>50</v>
      </c>
      <c r="BU89" s="263">
        <v>8</v>
      </c>
      <c r="BV89" s="263">
        <v>2</v>
      </c>
      <c r="BW89" s="263">
        <v>0</v>
      </c>
      <c r="BX89" s="263">
        <v>75</v>
      </c>
      <c r="BY89" s="263">
        <v>228</v>
      </c>
      <c r="BZ89" s="207">
        <f t="shared" si="17"/>
        <v>153</v>
      </c>
      <c r="CA89" s="207">
        <f t="shared" si="18"/>
        <v>15</v>
      </c>
      <c r="CB89" s="207">
        <f t="shared" si="19"/>
        <v>50</v>
      </c>
      <c r="CC89" s="207">
        <f t="shared" si="20"/>
        <v>8</v>
      </c>
      <c r="CD89" s="207">
        <f t="shared" si="21"/>
        <v>2</v>
      </c>
      <c r="CE89" s="207">
        <f t="shared" si="22"/>
        <v>0</v>
      </c>
      <c r="CF89" s="207">
        <f t="shared" si="23"/>
        <v>75</v>
      </c>
      <c r="CG89" s="207">
        <f t="shared" si="24"/>
        <v>228</v>
      </c>
      <c r="CH89" s="207">
        <f>Opv.kohd.[[#This Row],[Tavoitteelliset opiskelijavuodet yhteensä 9]]-Opv.kohd.[[#This Row],[Työvoima-koulutus 9]]-Opv.kohd.[[#This Row],[Nuorisotyöt. väh. ja osaamistarp. vast., työvoima-koulutus 9]]-Opv.kohd.[[#This Row],[Muu kuin työvoima-koulutus 7e]]</f>
        <v>178</v>
      </c>
      <c r="CI89" s="207">
        <f>(Opv.kohd.[[#This Row],[Työvoima-koulutus 9]]+Opv.kohd.[[#This Row],[Nuorisotyöt. väh. ja osaamistarp. vast., työvoima-koulutus 9]])-Opv.kohd.[[#This Row],[Työvoima-koulutus 7e]]</f>
        <v>50</v>
      </c>
      <c r="CJ89" s="207">
        <f>Opv.kohd.[[#This Row],[Tavoitteelliset opiskelijavuodet yhteensä 9]]-Opv.kohd.[[#This Row],[Yhteensä 7e]]</f>
        <v>228</v>
      </c>
      <c r="CK89" s="207">
        <f>Opv.kohd.[[#This Row],[Järjestämisluvan mukaiset 4]]+Opv.kohd.[[#This Row],[Järjestämisluvan mukaiset 13]]</f>
        <v>0</v>
      </c>
      <c r="CL89" s="207">
        <f>Opv.kohd.[[#This Row],[Kohdentamat-tomat 4]]+Opv.kohd.[[#This Row],[Kohdentamat-tomat 13]]</f>
        <v>0</v>
      </c>
      <c r="CM89" s="207">
        <f>Opv.kohd.[[#This Row],[Työvoima-koulutus 4]]+Opv.kohd.[[#This Row],[Työvoima-koulutus 13]]</f>
        <v>0</v>
      </c>
      <c r="CN89" s="207">
        <f>Opv.kohd.[[#This Row],[Maahan-muuttajien koulutus 4]]+Opv.kohd.[[#This Row],[Maahan-muuttajien koulutus 13]]</f>
        <v>0</v>
      </c>
      <c r="CO89" s="207">
        <f>Opv.kohd.[[#This Row],[Nuorisotyöt. väh. ja osaamistarp. vast., muu kuin työvoima-koulutus 4]]+Opv.kohd.[[#This Row],[Nuorisotyöt. väh. ja osaamistarp. vast., muu kuin työvoima-koulutus 13]]</f>
        <v>0</v>
      </c>
      <c r="CP89" s="207">
        <f>Opv.kohd.[[#This Row],[Nuorisotyöt. väh. ja osaamistarp. vast., työvoima-koulutus 4]]+Opv.kohd.[[#This Row],[Nuorisotyöt. väh. ja osaamistarp. vast., työvoima-koulutus 13]]</f>
        <v>0</v>
      </c>
      <c r="CQ89" s="207">
        <f>Opv.kohd.[[#This Row],[Yhteensä 4]]+Opv.kohd.[[#This Row],[Yhteensä 13]]</f>
        <v>0</v>
      </c>
      <c r="CR89" s="207">
        <f>Opv.kohd.[[#This Row],[Ensikertaisella suoritepäätöksellä jaetut tavoitteelliset opiskelijavuodet yhteensä 4]]+Opv.kohd.[[#This Row],[Tavoitteelliset opiskelijavuodet yhteensä 13]]</f>
        <v>0</v>
      </c>
      <c r="CS89" s="120">
        <v>0</v>
      </c>
      <c r="CT89" s="120">
        <v>0</v>
      </c>
      <c r="CU89" s="120">
        <v>0</v>
      </c>
      <c r="CV89" s="120">
        <v>0</v>
      </c>
      <c r="CW89" s="120">
        <v>0</v>
      </c>
      <c r="CX89" s="120">
        <v>0</v>
      </c>
      <c r="CY89" s="120">
        <v>0</v>
      </c>
      <c r="CZ89" s="120">
        <v>0</v>
      </c>
      <c r="DA89" s="209">
        <f>IFERROR(Opv.kohd.[[#This Row],[Järjestämisluvan mukaiset 13]]/Opv.kohd.[[#This Row],[Järjestämisluvan mukaiset 12]],0)</f>
        <v>0</v>
      </c>
      <c r="DB89" s="209">
        <f>IFERROR(Opv.kohd.[[#This Row],[Kohdentamat-tomat 13]]/Opv.kohd.[[#This Row],[Kohdentamat-tomat 12]],0)</f>
        <v>0</v>
      </c>
      <c r="DC89" s="209">
        <f>IFERROR(Opv.kohd.[[#This Row],[Työvoima-koulutus 13]]/Opv.kohd.[[#This Row],[Työvoima-koulutus 12]],0)</f>
        <v>0</v>
      </c>
      <c r="DD89" s="209">
        <f>IFERROR(Opv.kohd.[[#This Row],[Maahan-muuttajien koulutus 13]]/Opv.kohd.[[#This Row],[Maahan-muuttajien koulutus 12]],0)</f>
        <v>0</v>
      </c>
      <c r="DE89" s="209">
        <f>IFERROR(Opv.kohd.[[#This Row],[Nuorisotyöt. väh. ja osaamistarp. vast., muu kuin työvoima-koulutus 13]]/Opv.kohd.[[#This Row],[Nuorisotyöt. väh. ja osaamistarp. vast., muu kuin työvoima-koulutus 12]],0)</f>
        <v>0</v>
      </c>
      <c r="DF89" s="209">
        <f>IFERROR(Opv.kohd.[[#This Row],[Nuorisotyöt. väh. ja osaamistarp. vast., työvoima-koulutus 13]]/Opv.kohd.[[#This Row],[Nuorisotyöt. väh. ja osaamistarp. vast., työvoima-koulutus 12]],0)</f>
        <v>0</v>
      </c>
      <c r="DG89" s="209">
        <f>IFERROR(Opv.kohd.[[#This Row],[Yhteensä 13]]/Opv.kohd.[[#This Row],[Yhteensä 12]],0)</f>
        <v>0</v>
      </c>
      <c r="DH89" s="209">
        <f>IFERROR(Opv.kohd.[[#This Row],[Tavoitteelliset opiskelijavuodet yhteensä 13]]/Opv.kohd.[[#This Row],[Tavoitteelliset opiskelijavuodet yhteensä 12]],0)</f>
        <v>0</v>
      </c>
      <c r="DI89" s="207">
        <f>Opv.kohd.[[#This Row],[Järjestämisluvan mukaiset 12]]-Opv.kohd.[[#This Row],[Järjestämisluvan mukaiset 9]]</f>
        <v>-153</v>
      </c>
      <c r="DJ89" s="207">
        <f>Opv.kohd.[[#This Row],[Kohdentamat-tomat 12]]-Opv.kohd.[[#This Row],[Kohdentamat-tomat 9]]</f>
        <v>-15</v>
      </c>
      <c r="DK89" s="207">
        <f>Opv.kohd.[[#This Row],[Työvoima-koulutus 12]]-Opv.kohd.[[#This Row],[Työvoima-koulutus 9]]</f>
        <v>-50</v>
      </c>
      <c r="DL89" s="207">
        <f>Opv.kohd.[[#This Row],[Maahan-muuttajien koulutus 12]]-Opv.kohd.[[#This Row],[Maahan-muuttajien koulutus 9]]</f>
        <v>-8</v>
      </c>
      <c r="DM89" s="207">
        <f>Opv.kohd.[[#This Row],[Nuorisotyöt. väh. ja osaamistarp. vast., muu kuin työvoima-koulutus 12]]-Opv.kohd.[[#This Row],[Nuorisotyöt. väh. ja osaamistarp. vast., muu kuin työvoima-koulutus 9]]</f>
        <v>-2</v>
      </c>
      <c r="DN89" s="207">
        <f>Opv.kohd.[[#This Row],[Nuorisotyöt. väh. ja osaamistarp. vast., työvoima-koulutus 12]]-Opv.kohd.[[#This Row],[Nuorisotyöt. väh. ja osaamistarp. vast., työvoima-koulutus 9]]</f>
        <v>0</v>
      </c>
      <c r="DO89" s="207">
        <f>Opv.kohd.[[#This Row],[Yhteensä 12]]-Opv.kohd.[[#This Row],[Yhteensä 9]]</f>
        <v>-75</v>
      </c>
      <c r="DP89" s="207">
        <f>Opv.kohd.[[#This Row],[Tavoitteelliset opiskelijavuodet yhteensä 12]]-Opv.kohd.[[#This Row],[Tavoitteelliset opiskelijavuodet yhteensä 9]]</f>
        <v>-228</v>
      </c>
      <c r="DQ89" s="209">
        <f>IFERROR(Opv.kohd.[[#This Row],[Järjestämisluvan mukaiset 15]]/Opv.kohd.[[#This Row],[Järjestämisluvan mukaiset 9]],0)</f>
        <v>-1</v>
      </c>
      <c r="DR89" s="209">
        <f t="shared" si="25"/>
        <v>0</v>
      </c>
      <c r="DS89" s="209">
        <f t="shared" si="26"/>
        <v>0</v>
      </c>
      <c r="DT89" s="209">
        <f t="shared" si="27"/>
        <v>0</v>
      </c>
      <c r="DU89" s="209">
        <f t="shared" si="28"/>
        <v>0</v>
      </c>
      <c r="DV89" s="209">
        <f t="shared" si="29"/>
        <v>0</v>
      </c>
      <c r="DW89" s="209">
        <f t="shared" si="30"/>
        <v>0</v>
      </c>
      <c r="DX89" s="209">
        <f t="shared" si="31"/>
        <v>0</v>
      </c>
    </row>
    <row r="90" spans="1:128" x14ac:dyDescent="0.25">
      <c r="A90" s="204" t="e">
        <f>IF(INDEX(#REF!,ROW(90:90)-1,1)=0,"",INDEX(#REF!,ROW(90:90)-1,1))</f>
        <v>#REF!</v>
      </c>
      <c r="B90" s="205" t="str">
        <f>IFERROR(VLOOKUP(Opv.kohd.[[#This Row],[Y-tunnus]],'0 Järjestäjätiedot'!$A:$H,2,FALSE),"")</f>
        <v/>
      </c>
      <c r="C90" s="204" t="str">
        <f>IFERROR(VLOOKUP(Opv.kohd.[[#This Row],[Y-tunnus]],'0 Järjestäjätiedot'!$A:$H,COLUMN('0 Järjestäjätiedot'!D:D),FALSE),"")</f>
        <v/>
      </c>
      <c r="D90" s="204" t="str">
        <f>IFERROR(VLOOKUP(Opv.kohd.[[#This Row],[Y-tunnus]],'0 Järjestäjätiedot'!$A:$H,COLUMN('0 Järjestäjätiedot'!H:H),FALSE),"")</f>
        <v/>
      </c>
      <c r="E90" s="204">
        <f>IFERROR(VLOOKUP(Opv.kohd.[[#This Row],[Y-tunnus]],#REF!,COLUMN(#REF!),FALSE),0)</f>
        <v>0</v>
      </c>
      <c r="F90" s="204">
        <f>IFERROR(VLOOKUP(Opv.kohd.[[#This Row],[Y-tunnus]],#REF!,COLUMN(#REF!),FALSE),0)</f>
        <v>0</v>
      </c>
      <c r="G90" s="204">
        <f>IFERROR(VLOOKUP(Opv.kohd.[[#This Row],[Y-tunnus]],#REF!,COLUMN(#REF!),FALSE),0)</f>
        <v>0</v>
      </c>
      <c r="H90" s="204">
        <f>IFERROR(VLOOKUP(Opv.kohd.[[#This Row],[Y-tunnus]],#REF!,COLUMN(#REF!),FALSE),0)</f>
        <v>0</v>
      </c>
      <c r="I90" s="204">
        <f>IFERROR(VLOOKUP(Opv.kohd.[[#This Row],[Y-tunnus]],#REF!,COLUMN(#REF!),FALSE),0)</f>
        <v>0</v>
      </c>
      <c r="J90" s="204">
        <f>IFERROR(VLOOKUP(Opv.kohd.[[#This Row],[Y-tunnus]],#REF!,COLUMN(#REF!),FALSE),0)</f>
        <v>0</v>
      </c>
      <c r="K9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90" s="204">
        <f>Opv.kohd.[[#This Row],[Järjestämisluvan mukaiset 1]]+Opv.kohd.[[#This Row],[Yhteensä  1]]</f>
        <v>0</v>
      </c>
      <c r="M90" s="204">
        <f>IFERROR(VLOOKUP(Opv.kohd.[[#This Row],[Y-tunnus]],#REF!,COLUMN(#REF!),FALSE),0)</f>
        <v>0</v>
      </c>
      <c r="N90" s="204">
        <f>IFERROR(VLOOKUP(Opv.kohd.[[#This Row],[Y-tunnus]],#REF!,COLUMN(#REF!),FALSE),0)</f>
        <v>0</v>
      </c>
      <c r="O90" s="204">
        <f>IFERROR(VLOOKUP(Opv.kohd.[[#This Row],[Y-tunnus]],#REF!,COLUMN(#REF!),FALSE)+VLOOKUP(Opv.kohd.[[#This Row],[Y-tunnus]],#REF!,COLUMN(#REF!),FALSE),0)</f>
        <v>0</v>
      </c>
      <c r="P90" s="204">
        <f>Opv.kohd.[[#This Row],[Talousarvion perusteella kohdentamattomat]]+Opv.kohd.[[#This Row],[Talousarvion perusteella työvoimakoulutus 1]]+Opv.kohd.[[#This Row],[Lisätalousarvioiden perusteella]]</f>
        <v>0</v>
      </c>
      <c r="Q90" s="204">
        <f>IFERROR(VLOOKUP(Opv.kohd.[[#This Row],[Y-tunnus]],#REF!,COLUMN(#REF!),FALSE),0)</f>
        <v>0</v>
      </c>
      <c r="R90" s="210">
        <f>IFERROR(VLOOKUP(Opv.kohd.[[#This Row],[Y-tunnus]],#REF!,COLUMN(#REF!),FALSE)-(Opv.kohd.[[#This Row],[Kohdentamaton työvoima-koulutus 2]]+Opv.kohd.[[#This Row],[Maahan-muuttajien koulutus 2]]+Opv.kohd.[[#This Row],[Lisätalousarvioiden perusteella jaetut 2]]),0)</f>
        <v>0</v>
      </c>
      <c r="S90" s="210">
        <f>IFERROR(VLOOKUP(Opv.kohd.[[#This Row],[Y-tunnus]],#REF!,COLUMN(#REF!),FALSE)+VLOOKUP(Opv.kohd.[[#This Row],[Y-tunnus]],#REF!,COLUMN(#REF!),FALSE),0)</f>
        <v>0</v>
      </c>
      <c r="T90" s="210">
        <f>IFERROR(VLOOKUP(Opv.kohd.[[#This Row],[Y-tunnus]],#REF!,COLUMN(#REF!),FALSE)+VLOOKUP(Opv.kohd.[[#This Row],[Y-tunnus]],#REF!,COLUMN(#REF!),FALSE),0)</f>
        <v>0</v>
      </c>
      <c r="U9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90" s="210">
        <f>Opv.kohd.[[#This Row],[Kohdentamat-tomat 2]]+Opv.kohd.[[#This Row],[Kohdentamaton työvoima-koulutus 2]]+Opv.kohd.[[#This Row],[Maahan-muuttajien koulutus 2]]+Opv.kohd.[[#This Row],[Lisätalousarvioiden perusteella jaetut 2]]</f>
        <v>0</v>
      </c>
      <c r="W90" s="210">
        <f>Opv.kohd.[[#This Row],[Kohdentamat-tomat 2]]-(Opv.kohd.[[#This Row],[Järjestämisluvan mukaiset 1]]+Opv.kohd.[[#This Row],[Kohdentamat-tomat 1]]+Opv.kohd.[[#This Row],[Nuorisotyöt. väh. ja osaamistarp. vast., muu kuin työvoima-koulutus 1]]+Opv.kohd.[[#This Row],[Talousarvion perusteella kohdentamattomat]])</f>
        <v>0</v>
      </c>
      <c r="X90" s="210">
        <f>Opv.kohd.[[#This Row],[Kohdentamaton työvoima-koulutus 2]]-(Opv.kohd.[[#This Row],[Työvoima-koulutus 1]]+Opv.kohd.[[#This Row],[Nuorisotyöt. väh. ja osaamistarp. vast., työvoima-koulutus 1]]+Opv.kohd.[[#This Row],[Talousarvion perusteella työvoimakoulutus 1]])</f>
        <v>0</v>
      </c>
      <c r="Y90" s="210">
        <f>Opv.kohd.[[#This Row],[Maahan-muuttajien koulutus 2]]-Opv.kohd.[[#This Row],[Maahan-muuttajien koulutus 1]]</f>
        <v>0</v>
      </c>
      <c r="Z90" s="210">
        <f>Opv.kohd.[[#This Row],[Lisätalousarvioiden perusteella jaetut 2]]-Opv.kohd.[[#This Row],[Lisätalousarvioiden perusteella]]</f>
        <v>0</v>
      </c>
      <c r="AA90" s="210">
        <f>Opv.kohd.[[#This Row],[Toteutuneet opiskelijavuodet yhteensä 2]]-Opv.kohd.[[#This Row],[Vuoden 2018 tavoitteelliset opiskelijavuodet yhteensä 1]]</f>
        <v>0</v>
      </c>
      <c r="AB90" s="207">
        <f>IFERROR(VLOOKUP(Opv.kohd.[[#This Row],[Y-tunnus]],#REF!,3,FALSE),0)</f>
        <v>0</v>
      </c>
      <c r="AC90" s="207">
        <f>IFERROR(VLOOKUP(Opv.kohd.[[#This Row],[Y-tunnus]],#REF!,4,FALSE),0)</f>
        <v>0</v>
      </c>
      <c r="AD90" s="207">
        <f>IFERROR(VLOOKUP(Opv.kohd.[[#This Row],[Y-tunnus]],#REF!,5,FALSE),0)</f>
        <v>0</v>
      </c>
      <c r="AE90" s="207">
        <f>IFERROR(VLOOKUP(Opv.kohd.[[#This Row],[Y-tunnus]],#REF!,6,FALSE),0)</f>
        <v>0</v>
      </c>
      <c r="AF90" s="207">
        <f>IFERROR(VLOOKUP(Opv.kohd.[[#This Row],[Y-tunnus]],#REF!,7,FALSE),0)</f>
        <v>0</v>
      </c>
      <c r="AG90" s="207">
        <f>IFERROR(VLOOKUP(Opv.kohd.[[#This Row],[Y-tunnus]],#REF!,8,FALSE),0)</f>
        <v>0</v>
      </c>
      <c r="AH90" s="207">
        <f>IFERROR(VLOOKUP(Opv.kohd.[[#This Row],[Y-tunnus]],#REF!,9,FALSE),0)</f>
        <v>0</v>
      </c>
      <c r="AI90" s="207">
        <f>IFERROR(VLOOKUP(Opv.kohd.[[#This Row],[Y-tunnus]],#REF!,10,FALSE),0)</f>
        <v>0</v>
      </c>
      <c r="AJ90" s="204">
        <f>Opv.kohd.[[#This Row],[Järjestämisluvan mukaiset 4]]-Opv.kohd.[[#This Row],[Järjestämisluvan mukaiset 1]]</f>
        <v>0</v>
      </c>
      <c r="AK90" s="204">
        <f>Opv.kohd.[[#This Row],[Kohdentamat-tomat 4]]-Opv.kohd.[[#This Row],[Kohdentamat-tomat 1]]</f>
        <v>0</v>
      </c>
      <c r="AL90" s="204">
        <f>Opv.kohd.[[#This Row],[Työvoima-koulutus 4]]-Opv.kohd.[[#This Row],[Työvoima-koulutus 1]]</f>
        <v>0</v>
      </c>
      <c r="AM90" s="204">
        <f>Opv.kohd.[[#This Row],[Maahan-muuttajien koulutus 4]]-Opv.kohd.[[#This Row],[Maahan-muuttajien koulutus 1]]</f>
        <v>0</v>
      </c>
      <c r="AN90" s="204">
        <f>Opv.kohd.[[#This Row],[Nuorisotyöt. väh. ja osaamistarp. vast., muu kuin työvoima-koulutus 4]]-Opv.kohd.[[#This Row],[Nuorisotyöt. väh. ja osaamistarp. vast., muu kuin työvoima-koulutus 1]]</f>
        <v>0</v>
      </c>
      <c r="AO90" s="204">
        <f>Opv.kohd.[[#This Row],[Nuorisotyöt. väh. ja osaamistarp. vast., työvoima-koulutus 4]]-Opv.kohd.[[#This Row],[Nuorisotyöt. väh. ja osaamistarp. vast., työvoima-koulutus 1]]</f>
        <v>0</v>
      </c>
      <c r="AP90" s="204">
        <f>Opv.kohd.[[#This Row],[Yhteensä 4]]-Opv.kohd.[[#This Row],[Yhteensä  1]]</f>
        <v>0</v>
      </c>
      <c r="AQ90" s="204">
        <f>Opv.kohd.[[#This Row],[Ensikertaisella suoritepäätöksellä jaetut tavoitteelliset opiskelijavuodet yhteensä 4]]-Opv.kohd.[[#This Row],[Ensikertaisella suoritepäätöksellä jaetut tavoitteelliset opiskelijavuodet yhteensä 1]]</f>
        <v>0</v>
      </c>
      <c r="AR90" s="208">
        <f>IFERROR(Opv.kohd.[[#This Row],[Järjestämisluvan mukaiset 5]]/Opv.kohd.[[#This Row],[Järjestämisluvan mukaiset 4]],0)</f>
        <v>0</v>
      </c>
      <c r="AS90" s="208">
        <f>IFERROR(Opv.kohd.[[#This Row],[Kohdentamat-tomat 5]]/Opv.kohd.[[#This Row],[Kohdentamat-tomat 4]],0)</f>
        <v>0</v>
      </c>
      <c r="AT90" s="208">
        <f>IFERROR(Opv.kohd.[[#This Row],[Työvoima-koulutus 5]]/Opv.kohd.[[#This Row],[Työvoima-koulutus 4]],0)</f>
        <v>0</v>
      </c>
      <c r="AU90" s="208">
        <f>IFERROR(Opv.kohd.[[#This Row],[Maahan-muuttajien koulutus 5]]/Opv.kohd.[[#This Row],[Maahan-muuttajien koulutus 4]],0)</f>
        <v>0</v>
      </c>
      <c r="AV90" s="208">
        <f>IFERROR(Opv.kohd.[[#This Row],[Nuorisotyöt. väh. ja osaamistarp. vast., muu kuin työvoima-koulutus 5]]/Opv.kohd.[[#This Row],[Nuorisotyöt. väh. ja osaamistarp. vast., muu kuin työvoima-koulutus 4]],0)</f>
        <v>0</v>
      </c>
      <c r="AW90" s="208">
        <f>IFERROR(Opv.kohd.[[#This Row],[Nuorisotyöt. väh. ja osaamistarp. vast., työvoima-koulutus 5]]/Opv.kohd.[[#This Row],[Nuorisotyöt. väh. ja osaamistarp. vast., työvoima-koulutus 4]],0)</f>
        <v>0</v>
      </c>
      <c r="AX90" s="208">
        <f>IFERROR(Opv.kohd.[[#This Row],[Yhteensä 5]]/Opv.kohd.[[#This Row],[Yhteensä 4]],0)</f>
        <v>0</v>
      </c>
      <c r="AY90" s="208">
        <f>IFERROR(Opv.kohd.[[#This Row],[Ensikertaisella suoritepäätöksellä jaetut tavoitteelliset opiskelijavuodet yhteensä 5]]/Opv.kohd.[[#This Row],[Ensikertaisella suoritepäätöksellä jaetut tavoitteelliset opiskelijavuodet yhteensä 4]],0)</f>
        <v>0</v>
      </c>
      <c r="AZ90" s="207">
        <f>Opv.kohd.[[#This Row],[Yhteensä 7a]]-Opv.kohd.[[#This Row],[Työvoima-koulutus 7a]]</f>
        <v>0</v>
      </c>
      <c r="BA90" s="207">
        <f>IFERROR(VLOOKUP(Opv.kohd.[[#This Row],[Y-tunnus]],#REF!,COLUMN(#REF!),FALSE),0)</f>
        <v>0</v>
      </c>
      <c r="BB90" s="207">
        <f>IFERROR(VLOOKUP(Opv.kohd.[[#This Row],[Y-tunnus]],#REF!,COLUMN(#REF!),FALSE),0)</f>
        <v>0</v>
      </c>
      <c r="BC90" s="207">
        <f>Opv.kohd.[[#This Row],[Muu kuin työvoima-koulutus 7c]]-Opv.kohd.[[#This Row],[Muu kuin työvoima-koulutus 7a]]</f>
        <v>0</v>
      </c>
      <c r="BD90" s="207">
        <f>Opv.kohd.[[#This Row],[Työvoima-koulutus 7c]]-Opv.kohd.[[#This Row],[Työvoima-koulutus 7a]]</f>
        <v>0</v>
      </c>
      <c r="BE90" s="207">
        <f>Opv.kohd.[[#This Row],[Yhteensä 7c]]-Opv.kohd.[[#This Row],[Yhteensä 7a]]</f>
        <v>0</v>
      </c>
      <c r="BF90" s="207">
        <f>Opv.kohd.[[#This Row],[Yhteensä 7c]]-Opv.kohd.[[#This Row],[Työvoima-koulutus 7c]]</f>
        <v>0</v>
      </c>
      <c r="BG90" s="207">
        <f>IFERROR(VLOOKUP(Opv.kohd.[[#This Row],[Y-tunnus]],#REF!,COLUMN(#REF!),FALSE),0)</f>
        <v>0</v>
      </c>
      <c r="BH90" s="207">
        <f>IFERROR(VLOOKUP(Opv.kohd.[[#This Row],[Y-tunnus]],#REF!,COLUMN(#REF!),FALSE),0)</f>
        <v>0</v>
      </c>
      <c r="BI90" s="207">
        <f>IFERROR(VLOOKUP(Opv.kohd.[[#This Row],[Y-tunnus]],#REF!,COLUMN(#REF!),FALSE),0)</f>
        <v>0</v>
      </c>
      <c r="BJ90" s="207">
        <f>IFERROR(VLOOKUP(Opv.kohd.[[#This Row],[Y-tunnus]],#REF!,COLUMN(#REF!),FALSE),0)</f>
        <v>0</v>
      </c>
      <c r="BK90" s="207">
        <f>Opv.kohd.[[#This Row],[Muu kuin työvoima-koulutus 7d]]+Opv.kohd.[[#This Row],[Työvoima-koulutus 7d]]</f>
        <v>0</v>
      </c>
      <c r="BL90" s="207">
        <f>Opv.kohd.[[#This Row],[Muu kuin työvoima-koulutus 7c]]-Opv.kohd.[[#This Row],[Muu kuin työvoima-koulutus 7d]]</f>
        <v>0</v>
      </c>
      <c r="BM90" s="207">
        <f>Opv.kohd.[[#This Row],[Työvoima-koulutus 7c]]-Opv.kohd.[[#This Row],[Työvoima-koulutus 7d]]</f>
        <v>0</v>
      </c>
      <c r="BN90" s="207">
        <f>Opv.kohd.[[#This Row],[Yhteensä 7c]]-Opv.kohd.[[#This Row],[Yhteensä 7d]]</f>
        <v>0</v>
      </c>
      <c r="BO90" s="207">
        <f>Opv.kohd.[[#This Row],[Muu kuin työvoima-koulutus 7e]]-(Opv.kohd.[[#This Row],[Järjestämisluvan mukaiset 4]]+Opv.kohd.[[#This Row],[Kohdentamat-tomat 4]]+Opv.kohd.[[#This Row],[Maahan-muuttajien koulutus 4]]+Opv.kohd.[[#This Row],[Nuorisotyöt. väh. ja osaamistarp. vast., muu kuin työvoima-koulutus 4]])</f>
        <v>0</v>
      </c>
      <c r="BP90" s="207">
        <f>Opv.kohd.[[#This Row],[Työvoima-koulutus 7e]]-(Opv.kohd.[[#This Row],[Työvoima-koulutus 4]]+Opv.kohd.[[#This Row],[Nuorisotyöt. väh. ja osaamistarp. vast., työvoima-koulutus 4]])</f>
        <v>0</v>
      </c>
      <c r="BQ90" s="207">
        <f>Opv.kohd.[[#This Row],[Yhteensä 7e]]-Opv.kohd.[[#This Row],[Ensikertaisella suoritepäätöksellä jaetut tavoitteelliset opiskelijavuodet yhteensä 4]]</f>
        <v>0</v>
      </c>
      <c r="BR90" s="263">
        <v>0</v>
      </c>
      <c r="BS90" s="263">
        <v>8</v>
      </c>
      <c r="BT90" s="263">
        <v>17</v>
      </c>
      <c r="BU90" s="263">
        <v>0</v>
      </c>
      <c r="BV90" s="263">
        <v>0</v>
      </c>
      <c r="BW90" s="263">
        <v>0</v>
      </c>
      <c r="BX90" s="263">
        <v>25</v>
      </c>
      <c r="BY90" s="263">
        <v>25</v>
      </c>
      <c r="BZ90" s="207">
        <f t="shared" si="17"/>
        <v>0</v>
      </c>
      <c r="CA90" s="207">
        <f t="shared" si="18"/>
        <v>8</v>
      </c>
      <c r="CB90" s="207">
        <f t="shared" si="19"/>
        <v>17</v>
      </c>
      <c r="CC90" s="207">
        <f t="shared" si="20"/>
        <v>0</v>
      </c>
      <c r="CD90" s="207">
        <f t="shared" si="21"/>
        <v>0</v>
      </c>
      <c r="CE90" s="207">
        <f t="shared" si="22"/>
        <v>0</v>
      </c>
      <c r="CF90" s="207">
        <f t="shared" si="23"/>
        <v>25</v>
      </c>
      <c r="CG90" s="207">
        <f t="shared" si="24"/>
        <v>25</v>
      </c>
      <c r="CH90" s="207">
        <f>Opv.kohd.[[#This Row],[Tavoitteelliset opiskelijavuodet yhteensä 9]]-Opv.kohd.[[#This Row],[Työvoima-koulutus 9]]-Opv.kohd.[[#This Row],[Nuorisotyöt. väh. ja osaamistarp. vast., työvoima-koulutus 9]]-Opv.kohd.[[#This Row],[Muu kuin työvoima-koulutus 7e]]</f>
        <v>8</v>
      </c>
      <c r="CI90" s="207">
        <f>(Opv.kohd.[[#This Row],[Työvoima-koulutus 9]]+Opv.kohd.[[#This Row],[Nuorisotyöt. väh. ja osaamistarp. vast., työvoima-koulutus 9]])-Opv.kohd.[[#This Row],[Työvoima-koulutus 7e]]</f>
        <v>17</v>
      </c>
      <c r="CJ90" s="207">
        <f>Opv.kohd.[[#This Row],[Tavoitteelliset opiskelijavuodet yhteensä 9]]-Opv.kohd.[[#This Row],[Yhteensä 7e]]</f>
        <v>25</v>
      </c>
      <c r="CK90" s="207">
        <f>Opv.kohd.[[#This Row],[Järjestämisluvan mukaiset 4]]+Opv.kohd.[[#This Row],[Järjestämisluvan mukaiset 13]]</f>
        <v>0</v>
      </c>
      <c r="CL90" s="207">
        <f>Opv.kohd.[[#This Row],[Kohdentamat-tomat 4]]+Opv.kohd.[[#This Row],[Kohdentamat-tomat 13]]</f>
        <v>0</v>
      </c>
      <c r="CM90" s="207">
        <f>Opv.kohd.[[#This Row],[Työvoima-koulutus 4]]+Opv.kohd.[[#This Row],[Työvoima-koulutus 13]]</f>
        <v>0</v>
      </c>
      <c r="CN90" s="207">
        <f>Opv.kohd.[[#This Row],[Maahan-muuttajien koulutus 4]]+Opv.kohd.[[#This Row],[Maahan-muuttajien koulutus 13]]</f>
        <v>0</v>
      </c>
      <c r="CO90" s="207">
        <f>Opv.kohd.[[#This Row],[Nuorisotyöt. väh. ja osaamistarp. vast., muu kuin työvoima-koulutus 4]]+Opv.kohd.[[#This Row],[Nuorisotyöt. väh. ja osaamistarp. vast., muu kuin työvoima-koulutus 13]]</f>
        <v>0</v>
      </c>
      <c r="CP90" s="207">
        <f>Opv.kohd.[[#This Row],[Nuorisotyöt. väh. ja osaamistarp. vast., työvoima-koulutus 4]]+Opv.kohd.[[#This Row],[Nuorisotyöt. väh. ja osaamistarp. vast., työvoima-koulutus 13]]</f>
        <v>0</v>
      </c>
      <c r="CQ90" s="207">
        <f>Opv.kohd.[[#This Row],[Yhteensä 4]]+Opv.kohd.[[#This Row],[Yhteensä 13]]</f>
        <v>0</v>
      </c>
      <c r="CR90" s="207">
        <f>Opv.kohd.[[#This Row],[Ensikertaisella suoritepäätöksellä jaetut tavoitteelliset opiskelijavuodet yhteensä 4]]+Opv.kohd.[[#This Row],[Tavoitteelliset opiskelijavuodet yhteensä 13]]</f>
        <v>0</v>
      </c>
      <c r="CS90" s="120">
        <v>0</v>
      </c>
      <c r="CT90" s="120">
        <v>0</v>
      </c>
      <c r="CU90" s="120">
        <v>0</v>
      </c>
      <c r="CV90" s="120">
        <v>0</v>
      </c>
      <c r="CW90" s="120">
        <v>0</v>
      </c>
      <c r="CX90" s="120">
        <v>0</v>
      </c>
      <c r="CY90" s="120">
        <v>0</v>
      </c>
      <c r="CZ90" s="120">
        <v>0</v>
      </c>
      <c r="DA90" s="209">
        <f>IFERROR(Opv.kohd.[[#This Row],[Järjestämisluvan mukaiset 13]]/Opv.kohd.[[#This Row],[Järjestämisluvan mukaiset 12]],0)</f>
        <v>0</v>
      </c>
      <c r="DB90" s="209">
        <f>IFERROR(Opv.kohd.[[#This Row],[Kohdentamat-tomat 13]]/Opv.kohd.[[#This Row],[Kohdentamat-tomat 12]],0)</f>
        <v>0</v>
      </c>
      <c r="DC90" s="209">
        <f>IFERROR(Opv.kohd.[[#This Row],[Työvoima-koulutus 13]]/Opv.kohd.[[#This Row],[Työvoima-koulutus 12]],0)</f>
        <v>0</v>
      </c>
      <c r="DD90" s="209">
        <f>IFERROR(Opv.kohd.[[#This Row],[Maahan-muuttajien koulutus 13]]/Opv.kohd.[[#This Row],[Maahan-muuttajien koulutus 12]],0)</f>
        <v>0</v>
      </c>
      <c r="DE90" s="209">
        <f>IFERROR(Opv.kohd.[[#This Row],[Nuorisotyöt. väh. ja osaamistarp. vast., muu kuin työvoima-koulutus 13]]/Opv.kohd.[[#This Row],[Nuorisotyöt. väh. ja osaamistarp. vast., muu kuin työvoima-koulutus 12]],0)</f>
        <v>0</v>
      </c>
      <c r="DF90" s="209">
        <f>IFERROR(Opv.kohd.[[#This Row],[Nuorisotyöt. väh. ja osaamistarp. vast., työvoima-koulutus 13]]/Opv.kohd.[[#This Row],[Nuorisotyöt. väh. ja osaamistarp. vast., työvoima-koulutus 12]],0)</f>
        <v>0</v>
      </c>
      <c r="DG90" s="209">
        <f>IFERROR(Opv.kohd.[[#This Row],[Yhteensä 13]]/Opv.kohd.[[#This Row],[Yhteensä 12]],0)</f>
        <v>0</v>
      </c>
      <c r="DH90" s="209">
        <f>IFERROR(Opv.kohd.[[#This Row],[Tavoitteelliset opiskelijavuodet yhteensä 13]]/Opv.kohd.[[#This Row],[Tavoitteelliset opiskelijavuodet yhteensä 12]],0)</f>
        <v>0</v>
      </c>
      <c r="DI90" s="207">
        <f>Opv.kohd.[[#This Row],[Järjestämisluvan mukaiset 12]]-Opv.kohd.[[#This Row],[Järjestämisluvan mukaiset 9]]</f>
        <v>0</v>
      </c>
      <c r="DJ90" s="207">
        <f>Opv.kohd.[[#This Row],[Kohdentamat-tomat 12]]-Opv.kohd.[[#This Row],[Kohdentamat-tomat 9]]</f>
        <v>-8</v>
      </c>
      <c r="DK90" s="207">
        <f>Opv.kohd.[[#This Row],[Työvoima-koulutus 12]]-Opv.kohd.[[#This Row],[Työvoima-koulutus 9]]</f>
        <v>-17</v>
      </c>
      <c r="DL90" s="207">
        <f>Opv.kohd.[[#This Row],[Maahan-muuttajien koulutus 12]]-Opv.kohd.[[#This Row],[Maahan-muuttajien koulutus 9]]</f>
        <v>0</v>
      </c>
      <c r="DM90" s="207">
        <f>Opv.kohd.[[#This Row],[Nuorisotyöt. väh. ja osaamistarp. vast., muu kuin työvoima-koulutus 12]]-Opv.kohd.[[#This Row],[Nuorisotyöt. väh. ja osaamistarp. vast., muu kuin työvoima-koulutus 9]]</f>
        <v>0</v>
      </c>
      <c r="DN90" s="207">
        <f>Opv.kohd.[[#This Row],[Nuorisotyöt. väh. ja osaamistarp. vast., työvoima-koulutus 12]]-Opv.kohd.[[#This Row],[Nuorisotyöt. väh. ja osaamistarp. vast., työvoima-koulutus 9]]</f>
        <v>0</v>
      </c>
      <c r="DO90" s="207">
        <f>Opv.kohd.[[#This Row],[Yhteensä 12]]-Opv.kohd.[[#This Row],[Yhteensä 9]]</f>
        <v>-25</v>
      </c>
      <c r="DP90" s="207">
        <f>Opv.kohd.[[#This Row],[Tavoitteelliset opiskelijavuodet yhteensä 12]]-Opv.kohd.[[#This Row],[Tavoitteelliset opiskelijavuodet yhteensä 9]]</f>
        <v>-25</v>
      </c>
      <c r="DQ90" s="209">
        <f>IFERROR(Opv.kohd.[[#This Row],[Järjestämisluvan mukaiset 15]]/Opv.kohd.[[#This Row],[Järjestämisluvan mukaiset 9]],0)</f>
        <v>0</v>
      </c>
      <c r="DR90" s="209">
        <f t="shared" si="25"/>
        <v>0</v>
      </c>
      <c r="DS90" s="209">
        <f t="shared" si="26"/>
        <v>0</v>
      </c>
      <c r="DT90" s="209">
        <f t="shared" si="27"/>
        <v>0</v>
      </c>
      <c r="DU90" s="209">
        <f t="shared" si="28"/>
        <v>0</v>
      </c>
      <c r="DV90" s="209">
        <f t="shared" si="29"/>
        <v>0</v>
      </c>
      <c r="DW90" s="209">
        <f t="shared" si="30"/>
        <v>0</v>
      </c>
      <c r="DX90" s="209">
        <f t="shared" si="31"/>
        <v>0</v>
      </c>
    </row>
    <row r="91" spans="1:128" x14ac:dyDescent="0.25">
      <c r="A91" s="204" t="e">
        <f>IF(INDEX(#REF!,ROW(91:91)-1,1)=0,"",INDEX(#REF!,ROW(91:91)-1,1))</f>
        <v>#REF!</v>
      </c>
      <c r="B91" s="205" t="str">
        <f>IFERROR(VLOOKUP(Opv.kohd.[[#This Row],[Y-tunnus]],'0 Järjestäjätiedot'!$A:$H,2,FALSE),"")</f>
        <v/>
      </c>
      <c r="C91" s="204" t="str">
        <f>IFERROR(VLOOKUP(Opv.kohd.[[#This Row],[Y-tunnus]],'0 Järjestäjätiedot'!$A:$H,COLUMN('0 Järjestäjätiedot'!D:D),FALSE),"")</f>
        <v/>
      </c>
      <c r="D91" s="204" t="str">
        <f>IFERROR(VLOOKUP(Opv.kohd.[[#This Row],[Y-tunnus]],'0 Järjestäjätiedot'!$A:$H,COLUMN('0 Järjestäjätiedot'!H:H),FALSE),"")</f>
        <v/>
      </c>
      <c r="E91" s="204">
        <f>IFERROR(VLOOKUP(Opv.kohd.[[#This Row],[Y-tunnus]],#REF!,COLUMN(#REF!),FALSE),0)</f>
        <v>0</v>
      </c>
      <c r="F91" s="204">
        <f>IFERROR(VLOOKUP(Opv.kohd.[[#This Row],[Y-tunnus]],#REF!,COLUMN(#REF!),FALSE),0)</f>
        <v>0</v>
      </c>
      <c r="G91" s="204">
        <f>IFERROR(VLOOKUP(Opv.kohd.[[#This Row],[Y-tunnus]],#REF!,COLUMN(#REF!),FALSE),0)</f>
        <v>0</v>
      </c>
      <c r="H91" s="204">
        <f>IFERROR(VLOOKUP(Opv.kohd.[[#This Row],[Y-tunnus]],#REF!,COLUMN(#REF!),FALSE),0)</f>
        <v>0</v>
      </c>
      <c r="I91" s="204">
        <f>IFERROR(VLOOKUP(Opv.kohd.[[#This Row],[Y-tunnus]],#REF!,COLUMN(#REF!),FALSE),0)</f>
        <v>0</v>
      </c>
      <c r="J91" s="204">
        <f>IFERROR(VLOOKUP(Opv.kohd.[[#This Row],[Y-tunnus]],#REF!,COLUMN(#REF!),FALSE),0)</f>
        <v>0</v>
      </c>
      <c r="K9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91" s="204">
        <f>Opv.kohd.[[#This Row],[Järjestämisluvan mukaiset 1]]+Opv.kohd.[[#This Row],[Yhteensä  1]]</f>
        <v>0</v>
      </c>
      <c r="M91" s="204">
        <f>IFERROR(VLOOKUP(Opv.kohd.[[#This Row],[Y-tunnus]],#REF!,COLUMN(#REF!),FALSE),0)</f>
        <v>0</v>
      </c>
      <c r="N91" s="204">
        <f>IFERROR(VLOOKUP(Opv.kohd.[[#This Row],[Y-tunnus]],#REF!,COLUMN(#REF!),FALSE),0)</f>
        <v>0</v>
      </c>
      <c r="O91" s="204">
        <f>IFERROR(VLOOKUP(Opv.kohd.[[#This Row],[Y-tunnus]],#REF!,COLUMN(#REF!),FALSE)+VLOOKUP(Opv.kohd.[[#This Row],[Y-tunnus]],#REF!,COLUMN(#REF!),FALSE),0)</f>
        <v>0</v>
      </c>
      <c r="P91" s="204">
        <f>Opv.kohd.[[#This Row],[Talousarvion perusteella kohdentamattomat]]+Opv.kohd.[[#This Row],[Talousarvion perusteella työvoimakoulutus 1]]+Opv.kohd.[[#This Row],[Lisätalousarvioiden perusteella]]</f>
        <v>0</v>
      </c>
      <c r="Q91" s="204">
        <f>IFERROR(VLOOKUP(Opv.kohd.[[#This Row],[Y-tunnus]],#REF!,COLUMN(#REF!),FALSE),0)</f>
        <v>0</v>
      </c>
      <c r="R91" s="210">
        <f>IFERROR(VLOOKUP(Opv.kohd.[[#This Row],[Y-tunnus]],#REF!,COLUMN(#REF!),FALSE)-(Opv.kohd.[[#This Row],[Kohdentamaton työvoima-koulutus 2]]+Opv.kohd.[[#This Row],[Maahan-muuttajien koulutus 2]]+Opv.kohd.[[#This Row],[Lisätalousarvioiden perusteella jaetut 2]]),0)</f>
        <v>0</v>
      </c>
      <c r="S91" s="210">
        <f>IFERROR(VLOOKUP(Opv.kohd.[[#This Row],[Y-tunnus]],#REF!,COLUMN(#REF!),FALSE)+VLOOKUP(Opv.kohd.[[#This Row],[Y-tunnus]],#REF!,COLUMN(#REF!),FALSE),0)</f>
        <v>0</v>
      </c>
      <c r="T91" s="210">
        <f>IFERROR(VLOOKUP(Opv.kohd.[[#This Row],[Y-tunnus]],#REF!,COLUMN(#REF!),FALSE)+VLOOKUP(Opv.kohd.[[#This Row],[Y-tunnus]],#REF!,COLUMN(#REF!),FALSE),0)</f>
        <v>0</v>
      </c>
      <c r="U9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91" s="210">
        <f>Opv.kohd.[[#This Row],[Kohdentamat-tomat 2]]+Opv.kohd.[[#This Row],[Kohdentamaton työvoima-koulutus 2]]+Opv.kohd.[[#This Row],[Maahan-muuttajien koulutus 2]]+Opv.kohd.[[#This Row],[Lisätalousarvioiden perusteella jaetut 2]]</f>
        <v>0</v>
      </c>
      <c r="W91" s="210">
        <f>Opv.kohd.[[#This Row],[Kohdentamat-tomat 2]]-(Opv.kohd.[[#This Row],[Järjestämisluvan mukaiset 1]]+Opv.kohd.[[#This Row],[Kohdentamat-tomat 1]]+Opv.kohd.[[#This Row],[Nuorisotyöt. väh. ja osaamistarp. vast., muu kuin työvoima-koulutus 1]]+Opv.kohd.[[#This Row],[Talousarvion perusteella kohdentamattomat]])</f>
        <v>0</v>
      </c>
      <c r="X91" s="210">
        <f>Opv.kohd.[[#This Row],[Kohdentamaton työvoima-koulutus 2]]-(Opv.kohd.[[#This Row],[Työvoima-koulutus 1]]+Opv.kohd.[[#This Row],[Nuorisotyöt. väh. ja osaamistarp. vast., työvoima-koulutus 1]]+Opv.kohd.[[#This Row],[Talousarvion perusteella työvoimakoulutus 1]])</f>
        <v>0</v>
      </c>
      <c r="Y91" s="210">
        <f>Opv.kohd.[[#This Row],[Maahan-muuttajien koulutus 2]]-Opv.kohd.[[#This Row],[Maahan-muuttajien koulutus 1]]</f>
        <v>0</v>
      </c>
      <c r="Z91" s="210">
        <f>Opv.kohd.[[#This Row],[Lisätalousarvioiden perusteella jaetut 2]]-Opv.kohd.[[#This Row],[Lisätalousarvioiden perusteella]]</f>
        <v>0</v>
      </c>
      <c r="AA91" s="210">
        <f>Opv.kohd.[[#This Row],[Toteutuneet opiskelijavuodet yhteensä 2]]-Opv.kohd.[[#This Row],[Vuoden 2018 tavoitteelliset opiskelijavuodet yhteensä 1]]</f>
        <v>0</v>
      </c>
      <c r="AB91" s="207">
        <f>IFERROR(VLOOKUP(Opv.kohd.[[#This Row],[Y-tunnus]],#REF!,3,FALSE),0)</f>
        <v>0</v>
      </c>
      <c r="AC91" s="207">
        <f>IFERROR(VLOOKUP(Opv.kohd.[[#This Row],[Y-tunnus]],#REF!,4,FALSE),0)</f>
        <v>0</v>
      </c>
      <c r="AD91" s="207">
        <f>IFERROR(VLOOKUP(Opv.kohd.[[#This Row],[Y-tunnus]],#REF!,5,FALSE),0)</f>
        <v>0</v>
      </c>
      <c r="AE91" s="207">
        <f>IFERROR(VLOOKUP(Opv.kohd.[[#This Row],[Y-tunnus]],#REF!,6,FALSE),0)</f>
        <v>0</v>
      </c>
      <c r="AF91" s="207">
        <f>IFERROR(VLOOKUP(Opv.kohd.[[#This Row],[Y-tunnus]],#REF!,7,FALSE),0)</f>
        <v>0</v>
      </c>
      <c r="AG91" s="207">
        <f>IFERROR(VLOOKUP(Opv.kohd.[[#This Row],[Y-tunnus]],#REF!,8,FALSE),0)</f>
        <v>0</v>
      </c>
      <c r="AH91" s="207">
        <f>IFERROR(VLOOKUP(Opv.kohd.[[#This Row],[Y-tunnus]],#REF!,9,FALSE),0)</f>
        <v>0</v>
      </c>
      <c r="AI91" s="207">
        <f>IFERROR(VLOOKUP(Opv.kohd.[[#This Row],[Y-tunnus]],#REF!,10,FALSE),0)</f>
        <v>0</v>
      </c>
      <c r="AJ91" s="204">
        <f>Opv.kohd.[[#This Row],[Järjestämisluvan mukaiset 4]]-Opv.kohd.[[#This Row],[Järjestämisluvan mukaiset 1]]</f>
        <v>0</v>
      </c>
      <c r="AK91" s="204">
        <f>Opv.kohd.[[#This Row],[Kohdentamat-tomat 4]]-Opv.kohd.[[#This Row],[Kohdentamat-tomat 1]]</f>
        <v>0</v>
      </c>
      <c r="AL91" s="204">
        <f>Opv.kohd.[[#This Row],[Työvoima-koulutus 4]]-Opv.kohd.[[#This Row],[Työvoima-koulutus 1]]</f>
        <v>0</v>
      </c>
      <c r="AM91" s="204">
        <f>Opv.kohd.[[#This Row],[Maahan-muuttajien koulutus 4]]-Opv.kohd.[[#This Row],[Maahan-muuttajien koulutus 1]]</f>
        <v>0</v>
      </c>
      <c r="AN91" s="204">
        <f>Opv.kohd.[[#This Row],[Nuorisotyöt. väh. ja osaamistarp. vast., muu kuin työvoima-koulutus 4]]-Opv.kohd.[[#This Row],[Nuorisotyöt. väh. ja osaamistarp. vast., muu kuin työvoima-koulutus 1]]</f>
        <v>0</v>
      </c>
      <c r="AO91" s="204">
        <f>Opv.kohd.[[#This Row],[Nuorisotyöt. väh. ja osaamistarp. vast., työvoima-koulutus 4]]-Opv.kohd.[[#This Row],[Nuorisotyöt. väh. ja osaamistarp. vast., työvoima-koulutus 1]]</f>
        <v>0</v>
      </c>
      <c r="AP91" s="204">
        <f>Opv.kohd.[[#This Row],[Yhteensä 4]]-Opv.kohd.[[#This Row],[Yhteensä  1]]</f>
        <v>0</v>
      </c>
      <c r="AQ91" s="204">
        <f>Opv.kohd.[[#This Row],[Ensikertaisella suoritepäätöksellä jaetut tavoitteelliset opiskelijavuodet yhteensä 4]]-Opv.kohd.[[#This Row],[Ensikertaisella suoritepäätöksellä jaetut tavoitteelliset opiskelijavuodet yhteensä 1]]</f>
        <v>0</v>
      </c>
      <c r="AR91" s="208">
        <f>IFERROR(Opv.kohd.[[#This Row],[Järjestämisluvan mukaiset 5]]/Opv.kohd.[[#This Row],[Järjestämisluvan mukaiset 4]],0)</f>
        <v>0</v>
      </c>
      <c r="AS91" s="208">
        <f>IFERROR(Opv.kohd.[[#This Row],[Kohdentamat-tomat 5]]/Opv.kohd.[[#This Row],[Kohdentamat-tomat 4]],0)</f>
        <v>0</v>
      </c>
      <c r="AT91" s="208">
        <f>IFERROR(Opv.kohd.[[#This Row],[Työvoima-koulutus 5]]/Opv.kohd.[[#This Row],[Työvoima-koulutus 4]],0)</f>
        <v>0</v>
      </c>
      <c r="AU91" s="208">
        <f>IFERROR(Opv.kohd.[[#This Row],[Maahan-muuttajien koulutus 5]]/Opv.kohd.[[#This Row],[Maahan-muuttajien koulutus 4]],0)</f>
        <v>0</v>
      </c>
      <c r="AV91" s="208">
        <f>IFERROR(Opv.kohd.[[#This Row],[Nuorisotyöt. väh. ja osaamistarp. vast., muu kuin työvoima-koulutus 5]]/Opv.kohd.[[#This Row],[Nuorisotyöt. väh. ja osaamistarp. vast., muu kuin työvoima-koulutus 4]],0)</f>
        <v>0</v>
      </c>
      <c r="AW91" s="208">
        <f>IFERROR(Opv.kohd.[[#This Row],[Nuorisotyöt. väh. ja osaamistarp. vast., työvoima-koulutus 5]]/Opv.kohd.[[#This Row],[Nuorisotyöt. väh. ja osaamistarp. vast., työvoima-koulutus 4]],0)</f>
        <v>0</v>
      </c>
      <c r="AX91" s="208">
        <f>IFERROR(Opv.kohd.[[#This Row],[Yhteensä 5]]/Opv.kohd.[[#This Row],[Yhteensä 4]],0)</f>
        <v>0</v>
      </c>
      <c r="AY91" s="208">
        <f>IFERROR(Opv.kohd.[[#This Row],[Ensikertaisella suoritepäätöksellä jaetut tavoitteelliset opiskelijavuodet yhteensä 5]]/Opv.kohd.[[#This Row],[Ensikertaisella suoritepäätöksellä jaetut tavoitteelliset opiskelijavuodet yhteensä 4]],0)</f>
        <v>0</v>
      </c>
      <c r="AZ91" s="207">
        <f>Opv.kohd.[[#This Row],[Yhteensä 7a]]-Opv.kohd.[[#This Row],[Työvoima-koulutus 7a]]</f>
        <v>0</v>
      </c>
      <c r="BA91" s="207">
        <f>IFERROR(VLOOKUP(Opv.kohd.[[#This Row],[Y-tunnus]],#REF!,COLUMN(#REF!),FALSE),0)</f>
        <v>0</v>
      </c>
      <c r="BB91" s="207">
        <f>IFERROR(VLOOKUP(Opv.kohd.[[#This Row],[Y-tunnus]],#REF!,COLUMN(#REF!),FALSE),0)</f>
        <v>0</v>
      </c>
      <c r="BC91" s="207">
        <f>Opv.kohd.[[#This Row],[Muu kuin työvoima-koulutus 7c]]-Opv.kohd.[[#This Row],[Muu kuin työvoima-koulutus 7a]]</f>
        <v>0</v>
      </c>
      <c r="BD91" s="207">
        <f>Opv.kohd.[[#This Row],[Työvoima-koulutus 7c]]-Opv.kohd.[[#This Row],[Työvoima-koulutus 7a]]</f>
        <v>0</v>
      </c>
      <c r="BE91" s="207">
        <f>Opv.kohd.[[#This Row],[Yhteensä 7c]]-Opv.kohd.[[#This Row],[Yhteensä 7a]]</f>
        <v>0</v>
      </c>
      <c r="BF91" s="207">
        <f>Opv.kohd.[[#This Row],[Yhteensä 7c]]-Opv.kohd.[[#This Row],[Työvoima-koulutus 7c]]</f>
        <v>0</v>
      </c>
      <c r="BG91" s="207">
        <f>IFERROR(VLOOKUP(Opv.kohd.[[#This Row],[Y-tunnus]],#REF!,COLUMN(#REF!),FALSE),0)</f>
        <v>0</v>
      </c>
      <c r="BH91" s="207">
        <f>IFERROR(VLOOKUP(Opv.kohd.[[#This Row],[Y-tunnus]],#REF!,COLUMN(#REF!),FALSE),0)</f>
        <v>0</v>
      </c>
      <c r="BI91" s="207">
        <f>IFERROR(VLOOKUP(Opv.kohd.[[#This Row],[Y-tunnus]],#REF!,COLUMN(#REF!),FALSE),0)</f>
        <v>0</v>
      </c>
      <c r="BJ91" s="207">
        <f>IFERROR(VLOOKUP(Opv.kohd.[[#This Row],[Y-tunnus]],#REF!,COLUMN(#REF!),FALSE),0)</f>
        <v>0</v>
      </c>
      <c r="BK91" s="207">
        <f>Opv.kohd.[[#This Row],[Muu kuin työvoima-koulutus 7d]]+Opv.kohd.[[#This Row],[Työvoima-koulutus 7d]]</f>
        <v>0</v>
      </c>
      <c r="BL91" s="207">
        <f>Opv.kohd.[[#This Row],[Muu kuin työvoima-koulutus 7c]]-Opv.kohd.[[#This Row],[Muu kuin työvoima-koulutus 7d]]</f>
        <v>0</v>
      </c>
      <c r="BM91" s="207">
        <f>Opv.kohd.[[#This Row],[Työvoima-koulutus 7c]]-Opv.kohd.[[#This Row],[Työvoima-koulutus 7d]]</f>
        <v>0</v>
      </c>
      <c r="BN91" s="207">
        <f>Opv.kohd.[[#This Row],[Yhteensä 7c]]-Opv.kohd.[[#This Row],[Yhteensä 7d]]</f>
        <v>0</v>
      </c>
      <c r="BO91" s="207">
        <f>Opv.kohd.[[#This Row],[Muu kuin työvoima-koulutus 7e]]-(Opv.kohd.[[#This Row],[Järjestämisluvan mukaiset 4]]+Opv.kohd.[[#This Row],[Kohdentamat-tomat 4]]+Opv.kohd.[[#This Row],[Maahan-muuttajien koulutus 4]]+Opv.kohd.[[#This Row],[Nuorisotyöt. väh. ja osaamistarp. vast., muu kuin työvoima-koulutus 4]])</f>
        <v>0</v>
      </c>
      <c r="BP91" s="207">
        <f>Opv.kohd.[[#This Row],[Työvoima-koulutus 7e]]-(Opv.kohd.[[#This Row],[Työvoima-koulutus 4]]+Opv.kohd.[[#This Row],[Nuorisotyöt. väh. ja osaamistarp. vast., työvoima-koulutus 4]])</f>
        <v>0</v>
      </c>
      <c r="BQ91" s="207">
        <f>Opv.kohd.[[#This Row],[Yhteensä 7e]]-Opv.kohd.[[#This Row],[Ensikertaisella suoritepäätöksellä jaetut tavoitteelliset opiskelijavuodet yhteensä 4]]</f>
        <v>0</v>
      </c>
      <c r="BR91" s="263">
        <v>0</v>
      </c>
      <c r="BS91" s="263">
        <v>0</v>
      </c>
      <c r="BT91" s="263">
        <v>0</v>
      </c>
      <c r="BU91" s="263">
        <v>0</v>
      </c>
      <c r="BV91" s="263">
        <v>0</v>
      </c>
      <c r="BW91" s="263">
        <v>0</v>
      </c>
      <c r="BX91" s="263">
        <v>0</v>
      </c>
      <c r="BY91" s="263">
        <v>0</v>
      </c>
      <c r="BZ91" s="207">
        <f t="shared" si="17"/>
        <v>0</v>
      </c>
      <c r="CA91" s="207">
        <f t="shared" si="18"/>
        <v>0</v>
      </c>
      <c r="CB91" s="207">
        <f t="shared" si="19"/>
        <v>0</v>
      </c>
      <c r="CC91" s="207">
        <f t="shared" si="20"/>
        <v>0</v>
      </c>
      <c r="CD91" s="207">
        <f t="shared" si="21"/>
        <v>0</v>
      </c>
      <c r="CE91" s="207">
        <f t="shared" si="22"/>
        <v>0</v>
      </c>
      <c r="CF91" s="207">
        <f t="shared" si="23"/>
        <v>0</v>
      </c>
      <c r="CG91" s="207">
        <f t="shared" si="24"/>
        <v>0</v>
      </c>
      <c r="CH91" s="207">
        <f>Opv.kohd.[[#This Row],[Tavoitteelliset opiskelijavuodet yhteensä 9]]-Opv.kohd.[[#This Row],[Työvoima-koulutus 9]]-Opv.kohd.[[#This Row],[Nuorisotyöt. väh. ja osaamistarp. vast., työvoima-koulutus 9]]-Opv.kohd.[[#This Row],[Muu kuin työvoima-koulutus 7e]]</f>
        <v>0</v>
      </c>
      <c r="CI91" s="207">
        <f>(Opv.kohd.[[#This Row],[Työvoima-koulutus 9]]+Opv.kohd.[[#This Row],[Nuorisotyöt. väh. ja osaamistarp. vast., työvoima-koulutus 9]])-Opv.kohd.[[#This Row],[Työvoima-koulutus 7e]]</f>
        <v>0</v>
      </c>
      <c r="CJ91" s="207">
        <f>Opv.kohd.[[#This Row],[Tavoitteelliset opiskelijavuodet yhteensä 9]]-Opv.kohd.[[#This Row],[Yhteensä 7e]]</f>
        <v>0</v>
      </c>
      <c r="CK91" s="207">
        <f>Opv.kohd.[[#This Row],[Järjestämisluvan mukaiset 4]]+Opv.kohd.[[#This Row],[Järjestämisluvan mukaiset 13]]</f>
        <v>0</v>
      </c>
      <c r="CL91" s="207">
        <f>Opv.kohd.[[#This Row],[Kohdentamat-tomat 4]]+Opv.kohd.[[#This Row],[Kohdentamat-tomat 13]]</f>
        <v>0</v>
      </c>
      <c r="CM91" s="207">
        <f>Opv.kohd.[[#This Row],[Työvoima-koulutus 4]]+Opv.kohd.[[#This Row],[Työvoima-koulutus 13]]</f>
        <v>0</v>
      </c>
      <c r="CN91" s="207">
        <f>Opv.kohd.[[#This Row],[Maahan-muuttajien koulutus 4]]+Opv.kohd.[[#This Row],[Maahan-muuttajien koulutus 13]]</f>
        <v>0</v>
      </c>
      <c r="CO91" s="207">
        <f>Opv.kohd.[[#This Row],[Nuorisotyöt. väh. ja osaamistarp. vast., muu kuin työvoima-koulutus 4]]+Opv.kohd.[[#This Row],[Nuorisotyöt. väh. ja osaamistarp. vast., muu kuin työvoima-koulutus 13]]</f>
        <v>0</v>
      </c>
      <c r="CP91" s="207">
        <f>Opv.kohd.[[#This Row],[Nuorisotyöt. väh. ja osaamistarp. vast., työvoima-koulutus 4]]+Opv.kohd.[[#This Row],[Nuorisotyöt. väh. ja osaamistarp. vast., työvoima-koulutus 13]]</f>
        <v>0</v>
      </c>
      <c r="CQ91" s="207">
        <f>Opv.kohd.[[#This Row],[Yhteensä 4]]+Opv.kohd.[[#This Row],[Yhteensä 13]]</f>
        <v>0</v>
      </c>
      <c r="CR91" s="207">
        <f>Opv.kohd.[[#This Row],[Ensikertaisella suoritepäätöksellä jaetut tavoitteelliset opiskelijavuodet yhteensä 4]]+Opv.kohd.[[#This Row],[Tavoitteelliset opiskelijavuodet yhteensä 13]]</f>
        <v>0</v>
      </c>
      <c r="CS91" s="120">
        <v>0</v>
      </c>
      <c r="CT91" s="120">
        <v>0</v>
      </c>
      <c r="CU91" s="120">
        <v>0</v>
      </c>
      <c r="CV91" s="120">
        <v>0</v>
      </c>
      <c r="CW91" s="120">
        <v>0</v>
      </c>
      <c r="CX91" s="120">
        <v>0</v>
      </c>
      <c r="CY91" s="120">
        <v>0</v>
      </c>
      <c r="CZ91" s="120">
        <v>0</v>
      </c>
      <c r="DA91" s="209">
        <f>IFERROR(Opv.kohd.[[#This Row],[Järjestämisluvan mukaiset 13]]/Opv.kohd.[[#This Row],[Järjestämisluvan mukaiset 12]],0)</f>
        <v>0</v>
      </c>
      <c r="DB91" s="209">
        <f>IFERROR(Opv.kohd.[[#This Row],[Kohdentamat-tomat 13]]/Opv.kohd.[[#This Row],[Kohdentamat-tomat 12]],0)</f>
        <v>0</v>
      </c>
      <c r="DC91" s="209">
        <f>IFERROR(Opv.kohd.[[#This Row],[Työvoima-koulutus 13]]/Opv.kohd.[[#This Row],[Työvoima-koulutus 12]],0)</f>
        <v>0</v>
      </c>
      <c r="DD91" s="209">
        <f>IFERROR(Opv.kohd.[[#This Row],[Maahan-muuttajien koulutus 13]]/Opv.kohd.[[#This Row],[Maahan-muuttajien koulutus 12]],0)</f>
        <v>0</v>
      </c>
      <c r="DE91" s="209">
        <f>IFERROR(Opv.kohd.[[#This Row],[Nuorisotyöt. väh. ja osaamistarp. vast., muu kuin työvoima-koulutus 13]]/Opv.kohd.[[#This Row],[Nuorisotyöt. väh. ja osaamistarp. vast., muu kuin työvoima-koulutus 12]],0)</f>
        <v>0</v>
      </c>
      <c r="DF91" s="209">
        <f>IFERROR(Opv.kohd.[[#This Row],[Nuorisotyöt. väh. ja osaamistarp. vast., työvoima-koulutus 13]]/Opv.kohd.[[#This Row],[Nuorisotyöt. väh. ja osaamistarp. vast., työvoima-koulutus 12]],0)</f>
        <v>0</v>
      </c>
      <c r="DG91" s="209">
        <f>IFERROR(Opv.kohd.[[#This Row],[Yhteensä 13]]/Opv.kohd.[[#This Row],[Yhteensä 12]],0)</f>
        <v>0</v>
      </c>
      <c r="DH91" s="209">
        <f>IFERROR(Opv.kohd.[[#This Row],[Tavoitteelliset opiskelijavuodet yhteensä 13]]/Opv.kohd.[[#This Row],[Tavoitteelliset opiskelijavuodet yhteensä 12]],0)</f>
        <v>0</v>
      </c>
      <c r="DI91" s="207">
        <f>Opv.kohd.[[#This Row],[Järjestämisluvan mukaiset 12]]-Opv.kohd.[[#This Row],[Järjestämisluvan mukaiset 9]]</f>
        <v>0</v>
      </c>
      <c r="DJ91" s="207">
        <f>Opv.kohd.[[#This Row],[Kohdentamat-tomat 12]]-Opv.kohd.[[#This Row],[Kohdentamat-tomat 9]]</f>
        <v>0</v>
      </c>
      <c r="DK91" s="207">
        <f>Opv.kohd.[[#This Row],[Työvoima-koulutus 12]]-Opv.kohd.[[#This Row],[Työvoima-koulutus 9]]</f>
        <v>0</v>
      </c>
      <c r="DL91" s="207">
        <f>Opv.kohd.[[#This Row],[Maahan-muuttajien koulutus 12]]-Opv.kohd.[[#This Row],[Maahan-muuttajien koulutus 9]]</f>
        <v>0</v>
      </c>
      <c r="DM91" s="207">
        <f>Opv.kohd.[[#This Row],[Nuorisotyöt. väh. ja osaamistarp. vast., muu kuin työvoima-koulutus 12]]-Opv.kohd.[[#This Row],[Nuorisotyöt. väh. ja osaamistarp. vast., muu kuin työvoima-koulutus 9]]</f>
        <v>0</v>
      </c>
      <c r="DN91" s="207">
        <f>Opv.kohd.[[#This Row],[Nuorisotyöt. väh. ja osaamistarp. vast., työvoima-koulutus 12]]-Opv.kohd.[[#This Row],[Nuorisotyöt. väh. ja osaamistarp. vast., työvoima-koulutus 9]]</f>
        <v>0</v>
      </c>
      <c r="DO91" s="207">
        <f>Opv.kohd.[[#This Row],[Yhteensä 12]]-Opv.kohd.[[#This Row],[Yhteensä 9]]</f>
        <v>0</v>
      </c>
      <c r="DP91" s="207">
        <f>Opv.kohd.[[#This Row],[Tavoitteelliset opiskelijavuodet yhteensä 12]]-Opv.kohd.[[#This Row],[Tavoitteelliset opiskelijavuodet yhteensä 9]]</f>
        <v>0</v>
      </c>
      <c r="DQ91" s="209">
        <f>IFERROR(Opv.kohd.[[#This Row],[Järjestämisluvan mukaiset 15]]/Opv.kohd.[[#This Row],[Järjestämisluvan mukaiset 9]],0)</f>
        <v>0</v>
      </c>
      <c r="DR91" s="209">
        <f t="shared" si="25"/>
        <v>0</v>
      </c>
      <c r="DS91" s="209">
        <f t="shared" si="26"/>
        <v>0</v>
      </c>
      <c r="DT91" s="209">
        <f t="shared" si="27"/>
        <v>0</v>
      </c>
      <c r="DU91" s="209">
        <f t="shared" si="28"/>
        <v>0</v>
      </c>
      <c r="DV91" s="209">
        <f t="shared" si="29"/>
        <v>0</v>
      </c>
      <c r="DW91" s="209">
        <f t="shared" si="30"/>
        <v>0</v>
      </c>
      <c r="DX91" s="209">
        <f t="shared" si="31"/>
        <v>0</v>
      </c>
    </row>
    <row r="92" spans="1:128" x14ac:dyDescent="0.25">
      <c r="A92" s="204" t="e">
        <f>IF(INDEX(#REF!,ROW(92:92)-1,1)=0,"",INDEX(#REF!,ROW(92:92)-1,1))</f>
        <v>#REF!</v>
      </c>
      <c r="B92" s="205" t="str">
        <f>IFERROR(VLOOKUP(Opv.kohd.[[#This Row],[Y-tunnus]],'0 Järjestäjätiedot'!$A:$H,2,FALSE),"")</f>
        <v/>
      </c>
      <c r="C92" s="204" t="str">
        <f>IFERROR(VLOOKUP(Opv.kohd.[[#This Row],[Y-tunnus]],'0 Järjestäjätiedot'!$A:$H,COLUMN('0 Järjestäjätiedot'!D:D),FALSE),"")</f>
        <v/>
      </c>
      <c r="D92" s="204" t="str">
        <f>IFERROR(VLOOKUP(Opv.kohd.[[#This Row],[Y-tunnus]],'0 Järjestäjätiedot'!$A:$H,COLUMN('0 Järjestäjätiedot'!H:H),FALSE),"")</f>
        <v/>
      </c>
      <c r="E92" s="204">
        <f>IFERROR(VLOOKUP(Opv.kohd.[[#This Row],[Y-tunnus]],#REF!,COLUMN(#REF!),FALSE),0)</f>
        <v>0</v>
      </c>
      <c r="F92" s="204">
        <f>IFERROR(VLOOKUP(Opv.kohd.[[#This Row],[Y-tunnus]],#REF!,COLUMN(#REF!),FALSE),0)</f>
        <v>0</v>
      </c>
      <c r="G92" s="204">
        <f>IFERROR(VLOOKUP(Opv.kohd.[[#This Row],[Y-tunnus]],#REF!,COLUMN(#REF!),FALSE),0)</f>
        <v>0</v>
      </c>
      <c r="H92" s="204">
        <f>IFERROR(VLOOKUP(Opv.kohd.[[#This Row],[Y-tunnus]],#REF!,COLUMN(#REF!),FALSE),0)</f>
        <v>0</v>
      </c>
      <c r="I92" s="204">
        <f>IFERROR(VLOOKUP(Opv.kohd.[[#This Row],[Y-tunnus]],#REF!,COLUMN(#REF!),FALSE),0)</f>
        <v>0</v>
      </c>
      <c r="J92" s="204">
        <f>IFERROR(VLOOKUP(Opv.kohd.[[#This Row],[Y-tunnus]],#REF!,COLUMN(#REF!),FALSE),0)</f>
        <v>0</v>
      </c>
      <c r="K9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92" s="204">
        <f>Opv.kohd.[[#This Row],[Järjestämisluvan mukaiset 1]]+Opv.kohd.[[#This Row],[Yhteensä  1]]</f>
        <v>0</v>
      </c>
      <c r="M92" s="204">
        <f>IFERROR(VLOOKUP(Opv.kohd.[[#This Row],[Y-tunnus]],#REF!,COLUMN(#REF!),FALSE),0)</f>
        <v>0</v>
      </c>
      <c r="N92" s="204">
        <f>IFERROR(VLOOKUP(Opv.kohd.[[#This Row],[Y-tunnus]],#REF!,COLUMN(#REF!),FALSE),0)</f>
        <v>0</v>
      </c>
      <c r="O92" s="204">
        <f>IFERROR(VLOOKUP(Opv.kohd.[[#This Row],[Y-tunnus]],#REF!,COLUMN(#REF!),FALSE)+VLOOKUP(Opv.kohd.[[#This Row],[Y-tunnus]],#REF!,COLUMN(#REF!),FALSE),0)</f>
        <v>0</v>
      </c>
      <c r="P92" s="204">
        <f>Opv.kohd.[[#This Row],[Talousarvion perusteella kohdentamattomat]]+Opv.kohd.[[#This Row],[Talousarvion perusteella työvoimakoulutus 1]]+Opv.kohd.[[#This Row],[Lisätalousarvioiden perusteella]]</f>
        <v>0</v>
      </c>
      <c r="Q92" s="204">
        <f>IFERROR(VLOOKUP(Opv.kohd.[[#This Row],[Y-tunnus]],#REF!,COLUMN(#REF!),FALSE),0)</f>
        <v>0</v>
      </c>
      <c r="R92" s="210">
        <f>IFERROR(VLOOKUP(Opv.kohd.[[#This Row],[Y-tunnus]],#REF!,COLUMN(#REF!),FALSE)-(Opv.kohd.[[#This Row],[Kohdentamaton työvoima-koulutus 2]]+Opv.kohd.[[#This Row],[Maahan-muuttajien koulutus 2]]+Opv.kohd.[[#This Row],[Lisätalousarvioiden perusteella jaetut 2]]),0)</f>
        <v>0</v>
      </c>
      <c r="S92" s="210">
        <f>IFERROR(VLOOKUP(Opv.kohd.[[#This Row],[Y-tunnus]],#REF!,COLUMN(#REF!),FALSE)+VLOOKUP(Opv.kohd.[[#This Row],[Y-tunnus]],#REF!,COLUMN(#REF!),FALSE),0)</f>
        <v>0</v>
      </c>
      <c r="T92" s="210">
        <f>IFERROR(VLOOKUP(Opv.kohd.[[#This Row],[Y-tunnus]],#REF!,COLUMN(#REF!),FALSE)+VLOOKUP(Opv.kohd.[[#This Row],[Y-tunnus]],#REF!,COLUMN(#REF!),FALSE),0)</f>
        <v>0</v>
      </c>
      <c r="U9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92" s="210">
        <f>Opv.kohd.[[#This Row],[Kohdentamat-tomat 2]]+Opv.kohd.[[#This Row],[Kohdentamaton työvoima-koulutus 2]]+Opv.kohd.[[#This Row],[Maahan-muuttajien koulutus 2]]+Opv.kohd.[[#This Row],[Lisätalousarvioiden perusteella jaetut 2]]</f>
        <v>0</v>
      </c>
      <c r="W92" s="210">
        <f>Opv.kohd.[[#This Row],[Kohdentamat-tomat 2]]-(Opv.kohd.[[#This Row],[Järjestämisluvan mukaiset 1]]+Opv.kohd.[[#This Row],[Kohdentamat-tomat 1]]+Opv.kohd.[[#This Row],[Nuorisotyöt. väh. ja osaamistarp. vast., muu kuin työvoima-koulutus 1]]+Opv.kohd.[[#This Row],[Talousarvion perusteella kohdentamattomat]])</f>
        <v>0</v>
      </c>
      <c r="X92" s="210">
        <f>Opv.kohd.[[#This Row],[Kohdentamaton työvoima-koulutus 2]]-(Opv.kohd.[[#This Row],[Työvoima-koulutus 1]]+Opv.kohd.[[#This Row],[Nuorisotyöt. väh. ja osaamistarp. vast., työvoima-koulutus 1]]+Opv.kohd.[[#This Row],[Talousarvion perusteella työvoimakoulutus 1]])</f>
        <v>0</v>
      </c>
      <c r="Y92" s="210">
        <f>Opv.kohd.[[#This Row],[Maahan-muuttajien koulutus 2]]-Opv.kohd.[[#This Row],[Maahan-muuttajien koulutus 1]]</f>
        <v>0</v>
      </c>
      <c r="Z92" s="210">
        <f>Opv.kohd.[[#This Row],[Lisätalousarvioiden perusteella jaetut 2]]-Opv.kohd.[[#This Row],[Lisätalousarvioiden perusteella]]</f>
        <v>0</v>
      </c>
      <c r="AA92" s="210">
        <f>Opv.kohd.[[#This Row],[Toteutuneet opiskelijavuodet yhteensä 2]]-Opv.kohd.[[#This Row],[Vuoden 2018 tavoitteelliset opiskelijavuodet yhteensä 1]]</f>
        <v>0</v>
      </c>
      <c r="AB92" s="207">
        <f>IFERROR(VLOOKUP(Opv.kohd.[[#This Row],[Y-tunnus]],#REF!,3,FALSE),0)</f>
        <v>0</v>
      </c>
      <c r="AC92" s="207">
        <f>IFERROR(VLOOKUP(Opv.kohd.[[#This Row],[Y-tunnus]],#REF!,4,FALSE),0)</f>
        <v>0</v>
      </c>
      <c r="AD92" s="207">
        <f>IFERROR(VLOOKUP(Opv.kohd.[[#This Row],[Y-tunnus]],#REF!,5,FALSE),0)</f>
        <v>0</v>
      </c>
      <c r="AE92" s="207">
        <f>IFERROR(VLOOKUP(Opv.kohd.[[#This Row],[Y-tunnus]],#REF!,6,FALSE),0)</f>
        <v>0</v>
      </c>
      <c r="AF92" s="207">
        <f>IFERROR(VLOOKUP(Opv.kohd.[[#This Row],[Y-tunnus]],#REF!,7,FALSE),0)</f>
        <v>0</v>
      </c>
      <c r="AG92" s="207">
        <f>IFERROR(VLOOKUP(Opv.kohd.[[#This Row],[Y-tunnus]],#REF!,8,FALSE),0)</f>
        <v>0</v>
      </c>
      <c r="AH92" s="207">
        <f>IFERROR(VLOOKUP(Opv.kohd.[[#This Row],[Y-tunnus]],#REF!,9,FALSE),0)</f>
        <v>0</v>
      </c>
      <c r="AI92" s="207">
        <f>IFERROR(VLOOKUP(Opv.kohd.[[#This Row],[Y-tunnus]],#REF!,10,FALSE),0)</f>
        <v>0</v>
      </c>
      <c r="AJ92" s="204">
        <f>Opv.kohd.[[#This Row],[Järjestämisluvan mukaiset 4]]-Opv.kohd.[[#This Row],[Järjestämisluvan mukaiset 1]]</f>
        <v>0</v>
      </c>
      <c r="AK92" s="204">
        <f>Opv.kohd.[[#This Row],[Kohdentamat-tomat 4]]-Opv.kohd.[[#This Row],[Kohdentamat-tomat 1]]</f>
        <v>0</v>
      </c>
      <c r="AL92" s="204">
        <f>Opv.kohd.[[#This Row],[Työvoima-koulutus 4]]-Opv.kohd.[[#This Row],[Työvoima-koulutus 1]]</f>
        <v>0</v>
      </c>
      <c r="AM92" s="204">
        <f>Opv.kohd.[[#This Row],[Maahan-muuttajien koulutus 4]]-Opv.kohd.[[#This Row],[Maahan-muuttajien koulutus 1]]</f>
        <v>0</v>
      </c>
      <c r="AN92" s="204">
        <f>Opv.kohd.[[#This Row],[Nuorisotyöt. väh. ja osaamistarp. vast., muu kuin työvoima-koulutus 4]]-Opv.kohd.[[#This Row],[Nuorisotyöt. väh. ja osaamistarp. vast., muu kuin työvoima-koulutus 1]]</f>
        <v>0</v>
      </c>
      <c r="AO92" s="204">
        <f>Opv.kohd.[[#This Row],[Nuorisotyöt. väh. ja osaamistarp. vast., työvoima-koulutus 4]]-Opv.kohd.[[#This Row],[Nuorisotyöt. väh. ja osaamistarp. vast., työvoima-koulutus 1]]</f>
        <v>0</v>
      </c>
      <c r="AP92" s="204">
        <f>Opv.kohd.[[#This Row],[Yhteensä 4]]-Opv.kohd.[[#This Row],[Yhteensä  1]]</f>
        <v>0</v>
      </c>
      <c r="AQ92" s="204">
        <f>Opv.kohd.[[#This Row],[Ensikertaisella suoritepäätöksellä jaetut tavoitteelliset opiskelijavuodet yhteensä 4]]-Opv.kohd.[[#This Row],[Ensikertaisella suoritepäätöksellä jaetut tavoitteelliset opiskelijavuodet yhteensä 1]]</f>
        <v>0</v>
      </c>
      <c r="AR92" s="208">
        <f>IFERROR(Opv.kohd.[[#This Row],[Järjestämisluvan mukaiset 5]]/Opv.kohd.[[#This Row],[Järjestämisluvan mukaiset 4]],0)</f>
        <v>0</v>
      </c>
      <c r="AS92" s="208">
        <f>IFERROR(Opv.kohd.[[#This Row],[Kohdentamat-tomat 5]]/Opv.kohd.[[#This Row],[Kohdentamat-tomat 4]],0)</f>
        <v>0</v>
      </c>
      <c r="AT92" s="208">
        <f>IFERROR(Opv.kohd.[[#This Row],[Työvoima-koulutus 5]]/Opv.kohd.[[#This Row],[Työvoima-koulutus 4]],0)</f>
        <v>0</v>
      </c>
      <c r="AU92" s="208">
        <f>IFERROR(Opv.kohd.[[#This Row],[Maahan-muuttajien koulutus 5]]/Opv.kohd.[[#This Row],[Maahan-muuttajien koulutus 4]],0)</f>
        <v>0</v>
      </c>
      <c r="AV92" s="208">
        <f>IFERROR(Opv.kohd.[[#This Row],[Nuorisotyöt. väh. ja osaamistarp. vast., muu kuin työvoima-koulutus 5]]/Opv.kohd.[[#This Row],[Nuorisotyöt. väh. ja osaamistarp. vast., muu kuin työvoima-koulutus 4]],0)</f>
        <v>0</v>
      </c>
      <c r="AW92" s="208">
        <f>IFERROR(Opv.kohd.[[#This Row],[Nuorisotyöt. väh. ja osaamistarp. vast., työvoima-koulutus 5]]/Opv.kohd.[[#This Row],[Nuorisotyöt. väh. ja osaamistarp. vast., työvoima-koulutus 4]],0)</f>
        <v>0</v>
      </c>
      <c r="AX92" s="208">
        <f>IFERROR(Opv.kohd.[[#This Row],[Yhteensä 5]]/Opv.kohd.[[#This Row],[Yhteensä 4]],0)</f>
        <v>0</v>
      </c>
      <c r="AY92" s="208">
        <f>IFERROR(Opv.kohd.[[#This Row],[Ensikertaisella suoritepäätöksellä jaetut tavoitteelliset opiskelijavuodet yhteensä 5]]/Opv.kohd.[[#This Row],[Ensikertaisella suoritepäätöksellä jaetut tavoitteelliset opiskelijavuodet yhteensä 4]],0)</f>
        <v>0</v>
      </c>
      <c r="AZ92" s="207">
        <f>Opv.kohd.[[#This Row],[Yhteensä 7a]]-Opv.kohd.[[#This Row],[Työvoima-koulutus 7a]]</f>
        <v>0</v>
      </c>
      <c r="BA92" s="207">
        <f>IFERROR(VLOOKUP(Opv.kohd.[[#This Row],[Y-tunnus]],#REF!,COLUMN(#REF!),FALSE),0)</f>
        <v>0</v>
      </c>
      <c r="BB92" s="207">
        <f>IFERROR(VLOOKUP(Opv.kohd.[[#This Row],[Y-tunnus]],#REF!,COLUMN(#REF!),FALSE),0)</f>
        <v>0</v>
      </c>
      <c r="BC92" s="207">
        <f>Opv.kohd.[[#This Row],[Muu kuin työvoima-koulutus 7c]]-Opv.kohd.[[#This Row],[Muu kuin työvoima-koulutus 7a]]</f>
        <v>0</v>
      </c>
      <c r="BD92" s="207">
        <f>Opv.kohd.[[#This Row],[Työvoima-koulutus 7c]]-Opv.kohd.[[#This Row],[Työvoima-koulutus 7a]]</f>
        <v>0</v>
      </c>
      <c r="BE92" s="207">
        <f>Opv.kohd.[[#This Row],[Yhteensä 7c]]-Opv.kohd.[[#This Row],[Yhteensä 7a]]</f>
        <v>0</v>
      </c>
      <c r="BF92" s="207">
        <f>Opv.kohd.[[#This Row],[Yhteensä 7c]]-Opv.kohd.[[#This Row],[Työvoima-koulutus 7c]]</f>
        <v>0</v>
      </c>
      <c r="BG92" s="207">
        <f>IFERROR(VLOOKUP(Opv.kohd.[[#This Row],[Y-tunnus]],#REF!,COLUMN(#REF!),FALSE),0)</f>
        <v>0</v>
      </c>
      <c r="BH92" s="207">
        <f>IFERROR(VLOOKUP(Opv.kohd.[[#This Row],[Y-tunnus]],#REF!,COLUMN(#REF!),FALSE),0)</f>
        <v>0</v>
      </c>
      <c r="BI92" s="207">
        <f>IFERROR(VLOOKUP(Opv.kohd.[[#This Row],[Y-tunnus]],#REF!,COLUMN(#REF!),FALSE),0)</f>
        <v>0</v>
      </c>
      <c r="BJ92" s="207">
        <f>IFERROR(VLOOKUP(Opv.kohd.[[#This Row],[Y-tunnus]],#REF!,COLUMN(#REF!),FALSE),0)</f>
        <v>0</v>
      </c>
      <c r="BK92" s="207">
        <f>Opv.kohd.[[#This Row],[Muu kuin työvoima-koulutus 7d]]+Opv.kohd.[[#This Row],[Työvoima-koulutus 7d]]</f>
        <v>0</v>
      </c>
      <c r="BL92" s="207">
        <f>Opv.kohd.[[#This Row],[Muu kuin työvoima-koulutus 7c]]-Opv.kohd.[[#This Row],[Muu kuin työvoima-koulutus 7d]]</f>
        <v>0</v>
      </c>
      <c r="BM92" s="207">
        <f>Opv.kohd.[[#This Row],[Työvoima-koulutus 7c]]-Opv.kohd.[[#This Row],[Työvoima-koulutus 7d]]</f>
        <v>0</v>
      </c>
      <c r="BN92" s="207">
        <f>Opv.kohd.[[#This Row],[Yhteensä 7c]]-Opv.kohd.[[#This Row],[Yhteensä 7d]]</f>
        <v>0</v>
      </c>
      <c r="BO92" s="207">
        <f>Opv.kohd.[[#This Row],[Muu kuin työvoima-koulutus 7e]]-(Opv.kohd.[[#This Row],[Järjestämisluvan mukaiset 4]]+Opv.kohd.[[#This Row],[Kohdentamat-tomat 4]]+Opv.kohd.[[#This Row],[Maahan-muuttajien koulutus 4]]+Opv.kohd.[[#This Row],[Nuorisotyöt. väh. ja osaamistarp. vast., muu kuin työvoima-koulutus 4]])</f>
        <v>0</v>
      </c>
      <c r="BP92" s="207">
        <f>Opv.kohd.[[#This Row],[Työvoima-koulutus 7e]]-(Opv.kohd.[[#This Row],[Työvoima-koulutus 4]]+Opv.kohd.[[#This Row],[Nuorisotyöt. väh. ja osaamistarp. vast., työvoima-koulutus 4]])</f>
        <v>0</v>
      </c>
      <c r="BQ92" s="207">
        <f>Opv.kohd.[[#This Row],[Yhteensä 7e]]-Opv.kohd.[[#This Row],[Ensikertaisella suoritepäätöksellä jaetut tavoitteelliset opiskelijavuodet yhteensä 4]]</f>
        <v>0</v>
      </c>
      <c r="BR92" s="263">
        <v>0</v>
      </c>
      <c r="BS92" s="263">
        <v>115</v>
      </c>
      <c r="BT92" s="263">
        <v>0</v>
      </c>
      <c r="BU92" s="263">
        <v>0</v>
      </c>
      <c r="BV92" s="263">
        <v>0</v>
      </c>
      <c r="BW92" s="263">
        <v>0</v>
      </c>
      <c r="BX92" s="263">
        <v>115</v>
      </c>
      <c r="BY92" s="263">
        <v>115</v>
      </c>
      <c r="BZ92" s="207">
        <f t="shared" si="17"/>
        <v>0</v>
      </c>
      <c r="CA92" s="207">
        <f t="shared" si="18"/>
        <v>115</v>
      </c>
      <c r="CB92" s="207">
        <f t="shared" si="19"/>
        <v>0</v>
      </c>
      <c r="CC92" s="207">
        <f t="shared" si="20"/>
        <v>0</v>
      </c>
      <c r="CD92" s="207">
        <f t="shared" si="21"/>
        <v>0</v>
      </c>
      <c r="CE92" s="207">
        <f t="shared" si="22"/>
        <v>0</v>
      </c>
      <c r="CF92" s="207">
        <f t="shared" si="23"/>
        <v>115</v>
      </c>
      <c r="CG92" s="207">
        <f t="shared" si="24"/>
        <v>115</v>
      </c>
      <c r="CH92" s="207">
        <f>Opv.kohd.[[#This Row],[Tavoitteelliset opiskelijavuodet yhteensä 9]]-Opv.kohd.[[#This Row],[Työvoima-koulutus 9]]-Opv.kohd.[[#This Row],[Nuorisotyöt. väh. ja osaamistarp. vast., työvoima-koulutus 9]]-Opv.kohd.[[#This Row],[Muu kuin työvoima-koulutus 7e]]</f>
        <v>115</v>
      </c>
      <c r="CI92" s="207">
        <f>(Opv.kohd.[[#This Row],[Työvoima-koulutus 9]]+Opv.kohd.[[#This Row],[Nuorisotyöt. väh. ja osaamistarp. vast., työvoima-koulutus 9]])-Opv.kohd.[[#This Row],[Työvoima-koulutus 7e]]</f>
        <v>0</v>
      </c>
      <c r="CJ92" s="207">
        <f>Opv.kohd.[[#This Row],[Tavoitteelliset opiskelijavuodet yhteensä 9]]-Opv.kohd.[[#This Row],[Yhteensä 7e]]</f>
        <v>115</v>
      </c>
      <c r="CK92" s="207">
        <f>Opv.kohd.[[#This Row],[Järjestämisluvan mukaiset 4]]+Opv.kohd.[[#This Row],[Järjestämisluvan mukaiset 13]]</f>
        <v>0</v>
      </c>
      <c r="CL92" s="207">
        <f>Opv.kohd.[[#This Row],[Kohdentamat-tomat 4]]+Opv.kohd.[[#This Row],[Kohdentamat-tomat 13]]</f>
        <v>0</v>
      </c>
      <c r="CM92" s="207">
        <f>Opv.kohd.[[#This Row],[Työvoima-koulutus 4]]+Opv.kohd.[[#This Row],[Työvoima-koulutus 13]]</f>
        <v>0</v>
      </c>
      <c r="CN92" s="207">
        <f>Opv.kohd.[[#This Row],[Maahan-muuttajien koulutus 4]]+Opv.kohd.[[#This Row],[Maahan-muuttajien koulutus 13]]</f>
        <v>0</v>
      </c>
      <c r="CO92" s="207">
        <f>Opv.kohd.[[#This Row],[Nuorisotyöt. väh. ja osaamistarp. vast., muu kuin työvoima-koulutus 4]]+Opv.kohd.[[#This Row],[Nuorisotyöt. väh. ja osaamistarp. vast., muu kuin työvoima-koulutus 13]]</f>
        <v>0</v>
      </c>
      <c r="CP92" s="207">
        <f>Opv.kohd.[[#This Row],[Nuorisotyöt. väh. ja osaamistarp. vast., työvoima-koulutus 4]]+Opv.kohd.[[#This Row],[Nuorisotyöt. väh. ja osaamistarp. vast., työvoima-koulutus 13]]</f>
        <v>0</v>
      </c>
      <c r="CQ92" s="207">
        <f>Opv.kohd.[[#This Row],[Yhteensä 4]]+Opv.kohd.[[#This Row],[Yhteensä 13]]</f>
        <v>0</v>
      </c>
      <c r="CR92" s="207">
        <f>Opv.kohd.[[#This Row],[Ensikertaisella suoritepäätöksellä jaetut tavoitteelliset opiskelijavuodet yhteensä 4]]+Opv.kohd.[[#This Row],[Tavoitteelliset opiskelijavuodet yhteensä 13]]</f>
        <v>0</v>
      </c>
      <c r="CS92" s="120">
        <v>0</v>
      </c>
      <c r="CT92" s="120">
        <v>0</v>
      </c>
      <c r="CU92" s="120">
        <v>0</v>
      </c>
      <c r="CV92" s="120">
        <v>0</v>
      </c>
      <c r="CW92" s="120">
        <v>0</v>
      </c>
      <c r="CX92" s="120">
        <v>0</v>
      </c>
      <c r="CY92" s="120">
        <v>0</v>
      </c>
      <c r="CZ92" s="120">
        <v>0</v>
      </c>
      <c r="DA92" s="209">
        <f>IFERROR(Opv.kohd.[[#This Row],[Järjestämisluvan mukaiset 13]]/Opv.kohd.[[#This Row],[Järjestämisluvan mukaiset 12]],0)</f>
        <v>0</v>
      </c>
      <c r="DB92" s="209">
        <f>IFERROR(Opv.kohd.[[#This Row],[Kohdentamat-tomat 13]]/Opv.kohd.[[#This Row],[Kohdentamat-tomat 12]],0)</f>
        <v>0</v>
      </c>
      <c r="DC92" s="209">
        <f>IFERROR(Opv.kohd.[[#This Row],[Työvoima-koulutus 13]]/Opv.kohd.[[#This Row],[Työvoima-koulutus 12]],0)</f>
        <v>0</v>
      </c>
      <c r="DD92" s="209">
        <f>IFERROR(Opv.kohd.[[#This Row],[Maahan-muuttajien koulutus 13]]/Opv.kohd.[[#This Row],[Maahan-muuttajien koulutus 12]],0)</f>
        <v>0</v>
      </c>
      <c r="DE92" s="209">
        <f>IFERROR(Opv.kohd.[[#This Row],[Nuorisotyöt. väh. ja osaamistarp. vast., muu kuin työvoima-koulutus 13]]/Opv.kohd.[[#This Row],[Nuorisotyöt. väh. ja osaamistarp. vast., muu kuin työvoima-koulutus 12]],0)</f>
        <v>0</v>
      </c>
      <c r="DF92" s="209">
        <f>IFERROR(Opv.kohd.[[#This Row],[Nuorisotyöt. väh. ja osaamistarp. vast., työvoima-koulutus 13]]/Opv.kohd.[[#This Row],[Nuorisotyöt. väh. ja osaamistarp. vast., työvoima-koulutus 12]],0)</f>
        <v>0</v>
      </c>
      <c r="DG92" s="209">
        <f>IFERROR(Opv.kohd.[[#This Row],[Yhteensä 13]]/Opv.kohd.[[#This Row],[Yhteensä 12]],0)</f>
        <v>0</v>
      </c>
      <c r="DH92" s="209">
        <f>IFERROR(Opv.kohd.[[#This Row],[Tavoitteelliset opiskelijavuodet yhteensä 13]]/Opv.kohd.[[#This Row],[Tavoitteelliset opiskelijavuodet yhteensä 12]],0)</f>
        <v>0</v>
      </c>
      <c r="DI92" s="207">
        <f>Opv.kohd.[[#This Row],[Järjestämisluvan mukaiset 12]]-Opv.kohd.[[#This Row],[Järjestämisluvan mukaiset 9]]</f>
        <v>0</v>
      </c>
      <c r="DJ92" s="207">
        <f>Opv.kohd.[[#This Row],[Kohdentamat-tomat 12]]-Opv.kohd.[[#This Row],[Kohdentamat-tomat 9]]</f>
        <v>-115</v>
      </c>
      <c r="DK92" s="207">
        <f>Opv.kohd.[[#This Row],[Työvoima-koulutus 12]]-Opv.kohd.[[#This Row],[Työvoima-koulutus 9]]</f>
        <v>0</v>
      </c>
      <c r="DL92" s="207">
        <f>Opv.kohd.[[#This Row],[Maahan-muuttajien koulutus 12]]-Opv.kohd.[[#This Row],[Maahan-muuttajien koulutus 9]]</f>
        <v>0</v>
      </c>
      <c r="DM92" s="207">
        <f>Opv.kohd.[[#This Row],[Nuorisotyöt. väh. ja osaamistarp. vast., muu kuin työvoima-koulutus 12]]-Opv.kohd.[[#This Row],[Nuorisotyöt. väh. ja osaamistarp. vast., muu kuin työvoima-koulutus 9]]</f>
        <v>0</v>
      </c>
      <c r="DN92" s="207">
        <f>Opv.kohd.[[#This Row],[Nuorisotyöt. väh. ja osaamistarp. vast., työvoima-koulutus 12]]-Opv.kohd.[[#This Row],[Nuorisotyöt. väh. ja osaamistarp. vast., työvoima-koulutus 9]]</f>
        <v>0</v>
      </c>
      <c r="DO92" s="207">
        <f>Opv.kohd.[[#This Row],[Yhteensä 12]]-Opv.kohd.[[#This Row],[Yhteensä 9]]</f>
        <v>-115</v>
      </c>
      <c r="DP92" s="207">
        <f>Opv.kohd.[[#This Row],[Tavoitteelliset opiskelijavuodet yhteensä 12]]-Opv.kohd.[[#This Row],[Tavoitteelliset opiskelijavuodet yhteensä 9]]</f>
        <v>-115</v>
      </c>
      <c r="DQ92" s="209">
        <f>IFERROR(Opv.kohd.[[#This Row],[Järjestämisluvan mukaiset 15]]/Opv.kohd.[[#This Row],[Järjestämisluvan mukaiset 9]],0)</f>
        <v>0</v>
      </c>
      <c r="DR92" s="209">
        <f t="shared" si="25"/>
        <v>0</v>
      </c>
      <c r="DS92" s="209">
        <f t="shared" si="26"/>
        <v>0</v>
      </c>
      <c r="DT92" s="209">
        <f t="shared" si="27"/>
        <v>0</v>
      </c>
      <c r="DU92" s="209">
        <f t="shared" si="28"/>
        <v>0</v>
      </c>
      <c r="DV92" s="209">
        <f t="shared" si="29"/>
        <v>0</v>
      </c>
      <c r="DW92" s="209">
        <f t="shared" si="30"/>
        <v>0</v>
      </c>
      <c r="DX92" s="209">
        <f t="shared" si="31"/>
        <v>0</v>
      </c>
    </row>
    <row r="93" spans="1:128" x14ac:dyDescent="0.25">
      <c r="A93" s="204" t="e">
        <f>IF(INDEX(#REF!,ROW(93:93)-1,1)=0,"",INDEX(#REF!,ROW(93:93)-1,1))</f>
        <v>#REF!</v>
      </c>
      <c r="B93" s="205" t="str">
        <f>IFERROR(VLOOKUP(Opv.kohd.[[#This Row],[Y-tunnus]],'0 Järjestäjätiedot'!$A:$H,2,FALSE),"")</f>
        <v/>
      </c>
      <c r="C93" s="204" t="str">
        <f>IFERROR(VLOOKUP(Opv.kohd.[[#This Row],[Y-tunnus]],'0 Järjestäjätiedot'!$A:$H,COLUMN('0 Järjestäjätiedot'!D:D),FALSE),"")</f>
        <v/>
      </c>
      <c r="D93" s="204" t="str">
        <f>IFERROR(VLOOKUP(Opv.kohd.[[#This Row],[Y-tunnus]],'0 Järjestäjätiedot'!$A:$H,COLUMN('0 Järjestäjätiedot'!H:H),FALSE),"")</f>
        <v/>
      </c>
      <c r="E93" s="204">
        <f>IFERROR(VLOOKUP(Opv.kohd.[[#This Row],[Y-tunnus]],#REF!,COLUMN(#REF!),FALSE),0)</f>
        <v>0</v>
      </c>
      <c r="F93" s="204">
        <f>IFERROR(VLOOKUP(Opv.kohd.[[#This Row],[Y-tunnus]],#REF!,COLUMN(#REF!),FALSE),0)</f>
        <v>0</v>
      </c>
      <c r="G93" s="204">
        <f>IFERROR(VLOOKUP(Opv.kohd.[[#This Row],[Y-tunnus]],#REF!,COLUMN(#REF!),FALSE),0)</f>
        <v>0</v>
      </c>
      <c r="H93" s="204">
        <f>IFERROR(VLOOKUP(Opv.kohd.[[#This Row],[Y-tunnus]],#REF!,COLUMN(#REF!),FALSE),0)</f>
        <v>0</v>
      </c>
      <c r="I93" s="204">
        <f>IFERROR(VLOOKUP(Opv.kohd.[[#This Row],[Y-tunnus]],#REF!,COLUMN(#REF!),FALSE),0)</f>
        <v>0</v>
      </c>
      <c r="J93" s="204">
        <f>IFERROR(VLOOKUP(Opv.kohd.[[#This Row],[Y-tunnus]],#REF!,COLUMN(#REF!),FALSE),0)</f>
        <v>0</v>
      </c>
      <c r="K9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93" s="204">
        <f>Opv.kohd.[[#This Row],[Järjestämisluvan mukaiset 1]]+Opv.kohd.[[#This Row],[Yhteensä  1]]</f>
        <v>0</v>
      </c>
      <c r="M93" s="204">
        <f>IFERROR(VLOOKUP(Opv.kohd.[[#This Row],[Y-tunnus]],#REF!,COLUMN(#REF!),FALSE),0)</f>
        <v>0</v>
      </c>
      <c r="N93" s="204">
        <f>IFERROR(VLOOKUP(Opv.kohd.[[#This Row],[Y-tunnus]],#REF!,COLUMN(#REF!),FALSE),0)</f>
        <v>0</v>
      </c>
      <c r="O93" s="204">
        <f>IFERROR(VLOOKUP(Opv.kohd.[[#This Row],[Y-tunnus]],#REF!,COLUMN(#REF!),FALSE)+VLOOKUP(Opv.kohd.[[#This Row],[Y-tunnus]],#REF!,COLUMN(#REF!),FALSE),0)</f>
        <v>0</v>
      </c>
      <c r="P93" s="204">
        <f>Opv.kohd.[[#This Row],[Talousarvion perusteella kohdentamattomat]]+Opv.kohd.[[#This Row],[Talousarvion perusteella työvoimakoulutus 1]]+Opv.kohd.[[#This Row],[Lisätalousarvioiden perusteella]]</f>
        <v>0</v>
      </c>
      <c r="Q93" s="204">
        <f>IFERROR(VLOOKUP(Opv.kohd.[[#This Row],[Y-tunnus]],#REF!,COLUMN(#REF!),FALSE),0)</f>
        <v>0</v>
      </c>
      <c r="R93" s="210">
        <f>IFERROR(VLOOKUP(Opv.kohd.[[#This Row],[Y-tunnus]],#REF!,COLUMN(#REF!),FALSE)-(Opv.kohd.[[#This Row],[Kohdentamaton työvoima-koulutus 2]]+Opv.kohd.[[#This Row],[Maahan-muuttajien koulutus 2]]+Opv.kohd.[[#This Row],[Lisätalousarvioiden perusteella jaetut 2]]),0)</f>
        <v>0</v>
      </c>
      <c r="S93" s="210">
        <f>IFERROR(VLOOKUP(Opv.kohd.[[#This Row],[Y-tunnus]],#REF!,COLUMN(#REF!),FALSE)+VLOOKUP(Opv.kohd.[[#This Row],[Y-tunnus]],#REF!,COLUMN(#REF!),FALSE),0)</f>
        <v>0</v>
      </c>
      <c r="T93" s="210">
        <f>IFERROR(VLOOKUP(Opv.kohd.[[#This Row],[Y-tunnus]],#REF!,COLUMN(#REF!),FALSE)+VLOOKUP(Opv.kohd.[[#This Row],[Y-tunnus]],#REF!,COLUMN(#REF!),FALSE),0)</f>
        <v>0</v>
      </c>
      <c r="U9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93" s="210">
        <f>Opv.kohd.[[#This Row],[Kohdentamat-tomat 2]]+Opv.kohd.[[#This Row],[Kohdentamaton työvoima-koulutus 2]]+Opv.kohd.[[#This Row],[Maahan-muuttajien koulutus 2]]+Opv.kohd.[[#This Row],[Lisätalousarvioiden perusteella jaetut 2]]</f>
        <v>0</v>
      </c>
      <c r="W93" s="210">
        <f>Opv.kohd.[[#This Row],[Kohdentamat-tomat 2]]-(Opv.kohd.[[#This Row],[Järjestämisluvan mukaiset 1]]+Opv.kohd.[[#This Row],[Kohdentamat-tomat 1]]+Opv.kohd.[[#This Row],[Nuorisotyöt. väh. ja osaamistarp. vast., muu kuin työvoima-koulutus 1]]+Opv.kohd.[[#This Row],[Talousarvion perusteella kohdentamattomat]])</f>
        <v>0</v>
      </c>
      <c r="X93" s="210">
        <f>Opv.kohd.[[#This Row],[Kohdentamaton työvoima-koulutus 2]]-(Opv.kohd.[[#This Row],[Työvoima-koulutus 1]]+Opv.kohd.[[#This Row],[Nuorisotyöt. väh. ja osaamistarp. vast., työvoima-koulutus 1]]+Opv.kohd.[[#This Row],[Talousarvion perusteella työvoimakoulutus 1]])</f>
        <v>0</v>
      </c>
      <c r="Y93" s="210">
        <f>Opv.kohd.[[#This Row],[Maahan-muuttajien koulutus 2]]-Opv.kohd.[[#This Row],[Maahan-muuttajien koulutus 1]]</f>
        <v>0</v>
      </c>
      <c r="Z93" s="210">
        <f>Opv.kohd.[[#This Row],[Lisätalousarvioiden perusteella jaetut 2]]-Opv.kohd.[[#This Row],[Lisätalousarvioiden perusteella]]</f>
        <v>0</v>
      </c>
      <c r="AA93" s="210">
        <f>Opv.kohd.[[#This Row],[Toteutuneet opiskelijavuodet yhteensä 2]]-Opv.kohd.[[#This Row],[Vuoden 2018 tavoitteelliset opiskelijavuodet yhteensä 1]]</f>
        <v>0</v>
      </c>
      <c r="AB93" s="207">
        <f>IFERROR(VLOOKUP(Opv.kohd.[[#This Row],[Y-tunnus]],#REF!,3,FALSE),0)</f>
        <v>0</v>
      </c>
      <c r="AC93" s="207">
        <f>IFERROR(VLOOKUP(Opv.kohd.[[#This Row],[Y-tunnus]],#REF!,4,FALSE),0)</f>
        <v>0</v>
      </c>
      <c r="AD93" s="207">
        <f>IFERROR(VLOOKUP(Opv.kohd.[[#This Row],[Y-tunnus]],#REF!,5,FALSE),0)</f>
        <v>0</v>
      </c>
      <c r="AE93" s="207">
        <f>IFERROR(VLOOKUP(Opv.kohd.[[#This Row],[Y-tunnus]],#REF!,6,FALSE),0)</f>
        <v>0</v>
      </c>
      <c r="AF93" s="207">
        <f>IFERROR(VLOOKUP(Opv.kohd.[[#This Row],[Y-tunnus]],#REF!,7,FALSE),0)</f>
        <v>0</v>
      </c>
      <c r="AG93" s="207">
        <f>IFERROR(VLOOKUP(Opv.kohd.[[#This Row],[Y-tunnus]],#REF!,8,FALSE),0)</f>
        <v>0</v>
      </c>
      <c r="AH93" s="207">
        <f>IFERROR(VLOOKUP(Opv.kohd.[[#This Row],[Y-tunnus]],#REF!,9,FALSE),0)</f>
        <v>0</v>
      </c>
      <c r="AI93" s="207">
        <f>IFERROR(VLOOKUP(Opv.kohd.[[#This Row],[Y-tunnus]],#REF!,10,FALSE),0)</f>
        <v>0</v>
      </c>
      <c r="AJ93" s="204">
        <f>Opv.kohd.[[#This Row],[Järjestämisluvan mukaiset 4]]-Opv.kohd.[[#This Row],[Järjestämisluvan mukaiset 1]]</f>
        <v>0</v>
      </c>
      <c r="AK93" s="204">
        <f>Opv.kohd.[[#This Row],[Kohdentamat-tomat 4]]-Opv.kohd.[[#This Row],[Kohdentamat-tomat 1]]</f>
        <v>0</v>
      </c>
      <c r="AL93" s="204">
        <f>Opv.kohd.[[#This Row],[Työvoima-koulutus 4]]-Opv.kohd.[[#This Row],[Työvoima-koulutus 1]]</f>
        <v>0</v>
      </c>
      <c r="AM93" s="204">
        <f>Opv.kohd.[[#This Row],[Maahan-muuttajien koulutus 4]]-Opv.kohd.[[#This Row],[Maahan-muuttajien koulutus 1]]</f>
        <v>0</v>
      </c>
      <c r="AN93" s="204">
        <f>Opv.kohd.[[#This Row],[Nuorisotyöt. väh. ja osaamistarp. vast., muu kuin työvoima-koulutus 4]]-Opv.kohd.[[#This Row],[Nuorisotyöt. väh. ja osaamistarp. vast., muu kuin työvoima-koulutus 1]]</f>
        <v>0</v>
      </c>
      <c r="AO93" s="204">
        <f>Opv.kohd.[[#This Row],[Nuorisotyöt. väh. ja osaamistarp. vast., työvoima-koulutus 4]]-Opv.kohd.[[#This Row],[Nuorisotyöt. väh. ja osaamistarp. vast., työvoima-koulutus 1]]</f>
        <v>0</v>
      </c>
      <c r="AP93" s="204">
        <f>Opv.kohd.[[#This Row],[Yhteensä 4]]-Opv.kohd.[[#This Row],[Yhteensä  1]]</f>
        <v>0</v>
      </c>
      <c r="AQ93" s="204">
        <f>Opv.kohd.[[#This Row],[Ensikertaisella suoritepäätöksellä jaetut tavoitteelliset opiskelijavuodet yhteensä 4]]-Opv.kohd.[[#This Row],[Ensikertaisella suoritepäätöksellä jaetut tavoitteelliset opiskelijavuodet yhteensä 1]]</f>
        <v>0</v>
      </c>
      <c r="AR93" s="208">
        <f>IFERROR(Opv.kohd.[[#This Row],[Järjestämisluvan mukaiset 5]]/Opv.kohd.[[#This Row],[Järjestämisluvan mukaiset 4]],0)</f>
        <v>0</v>
      </c>
      <c r="AS93" s="208">
        <f>IFERROR(Opv.kohd.[[#This Row],[Kohdentamat-tomat 5]]/Opv.kohd.[[#This Row],[Kohdentamat-tomat 4]],0)</f>
        <v>0</v>
      </c>
      <c r="AT93" s="208">
        <f>IFERROR(Opv.kohd.[[#This Row],[Työvoima-koulutus 5]]/Opv.kohd.[[#This Row],[Työvoima-koulutus 4]],0)</f>
        <v>0</v>
      </c>
      <c r="AU93" s="208">
        <f>IFERROR(Opv.kohd.[[#This Row],[Maahan-muuttajien koulutus 5]]/Opv.kohd.[[#This Row],[Maahan-muuttajien koulutus 4]],0)</f>
        <v>0</v>
      </c>
      <c r="AV93" s="208">
        <f>IFERROR(Opv.kohd.[[#This Row],[Nuorisotyöt. väh. ja osaamistarp. vast., muu kuin työvoima-koulutus 5]]/Opv.kohd.[[#This Row],[Nuorisotyöt. väh. ja osaamistarp. vast., muu kuin työvoima-koulutus 4]],0)</f>
        <v>0</v>
      </c>
      <c r="AW93" s="208">
        <f>IFERROR(Opv.kohd.[[#This Row],[Nuorisotyöt. väh. ja osaamistarp. vast., työvoima-koulutus 5]]/Opv.kohd.[[#This Row],[Nuorisotyöt. väh. ja osaamistarp. vast., työvoima-koulutus 4]],0)</f>
        <v>0</v>
      </c>
      <c r="AX93" s="208">
        <f>IFERROR(Opv.kohd.[[#This Row],[Yhteensä 5]]/Opv.kohd.[[#This Row],[Yhteensä 4]],0)</f>
        <v>0</v>
      </c>
      <c r="AY93" s="208">
        <f>IFERROR(Opv.kohd.[[#This Row],[Ensikertaisella suoritepäätöksellä jaetut tavoitteelliset opiskelijavuodet yhteensä 5]]/Opv.kohd.[[#This Row],[Ensikertaisella suoritepäätöksellä jaetut tavoitteelliset opiskelijavuodet yhteensä 4]],0)</f>
        <v>0</v>
      </c>
      <c r="AZ93" s="207">
        <f>Opv.kohd.[[#This Row],[Yhteensä 7a]]-Opv.kohd.[[#This Row],[Työvoima-koulutus 7a]]</f>
        <v>0</v>
      </c>
      <c r="BA93" s="207">
        <f>IFERROR(VLOOKUP(Opv.kohd.[[#This Row],[Y-tunnus]],#REF!,COLUMN(#REF!),FALSE),0)</f>
        <v>0</v>
      </c>
      <c r="BB93" s="207">
        <f>IFERROR(VLOOKUP(Opv.kohd.[[#This Row],[Y-tunnus]],#REF!,COLUMN(#REF!),FALSE),0)</f>
        <v>0</v>
      </c>
      <c r="BC93" s="207">
        <f>Opv.kohd.[[#This Row],[Muu kuin työvoima-koulutus 7c]]-Opv.kohd.[[#This Row],[Muu kuin työvoima-koulutus 7a]]</f>
        <v>0</v>
      </c>
      <c r="BD93" s="207">
        <f>Opv.kohd.[[#This Row],[Työvoima-koulutus 7c]]-Opv.kohd.[[#This Row],[Työvoima-koulutus 7a]]</f>
        <v>0</v>
      </c>
      <c r="BE93" s="207">
        <f>Opv.kohd.[[#This Row],[Yhteensä 7c]]-Opv.kohd.[[#This Row],[Yhteensä 7a]]</f>
        <v>0</v>
      </c>
      <c r="BF93" s="207">
        <f>Opv.kohd.[[#This Row],[Yhteensä 7c]]-Opv.kohd.[[#This Row],[Työvoima-koulutus 7c]]</f>
        <v>0</v>
      </c>
      <c r="BG93" s="207">
        <f>IFERROR(VLOOKUP(Opv.kohd.[[#This Row],[Y-tunnus]],#REF!,COLUMN(#REF!),FALSE),0)</f>
        <v>0</v>
      </c>
      <c r="BH93" s="207">
        <f>IFERROR(VLOOKUP(Opv.kohd.[[#This Row],[Y-tunnus]],#REF!,COLUMN(#REF!),FALSE),0)</f>
        <v>0</v>
      </c>
      <c r="BI93" s="207">
        <f>IFERROR(VLOOKUP(Opv.kohd.[[#This Row],[Y-tunnus]],#REF!,COLUMN(#REF!),FALSE),0)</f>
        <v>0</v>
      </c>
      <c r="BJ93" s="207">
        <f>IFERROR(VLOOKUP(Opv.kohd.[[#This Row],[Y-tunnus]],#REF!,COLUMN(#REF!),FALSE),0)</f>
        <v>0</v>
      </c>
      <c r="BK93" s="207">
        <f>Opv.kohd.[[#This Row],[Muu kuin työvoima-koulutus 7d]]+Opv.kohd.[[#This Row],[Työvoima-koulutus 7d]]</f>
        <v>0</v>
      </c>
      <c r="BL93" s="207">
        <f>Opv.kohd.[[#This Row],[Muu kuin työvoima-koulutus 7c]]-Opv.kohd.[[#This Row],[Muu kuin työvoima-koulutus 7d]]</f>
        <v>0</v>
      </c>
      <c r="BM93" s="207">
        <f>Opv.kohd.[[#This Row],[Työvoima-koulutus 7c]]-Opv.kohd.[[#This Row],[Työvoima-koulutus 7d]]</f>
        <v>0</v>
      </c>
      <c r="BN93" s="207">
        <f>Opv.kohd.[[#This Row],[Yhteensä 7c]]-Opv.kohd.[[#This Row],[Yhteensä 7d]]</f>
        <v>0</v>
      </c>
      <c r="BO93" s="207">
        <f>Opv.kohd.[[#This Row],[Muu kuin työvoima-koulutus 7e]]-(Opv.kohd.[[#This Row],[Järjestämisluvan mukaiset 4]]+Opv.kohd.[[#This Row],[Kohdentamat-tomat 4]]+Opv.kohd.[[#This Row],[Maahan-muuttajien koulutus 4]]+Opv.kohd.[[#This Row],[Nuorisotyöt. väh. ja osaamistarp. vast., muu kuin työvoima-koulutus 4]])</f>
        <v>0</v>
      </c>
      <c r="BP93" s="207">
        <f>Opv.kohd.[[#This Row],[Työvoima-koulutus 7e]]-(Opv.kohd.[[#This Row],[Työvoima-koulutus 4]]+Opv.kohd.[[#This Row],[Nuorisotyöt. väh. ja osaamistarp. vast., työvoima-koulutus 4]])</f>
        <v>0</v>
      </c>
      <c r="BQ93" s="207">
        <f>Opv.kohd.[[#This Row],[Yhteensä 7e]]-Opv.kohd.[[#This Row],[Ensikertaisella suoritepäätöksellä jaetut tavoitteelliset opiskelijavuodet yhteensä 4]]</f>
        <v>0</v>
      </c>
      <c r="BR93" s="263">
        <v>0</v>
      </c>
      <c r="BS93" s="263">
        <v>75</v>
      </c>
      <c r="BT93" s="263">
        <v>0</v>
      </c>
      <c r="BU93" s="263">
        <v>0</v>
      </c>
      <c r="BV93" s="263">
        <v>0</v>
      </c>
      <c r="BW93" s="263">
        <v>0</v>
      </c>
      <c r="BX93" s="263">
        <v>75</v>
      </c>
      <c r="BY93" s="263">
        <v>75</v>
      </c>
      <c r="BZ93" s="207">
        <f t="shared" si="17"/>
        <v>0</v>
      </c>
      <c r="CA93" s="207">
        <f t="shared" si="18"/>
        <v>75</v>
      </c>
      <c r="CB93" s="207">
        <f t="shared" si="19"/>
        <v>0</v>
      </c>
      <c r="CC93" s="207">
        <f t="shared" si="20"/>
        <v>0</v>
      </c>
      <c r="CD93" s="207">
        <f t="shared" si="21"/>
        <v>0</v>
      </c>
      <c r="CE93" s="207">
        <f t="shared" si="22"/>
        <v>0</v>
      </c>
      <c r="CF93" s="207">
        <f t="shared" si="23"/>
        <v>75</v>
      </c>
      <c r="CG93" s="207">
        <f t="shared" si="24"/>
        <v>75</v>
      </c>
      <c r="CH93" s="207">
        <f>Opv.kohd.[[#This Row],[Tavoitteelliset opiskelijavuodet yhteensä 9]]-Opv.kohd.[[#This Row],[Työvoima-koulutus 9]]-Opv.kohd.[[#This Row],[Nuorisotyöt. väh. ja osaamistarp. vast., työvoima-koulutus 9]]-Opv.kohd.[[#This Row],[Muu kuin työvoima-koulutus 7e]]</f>
        <v>75</v>
      </c>
      <c r="CI93" s="207">
        <f>(Opv.kohd.[[#This Row],[Työvoima-koulutus 9]]+Opv.kohd.[[#This Row],[Nuorisotyöt. väh. ja osaamistarp. vast., työvoima-koulutus 9]])-Opv.kohd.[[#This Row],[Työvoima-koulutus 7e]]</f>
        <v>0</v>
      </c>
      <c r="CJ93" s="207">
        <f>Opv.kohd.[[#This Row],[Tavoitteelliset opiskelijavuodet yhteensä 9]]-Opv.kohd.[[#This Row],[Yhteensä 7e]]</f>
        <v>75</v>
      </c>
      <c r="CK93" s="207">
        <f>Opv.kohd.[[#This Row],[Järjestämisluvan mukaiset 4]]+Opv.kohd.[[#This Row],[Järjestämisluvan mukaiset 13]]</f>
        <v>0</v>
      </c>
      <c r="CL93" s="207">
        <f>Opv.kohd.[[#This Row],[Kohdentamat-tomat 4]]+Opv.kohd.[[#This Row],[Kohdentamat-tomat 13]]</f>
        <v>0</v>
      </c>
      <c r="CM93" s="207">
        <f>Opv.kohd.[[#This Row],[Työvoima-koulutus 4]]+Opv.kohd.[[#This Row],[Työvoima-koulutus 13]]</f>
        <v>0</v>
      </c>
      <c r="CN93" s="207">
        <f>Opv.kohd.[[#This Row],[Maahan-muuttajien koulutus 4]]+Opv.kohd.[[#This Row],[Maahan-muuttajien koulutus 13]]</f>
        <v>0</v>
      </c>
      <c r="CO93" s="207">
        <f>Opv.kohd.[[#This Row],[Nuorisotyöt. väh. ja osaamistarp. vast., muu kuin työvoima-koulutus 4]]+Opv.kohd.[[#This Row],[Nuorisotyöt. väh. ja osaamistarp. vast., muu kuin työvoima-koulutus 13]]</f>
        <v>0</v>
      </c>
      <c r="CP93" s="207">
        <f>Opv.kohd.[[#This Row],[Nuorisotyöt. väh. ja osaamistarp. vast., työvoima-koulutus 4]]+Opv.kohd.[[#This Row],[Nuorisotyöt. väh. ja osaamistarp. vast., työvoima-koulutus 13]]</f>
        <v>0</v>
      </c>
      <c r="CQ93" s="207">
        <f>Opv.kohd.[[#This Row],[Yhteensä 4]]+Opv.kohd.[[#This Row],[Yhteensä 13]]</f>
        <v>0</v>
      </c>
      <c r="CR93" s="207">
        <f>Opv.kohd.[[#This Row],[Ensikertaisella suoritepäätöksellä jaetut tavoitteelliset opiskelijavuodet yhteensä 4]]+Opv.kohd.[[#This Row],[Tavoitteelliset opiskelijavuodet yhteensä 13]]</f>
        <v>0</v>
      </c>
      <c r="CS93" s="120">
        <v>0</v>
      </c>
      <c r="CT93" s="120">
        <v>0</v>
      </c>
      <c r="CU93" s="120">
        <v>0</v>
      </c>
      <c r="CV93" s="120">
        <v>0</v>
      </c>
      <c r="CW93" s="120">
        <v>0</v>
      </c>
      <c r="CX93" s="120">
        <v>0</v>
      </c>
      <c r="CY93" s="120">
        <v>0</v>
      </c>
      <c r="CZ93" s="120">
        <v>0</v>
      </c>
      <c r="DA93" s="209">
        <f>IFERROR(Opv.kohd.[[#This Row],[Järjestämisluvan mukaiset 13]]/Opv.kohd.[[#This Row],[Järjestämisluvan mukaiset 12]],0)</f>
        <v>0</v>
      </c>
      <c r="DB93" s="209">
        <f>IFERROR(Opv.kohd.[[#This Row],[Kohdentamat-tomat 13]]/Opv.kohd.[[#This Row],[Kohdentamat-tomat 12]],0)</f>
        <v>0</v>
      </c>
      <c r="DC93" s="209">
        <f>IFERROR(Opv.kohd.[[#This Row],[Työvoima-koulutus 13]]/Opv.kohd.[[#This Row],[Työvoima-koulutus 12]],0)</f>
        <v>0</v>
      </c>
      <c r="DD93" s="209">
        <f>IFERROR(Opv.kohd.[[#This Row],[Maahan-muuttajien koulutus 13]]/Opv.kohd.[[#This Row],[Maahan-muuttajien koulutus 12]],0)</f>
        <v>0</v>
      </c>
      <c r="DE93" s="209">
        <f>IFERROR(Opv.kohd.[[#This Row],[Nuorisotyöt. väh. ja osaamistarp. vast., muu kuin työvoima-koulutus 13]]/Opv.kohd.[[#This Row],[Nuorisotyöt. väh. ja osaamistarp. vast., muu kuin työvoima-koulutus 12]],0)</f>
        <v>0</v>
      </c>
      <c r="DF93" s="209">
        <f>IFERROR(Opv.kohd.[[#This Row],[Nuorisotyöt. väh. ja osaamistarp. vast., työvoima-koulutus 13]]/Opv.kohd.[[#This Row],[Nuorisotyöt. väh. ja osaamistarp. vast., työvoima-koulutus 12]],0)</f>
        <v>0</v>
      </c>
      <c r="DG93" s="209">
        <f>IFERROR(Opv.kohd.[[#This Row],[Yhteensä 13]]/Opv.kohd.[[#This Row],[Yhteensä 12]],0)</f>
        <v>0</v>
      </c>
      <c r="DH93" s="209">
        <f>IFERROR(Opv.kohd.[[#This Row],[Tavoitteelliset opiskelijavuodet yhteensä 13]]/Opv.kohd.[[#This Row],[Tavoitteelliset opiskelijavuodet yhteensä 12]],0)</f>
        <v>0</v>
      </c>
      <c r="DI93" s="207">
        <f>Opv.kohd.[[#This Row],[Järjestämisluvan mukaiset 12]]-Opv.kohd.[[#This Row],[Järjestämisluvan mukaiset 9]]</f>
        <v>0</v>
      </c>
      <c r="DJ93" s="207">
        <f>Opv.kohd.[[#This Row],[Kohdentamat-tomat 12]]-Opv.kohd.[[#This Row],[Kohdentamat-tomat 9]]</f>
        <v>-75</v>
      </c>
      <c r="DK93" s="207">
        <f>Opv.kohd.[[#This Row],[Työvoima-koulutus 12]]-Opv.kohd.[[#This Row],[Työvoima-koulutus 9]]</f>
        <v>0</v>
      </c>
      <c r="DL93" s="207">
        <f>Opv.kohd.[[#This Row],[Maahan-muuttajien koulutus 12]]-Opv.kohd.[[#This Row],[Maahan-muuttajien koulutus 9]]</f>
        <v>0</v>
      </c>
      <c r="DM93" s="207">
        <f>Opv.kohd.[[#This Row],[Nuorisotyöt. väh. ja osaamistarp. vast., muu kuin työvoima-koulutus 12]]-Opv.kohd.[[#This Row],[Nuorisotyöt. väh. ja osaamistarp. vast., muu kuin työvoima-koulutus 9]]</f>
        <v>0</v>
      </c>
      <c r="DN93" s="207">
        <f>Opv.kohd.[[#This Row],[Nuorisotyöt. väh. ja osaamistarp. vast., työvoima-koulutus 12]]-Opv.kohd.[[#This Row],[Nuorisotyöt. väh. ja osaamistarp. vast., työvoima-koulutus 9]]</f>
        <v>0</v>
      </c>
      <c r="DO93" s="207">
        <f>Opv.kohd.[[#This Row],[Yhteensä 12]]-Opv.kohd.[[#This Row],[Yhteensä 9]]</f>
        <v>-75</v>
      </c>
      <c r="DP93" s="207">
        <f>Opv.kohd.[[#This Row],[Tavoitteelliset opiskelijavuodet yhteensä 12]]-Opv.kohd.[[#This Row],[Tavoitteelliset opiskelijavuodet yhteensä 9]]</f>
        <v>-75</v>
      </c>
      <c r="DQ93" s="209">
        <f>IFERROR(Opv.kohd.[[#This Row],[Järjestämisluvan mukaiset 15]]/Opv.kohd.[[#This Row],[Järjestämisluvan mukaiset 9]],0)</f>
        <v>0</v>
      </c>
      <c r="DR93" s="209">
        <f t="shared" si="25"/>
        <v>0</v>
      </c>
      <c r="DS93" s="209">
        <f t="shared" si="26"/>
        <v>0</v>
      </c>
      <c r="DT93" s="209">
        <f t="shared" si="27"/>
        <v>0</v>
      </c>
      <c r="DU93" s="209">
        <f t="shared" si="28"/>
        <v>0</v>
      </c>
      <c r="DV93" s="209">
        <f t="shared" si="29"/>
        <v>0</v>
      </c>
      <c r="DW93" s="209">
        <f t="shared" si="30"/>
        <v>0</v>
      </c>
      <c r="DX93" s="209">
        <f t="shared" si="31"/>
        <v>0</v>
      </c>
    </row>
    <row r="94" spans="1:128" x14ac:dyDescent="0.25">
      <c r="A94" s="204" t="e">
        <f>IF(INDEX(#REF!,ROW(94:94)-1,1)=0,"",INDEX(#REF!,ROW(94:94)-1,1))</f>
        <v>#REF!</v>
      </c>
      <c r="B94" s="205" t="str">
        <f>IFERROR(VLOOKUP(Opv.kohd.[[#This Row],[Y-tunnus]],'0 Järjestäjätiedot'!$A:$H,2,FALSE),"")</f>
        <v/>
      </c>
      <c r="C94" s="204" t="str">
        <f>IFERROR(VLOOKUP(Opv.kohd.[[#This Row],[Y-tunnus]],'0 Järjestäjätiedot'!$A:$H,COLUMN('0 Järjestäjätiedot'!D:D),FALSE),"")</f>
        <v/>
      </c>
      <c r="D94" s="204" t="str">
        <f>IFERROR(VLOOKUP(Opv.kohd.[[#This Row],[Y-tunnus]],'0 Järjestäjätiedot'!$A:$H,COLUMN('0 Järjestäjätiedot'!H:H),FALSE),"")</f>
        <v/>
      </c>
      <c r="E94" s="204">
        <f>IFERROR(VLOOKUP(Opv.kohd.[[#This Row],[Y-tunnus]],#REF!,COLUMN(#REF!),FALSE),0)</f>
        <v>0</v>
      </c>
      <c r="F94" s="204">
        <f>IFERROR(VLOOKUP(Opv.kohd.[[#This Row],[Y-tunnus]],#REF!,COLUMN(#REF!),FALSE),0)</f>
        <v>0</v>
      </c>
      <c r="G94" s="204">
        <f>IFERROR(VLOOKUP(Opv.kohd.[[#This Row],[Y-tunnus]],#REF!,COLUMN(#REF!),FALSE),0)</f>
        <v>0</v>
      </c>
      <c r="H94" s="204">
        <f>IFERROR(VLOOKUP(Opv.kohd.[[#This Row],[Y-tunnus]],#REF!,COLUMN(#REF!),FALSE),0)</f>
        <v>0</v>
      </c>
      <c r="I94" s="204">
        <f>IFERROR(VLOOKUP(Opv.kohd.[[#This Row],[Y-tunnus]],#REF!,COLUMN(#REF!),FALSE),0)</f>
        <v>0</v>
      </c>
      <c r="J94" s="204">
        <f>IFERROR(VLOOKUP(Opv.kohd.[[#This Row],[Y-tunnus]],#REF!,COLUMN(#REF!),FALSE),0)</f>
        <v>0</v>
      </c>
      <c r="K9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94" s="204">
        <f>Opv.kohd.[[#This Row],[Järjestämisluvan mukaiset 1]]+Opv.kohd.[[#This Row],[Yhteensä  1]]</f>
        <v>0</v>
      </c>
      <c r="M94" s="204">
        <f>IFERROR(VLOOKUP(Opv.kohd.[[#This Row],[Y-tunnus]],#REF!,COLUMN(#REF!),FALSE),0)</f>
        <v>0</v>
      </c>
      <c r="N94" s="204">
        <f>IFERROR(VLOOKUP(Opv.kohd.[[#This Row],[Y-tunnus]],#REF!,COLUMN(#REF!),FALSE),0)</f>
        <v>0</v>
      </c>
      <c r="O94" s="204">
        <f>IFERROR(VLOOKUP(Opv.kohd.[[#This Row],[Y-tunnus]],#REF!,COLUMN(#REF!),FALSE)+VLOOKUP(Opv.kohd.[[#This Row],[Y-tunnus]],#REF!,COLUMN(#REF!),FALSE),0)</f>
        <v>0</v>
      </c>
      <c r="P94" s="204">
        <f>Opv.kohd.[[#This Row],[Talousarvion perusteella kohdentamattomat]]+Opv.kohd.[[#This Row],[Talousarvion perusteella työvoimakoulutus 1]]+Opv.kohd.[[#This Row],[Lisätalousarvioiden perusteella]]</f>
        <v>0</v>
      </c>
      <c r="Q94" s="204">
        <f>IFERROR(VLOOKUP(Opv.kohd.[[#This Row],[Y-tunnus]],#REF!,COLUMN(#REF!),FALSE),0)</f>
        <v>0</v>
      </c>
      <c r="R94" s="210">
        <f>IFERROR(VLOOKUP(Opv.kohd.[[#This Row],[Y-tunnus]],#REF!,COLUMN(#REF!),FALSE)-(Opv.kohd.[[#This Row],[Kohdentamaton työvoima-koulutus 2]]+Opv.kohd.[[#This Row],[Maahan-muuttajien koulutus 2]]+Opv.kohd.[[#This Row],[Lisätalousarvioiden perusteella jaetut 2]]),0)</f>
        <v>0</v>
      </c>
      <c r="S94" s="210">
        <f>IFERROR(VLOOKUP(Opv.kohd.[[#This Row],[Y-tunnus]],#REF!,COLUMN(#REF!),FALSE)+VLOOKUP(Opv.kohd.[[#This Row],[Y-tunnus]],#REF!,COLUMN(#REF!),FALSE),0)</f>
        <v>0</v>
      </c>
      <c r="T94" s="210">
        <f>IFERROR(VLOOKUP(Opv.kohd.[[#This Row],[Y-tunnus]],#REF!,COLUMN(#REF!),FALSE)+VLOOKUP(Opv.kohd.[[#This Row],[Y-tunnus]],#REF!,COLUMN(#REF!),FALSE),0)</f>
        <v>0</v>
      </c>
      <c r="U9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94" s="210">
        <f>Opv.kohd.[[#This Row],[Kohdentamat-tomat 2]]+Opv.kohd.[[#This Row],[Kohdentamaton työvoima-koulutus 2]]+Opv.kohd.[[#This Row],[Maahan-muuttajien koulutus 2]]+Opv.kohd.[[#This Row],[Lisätalousarvioiden perusteella jaetut 2]]</f>
        <v>0</v>
      </c>
      <c r="W94" s="210">
        <f>Opv.kohd.[[#This Row],[Kohdentamat-tomat 2]]-(Opv.kohd.[[#This Row],[Järjestämisluvan mukaiset 1]]+Opv.kohd.[[#This Row],[Kohdentamat-tomat 1]]+Opv.kohd.[[#This Row],[Nuorisotyöt. väh. ja osaamistarp. vast., muu kuin työvoima-koulutus 1]]+Opv.kohd.[[#This Row],[Talousarvion perusteella kohdentamattomat]])</f>
        <v>0</v>
      </c>
      <c r="X94" s="210">
        <f>Opv.kohd.[[#This Row],[Kohdentamaton työvoima-koulutus 2]]-(Opv.kohd.[[#This Row],[Työvoima-koulutus 1]]+Opv.kohd.[[#This Row],[Nuorisotyöt. väh. ja osaamistarp. vast., työvoima-koulutus 1]]+Opv.kohd.[[#This Row],[Talousarvion perusteella työvoimakoulutus 1]])</f>
        <v>0</v>
      </c>
      <c r="Y94" s="210">
        <f>Opv.kohd.[[#This Row],[Maahan-muuttajien koulutus 2]]-Opv.kohd.[[#This Row],[Maahan-muuttajien koulutus 1]]</f>
        <v>0</v>
      </c>
      <c r="Z94" s="210">
        <f>Opv.kohd.[[#This Row],[Lisätalousarvioiden perusteella jaetut 2]]-Opv.kohd.[[#This Row],[Lisätalousarvioiden perusteella]]</f>
        <v>0</v>
      </c>
      <c r="AA94" s="210">
        <f>Opv.kohd.[[#This Row],[Toteutuneet opiskelijavuodet yhteensä 2]]-Opv.kohd.[[#This Row],[Vuoden 2018 tavoitteelliset opiskelijavuodet yhteensä 1]]</f>
        <v>0</v>
      </c>
      <c r="AB94" s="207">
        <f>IFERROR(VLOOKUP(Opv.kohd.[[#This Row],[Y-tunnus]],#REF!,3,FALSE),0)</f>
        <v>0</v>
      </c>
      <c r="AC94" s="207">
        <f>IFERROR(VLOOKUP(Opv.kohd.[[#This Row],[Y-tunnus]],#REF!,4,FALSE),0)</f>
        <v>0</v>
      </c>
      <c r="AD94" s="207">
        <f>IFERROR(VLOOKUP(Opv.kohd.[[#This Row],[Y-tunnus]],#REF!,5,FALSE),0)</f>
        <v>0</v>
      </c>
      <c r="AE94" s="207">
        <f>IFERROR(VLOOKUP(Opv.kohd.[[#This Row],[Y-tunnus]],#REF!,6,FALSE),0)</f>
        <v>0</v>
      </c>
      <c r="AF94" s="207">
        <f>IFERROR(VLOOKUP(Opv.kohd.[[#This Row],[Y-tunnus]],#REF!,7,FALSE),0)</f>
        <v>0</v>
      </c>
      <c r="AG94" s="207">
        <f>IFERROR(VLOOKUP(Opv.kohd.[[#This Row],[Y-tunnus]],#REF!,8,FALSE),0)</f>
        <v>0</v>
      </c>
      <c r="AH94" s="207">
        <f>IFERROR(VLOOKUP(Opv.kohd.[[#This Row],[Y-tunnus]],#REF!,9,FALSE),0)</f>
        <v>0</v>
      </c>
      <c r="AI94" s="207">
        <f>IFERROR(VLOOKUP(Opv.kohd.[[#This Row],[Y-tunnus]],#REF!,10,FALSE),0)</f>
        <v>0</v>
      </c>
      <c r="AJ94" s="204">
        <f>Opv.kohd.[[#This Row],[Järjestämisluvan mukaiset 4]]-Opv.kohd.[[#This Row],[Järjestämisluvan mukaiset 1]]</f>
        <v>0</v>
      </c>
      <c r="AK94" s="204">
        <f>Opv.kohd.[[#This Row],[Kohdentamat-tomat 4]]-Opv.kohd.[[#This Row],[Kohdentamat-tomat 1]]</f>
        <v>0</v>
      </c>
      <c r="AL94" s="204">
        <f>Opv.kohd.[[#This Row],[Työvoima-koulutus 4]]-Opv.kohd.[[#This Row],[Työvoima-koulutus 1]]</f>
        <v>0</v>
      </c>
      <c r="AM94" s="204">
        <f>Opv.kohd.[[#This Row],[Maahan-muuttajien koulutus 4]]-Opv.kohd.[[#This Row],[Maahan-muuttajien koulutus 1]]</f>
        <v>0</v>
      </c>
      <c r="AN94" s="204">
        <f>Opv.kohd.[[#This Row],[Nuorisotyöt. väh. ja osaamistarp. vast., muu kuin työvoima-koulutus 4]]-Opv.kohd.[[#This Row],[Nuorisotyöt. väh. ja osaamistarp. vast., muu kuin työvoima-koulutus 1]]</f>
        <v>0</v>
      </c>
      <c r="AO94" s="204">
        <f>Opv.kohd.[[#This Row],[Nuorisotyöt. väh. ja osaamistarp. vast., työvoima-koulutus 4]]-Opv.kohd.[[#This Row],[Nuorisotyöt. väh. ja osaamistarp. vast., työvoima-koulutus 1]]</f>
        <v>0</v>
      </c>
      <c r="AP94" s="204">
        <f>Opv.kohd.[[#This Row],[Yhteensä 4]]-Opv.kohd.[[#This Row],[Yhteensä  1]]</f>
        <v>0</v>
      </c>
      <c r="AQ94" s="204">
        <f>Opv.kohd.[[#This Row],[Ensikertaisella suoritepäätöksellä jaetut tavoitteelliset opiskelijavuodet yhteensä 4]]-Opv.kohd.[[#This Row],[Ensikertaisella suoritepäätöksellä jaetut tavoitteelliset opiskelijavuodet yhteensä 1]]</f>
        <v>0</v>
      </c>
      <c r="AR94" s="208">
        <f>IFERROR(Opv.kohd.[[#This Row],[Järjestämisluvan mukaiset 5]]/Opv.kohd.[[#This Row],[Järjestämisluvan mukaiset 4]],0)</f>
        <v>0</v>
      </c>
      <c r="AS94" s="208">
        <f>IFERROR(Opv.kohd.[[#This Row],[Kohdentamat-tomat 5]]/Opv.kohd.[[#This Row],[Kohdentamat-tomat 4]],0)</f>
        <v>0</v>
      </c>
      <c r="AT94" s="208">
        <f>IFERROR(Opv.kohd.[[#This Row],[Työvoima-koulutus 5]]/Opv.kohd.[[#This Row],[Työvoima-koulutus 4]],0)</f>
        <v>0</v>
      </c>
      <c r="AU94" s="208">
        <f>IFERROR(Opv.kohd.[[#This Row],[Maahan-muuttajien koulutus 5]]/Opv.kohd.[[#This Row],[Maahan-muuttajien koulutus 4]],0)</f>
        <v>0</v>
      </c>
      <c r="AV94" s="208">
        <f>IFERROR(Opv.kohd.[[#This Row],[Nuorisotyöt. väh. ja osaamistarp. vast., muu kuin työvoima-koulutus 5]]/Opv.kohd.[[#This Row],[Nuorisotyöt. väh. ja osaamistarp. vast., muu kuin työvoima-koulutus 4]],0)</f>
        <v>0</v>
      </c>
      <c r="AW94" s="208">
        <f>IFERROR(Opv.kohd.[[#This Row],[Nuorisotyöt. väh. ja osaamistarp. vast., työvoima-koulutus 5]]/Opv.kohd.[[#This Row],[Nuorisotyöt. väh. ja osaamistarp. vast., työvoima-koulutus 4]],0)</f>
        <v>0</v>
      </c>
      <c r="AX94" s="208">
        <f>IFERROR(Opv.kohd.[[#This Row],[Yhteensä 5]]/Opv.kohd.[[#This Row],[Yhteensä 4]],0)</f>
        <v>0</v>
      </c>
      <c r="AY94" s="208">
        <f>IFERROR(Opv.kohd.[[#This Row],[Ensikertaisella suoritepäätöksellä jaetut tavoitteelliset opiskelijavuodet yhteensä 5]]/Opv.kohd.[[#This Row],[Ensikertaisella suoritepäätöksellä jaetut tavoitteelliset opiskelijavuodet yhteensä 4]],0)</f>
        <v>0</v>
      </c>
      <c r="AZ94" s="207">
        <f>Opv.kohd.[[#This Row],[Yhteensä 7a]]-Opv.kohd.[[#This Row],[Työvoima-koulutus 7a]]</f>
        <v>0</v>
      </c>
      <c r="BA94" s="207">
        <f>IFERROR(VLOOKUP(Opv.kohd.[[#This Row],[Y-tunnus]],#REF!,COLUMN(#REF!),FALSE),0)</f>
        <v>0</v>
      </c>
      <c r="BB94" s="207">
        <f>IFERROR(VLOOKUP(Opv.kohd.[[#This Row],[Y-tunnus]],#REF!,COLUMN(#REF!),FALSE),0)</f>
        <v>0</v>
      </c>
      <c r="BC94" s="207">
        <f>Opv.kohd.[[#This Row],[Muu kuin työvoima-koulutus 7c]]-Opv.kohd.[[#This Row],[Muu kuin työvoima-koulutus 7a]]</f>
        <v>0</v>
      </c>
      <c r="BD94" s="207">
        <f>Opv.kohd.[[#This Row],[Työvoima-koulutus 7c]]-Opv.kohd.[[#This Row],[Työvoima-koulutus 7a]]</f>
        <v>0</v>
      </c>
      <c r="BE94" s="207">
        <f>Opv.kohd.[[#This Row],[Yhteensä 7c]]-Opv.kohd.[[#This Row],[Yhteensä 7a]]</f>
        <v>0</v>
      </c>
      <c r="BF94" s="207">
        <f>Opv.kohd.[[#This Row],[Yhteensä 7c]]-Opv.kohd.[[#This Row],[Työvoima-koulutus 7c]]</f>
        <v>0</v>
      </c>
      <c r="BG94" s="207">
        <f>IFERROR(VLOOKUP(Opv.kohd.[[#This Row],[Y-tunnus]],#REF!,COLUMN(#REF!),FALSE),0)</f>
        <v>0</v>
      </c>
      <c r="BH94" s="207">
        <f>IFERROR(VLOOKUP(Opv.kohd.[[#This Row],[Y-tunnus]],#REF!,COLUMN(#REF!),FALSE),0)</f>
        <v>0</v>
      </c>
      <c r="BI94" s="207">
        <f>IFERROR(VLOOKUP(Opv.kohd.[[#This Row],[Y-tunnus]],#REF!,COLUMN(#REF!),FALSE),0)</f>
        <v>0</v>
      </c>
      <c r="BJ94" s="207">
        <f>IFERROR(VLOOKUP(Opv.kohd.[[#This Row],[Y-tunnus]],#REF!,COLUMN(#REF!),FALSE),0)</f>
        <v>0</v>
      </c>
      <c r="BK94" s="207">
        <f>Opv.kohd.[[#This Row],[Muu kuin työvoima-koulutus 7d]]+Opv.kohd.[[#This Row],[Työvoima-koulutus 7d]]</f>
        <v>0</v>
      </c>
      <c r="BL94" s="207">
        <f>Opv.kohd.[[#This Row],[Muu kuin työvoima-koulutus 7c]]-Opv.kohd.[[#This Row],[Muu kuin työvoima-koulutus 7d]]</f>
        <v>0</v>
      </c>
      <c r="BM94" s="207">
        <f>Opv.kohd.[[#This Row],[Työvoima-koulutus 7c]]-Opv.kohd.[[#This Row],[Työvoima-koulutus 7d]]</f>
        <v>0</v>
      </c>
      <c r="BN94" s="207">
        <f>Opv.kohd.[[#This Row],[Yhteensä 7c]]-Opv.kohd.[[#This Row],[Yhteensä 7d]]</f>
        <v>0</v>
      </c>
      <c r="BO94" s="207">
        <f>Opv.kohd.[[#This Row],[Muu kuin työvoima-koulutus 7e]]-(Opv.kohd.[[#This Row],[Järjestämisluvan mukaiset 4]]+Opv.kohd.[[#This Row],[Kohdentamat-tomat 4]]+Opv.kohd.[[#This Row],[Maahan-muuttajien koulutus 4]]+Opv.kohd.[[#This Row],[Nuorisotyöt. väh. ja osaamistarp. vast., muu kuin työvoima-koulutus 4]])</f>
        <v>0</v>
      </c>
      <c r="BP94" s="207">
        <f>Opv.kohd.[[#This Row],[Työvoima-koulutus 7e]]-(Opv.kohd.[[#This Row],[Työvoima-koulutus 4]]+Opv.kohd.[[#This Row],[Nuorisotyöt. väh. ja osaamistarp. vast., työvoima-koulutus 4]])</f>
        <v>0</v>
      </c>
      <c r="BQ94" s="207">
        <f>Opv.kohd.[[#This Row],[Yhteensä 7e]]-Opv.kohd.[[#This Row],[Ensikertaisella suoritepäätöksellä jaetut tavoitteelliset opiskelijavuodet yhteensä 4]]</f>
        <v>0</v>
      </c>
      <c r="BR94" s="263">
        <v>1198</v>
      </c>
      <c r="BS94" s="263">
        <v>42</v>
      </c>
      <c r="BT94" s="263">
        <v>26</v>
      </c>
      <c r="BU94" s="263">
        <v>20</v>
      </c>
      <c r="BV94" s="263">
        <v>0</v>
      </c>
      <c r="BW94" s="263">
        <v>0</v>
      </c>
      <c r="BX94" s="263">
        <v>88</v>
      </c>
      <c r="BY94" s="263">
        <v>1286</v>
      </c>
      <c r="BZ94" s="207">
        <f t="shared" si="17"/>
        <v>1198</v>
      </c>
      <c r="CA94" s="207">
        <f t="shared" si="18"/>
        <v>42</v>
      </c>
      <c r="CB94" s="207">
        <f t="shared" si="19"/>
        <v>26</v>
      </c>
      <c r="CC94" s="207">
        <f t="shared" si="20"/>
        <v>20</v>
      </c>
      <c r="CD94" s="207">
        <f t="shared" si="21"/>
        <v>0</v>
      </c>
      <c r="CE94" s="207">
        <f t="shared" si="22"/>
        <v>0</v>
      </c>
      <c r="CF94" s="207">
        <f t="shared" si="23"/>
        <v>88</v>
      </c>
      <c r="CG94" s="207">
        <f t="shared" si="24"/>
        <v>1286</v>
      </c>
      <c r="CH94" s="207">
        <f>Opv.kohd.[[#This Row],[Tavoitteelliset opiskelijavuodet yhteensä 9]]-Opv.kohd.[[#This Row],[Työvoima-koulutus 9]]-Opv.kohd.[[#This Row],[Nuorisotyöt. väh. ja osaamistarp. vast., työvoima-koulutus 9]]-Opv.kohd.[[#This Row],[Muu kuin työvoima-koulutus 7e]]</f>
        <v>1260</v>
      </c>
      <c r="CI94" s="207">
        <f>(Opv.kohd.[[#This Row],[Työvoima-koulutus 9]]+Opv.kohd.[[#This Row],[Nuorisotyöt. väh. ja osaamistarp. vast., työvoima-koulutus 9]])-Opv.kohd.[[#This Row],[Työvoima-koulutus 7e]]</f>
        <v>26</v>
      </c>
      <c r="CJ94" s="207">
        <f>Opv.kohd.[[#This Row],[Tavoitteelliset opiskelijavuodet yhteensä 9]]-Opv.kohd.[[#This Row],[Yhteensä 7e]]</f>
        <v>1286</v>
      </c>
      <c r="CK94" s="207">
        <f>Opv.kohd.[[#This Row],[Järjestämisluvan mukaiset 4]]+Opv.kohd.[[#This Row],[Järjestämisluvan mukaiset 13]]</f>
        <v>0</v>
      </c>
      <c r="CL94" s="207">
        <f>Opv.kohd.[[#This Row],[Kohdentamat-tomat 4]]+Opv.kohd.[[#This Row],[Kohdentamat-tomat 13]]</f>
        <v>0</v>
      </c>
      <c r="CM94" s="207">
        <f>Opv.kohd.[[#This Row],[Työvoima-koulutus 4]]+Opv.kohd.[[#This Row],[Työvoima-koulutus 13]]</f>
        <v>0</v>
      </c>
      <c r="CN94" s="207">
        <f>Opv.kohd.[[#This Row],[Maahan-muuttajien koulutus 4]]+Opv.kohd.[[#This Row],[Maahan-muuttajien koulutus 13]]</f>
        <v>0</v>
      </c>
      <c r="CO94" s="207">
        <f>Opv.kohd.[[#This Row],[Nuorisotyöt. väh. ja osaamistarp. vast., muu kuin työvoima-koulutus 4]]+Opv.kohd.[[#This Row],[Nuorisotyöt. väh. ja osaamistarp. vast., muu kuin työvoima-koulutus 13]]</f>
        <v>0</v>
      </c>
      <c r="CP94" s="207">
        <f>Opv.kohd.[[#This Row],[Nuorisotyöt. väh. ja osaamistarp. vast., työvoima-koulutus 4]]+Opv.kohd.[[#This Row],[Nuorisotyöt. väh. ja osaamistarp. vast., työvoima-koulutus 13]]</f>
        <v>0</v>
      </c>
      <c r="CQ94" s="207">
        <f>Opv.kohd.[[#This Row],[Yhteensä 4]]+Opv.kohd.[[#This Row],[Yhteensä 13]]</f>
        <v>0</v>
      </c>
      <c r="CR94" s="207">
        <f>Opv.kohd.[[#This Row],[Ensikertaisella suoritepäätöksellä jaetut tavoitteelliset opiskelijavuodet yhteensä 4]]+Opv.kohd.[[#This Row],[Tavoitteelliset opiskelijavuodet yhteensä 13]]</f>
        <v>0</v>
      </c>
      <c r="CS94" s="120">
        <v>0</v>
      </c>
      <c r="CT94" s="120">
        <v>0</v>
      </c>
      <c r="CU94" s="120">
        <v>0</v>
      </c>
      <c r="CV94" s="120">
        <v>0</v>
      </c>
      <c r="CW94" s="120">
        <v>0</v>
      </c>
      <c r="CX94" s="120">
        <v>0</v>
      </c>
      <c r="CY94" s="120">
        <v>0</v>
      </c>
      <c r="CZ94" s="120">
        <v>0</v>
      </c>
      <c r="DA94" s="209">
        <f>IFERROR(Opv.kohd.[[#This Row],[Järjestämisluvan mukaiset 13]]/Opv.kohd.[[#This Row],[Järjestämisluvan mukaiset 12]],0)</f>
        <v>0</v>
      </c>
      <c r="DB94" s="209">
        <f>IFERROR(Opv.kohd.[[#This Row],[Kohdentamat-tomat 13]]/Opv.kohd.[[#This Row],[Kohdentamat-tomat 12]],0)</f>
        <v>0</v>
      </c>
      <c r="DC94" s="209">
        <f>IFERROR(Opv.kohd.[[#This Row],[Työvoima-koulutus 13]]/Opv.kohd.[[#This Row],[Työvoima-koulutus 12]],0)</f>
        <v>0</v>
      </c>
      <c r="DD94" s="209">
        <f>IFERROR(Opv.kohd.[[#This Row],[Maahan-muuttajien koulutus 13]]/Opv.kohd.[[#This Row],[Maahan-muuttajien koulutus 12]],0)</f>
        <v>0</v>
      </c>
      <c r="DE94" s="209">
        <f>IFERROR(Opv.kohd.[[#This Row],[Nuorisotyöt. väh. ja osaamistarp. vast., muu kuin työvoima-koulutus 13]]/Opv.kohd.[[#This Row],[Nuorisotyöt. väh. ja osaamistarp. vast., muu kuin työvoima-koulutus 12]],0)</f>
        <v>0</v>
      </c>
      <c r="DF94" s="209">
        <f>IFERROR(Opv.kohd.[[#This Row],[Nuorisotyöt. väh. ja osaamistarp. vast., työvoima-koulutus 13]]/Opv.kohd.[[#This Row],[Nuorisotyöt. väh. ja osaamistarp. vast., työvoima-koulutus 12]],0)</f>
        <v>0</v>
      </c>
      <c r="DG94" s="209">
        <f>IFERROR(Opv.kohd.[[#This Row],[Yhteensä 13]]/Opv.kohd.[[#This Row],[Yhteensä 12]],0)</f>
        <v>0</v>
      </c>
      <c r="DH94" s="209">
        <f>IFERROR(Opv.kohd.[[#This Row],[Tavoitteelliset opiskelijavuodet yhteensä 13]]/Opv.kohd.[[#This Row],[Tavoitteelliset opiskelijavuodet yhteensä 12]],0)</f>
        <v>0</v>
      </c>
      <c r="DI94" s="207">
        <f>Opv.kohd.[[#This Row],[Järjestämisluvan mukaiset 12]]-Opv.kohd.[[#This Row],[Järjestämisluvan mukaiset 9]]</f>
        <v>-1198</v>
      </c>
      <c r="DJ94" s="207">
        <f>Opv.kohd.[[#This Row],[Kohdentamat-tomat 12]]-Opv.kohd.[[#This Row],[Kohdentamat-tomat 9]]</f>
        <v>-42</v>
      </c>
      <c r="DK94" s="207">
        <f>Opv.kohd.[[#This Row],[Työvoima-koulutus 12]]-Opv.kohd.[[#This Row],[Työvoima-koulutus 9]]</f>
        <v>-26</v>
      </c>
      <c r="DL94" s="207">
        <f>Opv.kohd.[[#This Row],[Maahan-muuttajien koulutus 12]]-Opv.kohd.[[#This Row],[Maahan-muuttajien koulutus 9]]</f>
        <v>-20</v>
      </c>
      <c r="DM94" s="207">
        <f>Opv.kohd.[[#This Row],[Nuorisotyöt. väh. ja osaamistarp. vast., muu kuin työvoima-koulutus 12]]-Opv.kohd.[[#This Row],[Nuorisotyöt. väh. ja osaamistarp. vast., muu kuin työvoima-koulutus 9]]</f>
        <v>0</v>
      </c>
      <c r="DN94" s="207">
        <f>Opv.kohd.[[#This Row],[Nuorisotyöt. väh. ja osaamistarp. vast., työvoima-koulutus 12]]-Opv.kohd.[[#This Row],[Nuorisotyöt. väh. ja osaamistarp. vast., työvoima-koulutus 9]]</f>
        <v>0</v>
      </c>
      <c r="DO94" s="207">
        <f>Opv.kohd.[[#This Row],[Yhteensä 12]]-Opv.kohd.[[#This Row],[Yhteensä 9]]</f>
        <v>-88</v>
      </c>
      <c r="DP94" s="207">
        <f>Opv.kohd.[[#This Row],[Tavoitteelliset opiskelijavuodet yhteensä 12]]-Opv.kohd.[[#This Row],[Tavoitteelliset opiskelijavuodet yhteensä 9]]</f>
        <v>-1286</v>
      </c>
      <c r="DQ94" s="209">
        <f>IFERROR(Opv.kohd.[[#This Row],[Järjestämisluvan mukaiset 15]]/Opv.kohd.[[#This Row],[Järjestämisluvan mukaiset 9]],0)</f>
        <v>-1</v>
      </c>
      <c r="DR94" s="209">
        <f t="shared" si="25"/>
        <v>0</v>
      </c>
      <c r="DS94" s="209">
        <f t="shared" si="26"/>
        <v>0</v>
      </c>
      <c r="DT94" s="209">
        <f t="shared" si="27"/>
        <v>0</v>
      </c>
      <c r="DU94" s="209">
        <f t="shared" si="28"/>
        <v>0</v>
      </c>
      <c r="DV94" s="209">
        <f t="shared" si="29"/>
        <v>0</v>
      </c>
      <c r="DW94" s="209">
        <f t="shared" si="30"/>
        <v>0</v>
      </c>
      <c r="DX94" s="209">
        <f t="shared" si="31"/>
        <v>0</v>
      </c>
    </row>
    <row r="95" spans="1:128" x14ac:dyDescent="0.25">
      <c r="A95" s="204" t="e">
        <f>IF(INDEX(#REF!,ROW(95:95)-1,1)=0,"",INDEX(#REF!,ROW(95:95)-1,1))</f>
        <v>#REF!</v>
      </c>
      <c r="B95" s="205" t="str">
        <f>IFERROR(VLOOKUP(Opv.kohd.[[#This Row],[Y-tunnus]],'0 Järjestäjätiedot'!$A:$H,2,FALSE),"")</f>
        <v/>
      </c>
      <c r="C95" s="204" t="str">
        <f>IFERROR(VLOOKUP(Opv.kohd.[[#This Row],[Y-tunnus]],'0 Järjestäjätiedot'!$A:$H,COLUMN('0 Järjestäjätiedot'!D:D),FALSE),"")</f>
        <v/>
      </c>
      <c r="D95" s="204" t="str">
        <f>IFERROR(VLOOKUP(Opv.kohd.[[#This Row],[Y-tunnus]],'0 Järjestäjätiedot'!$A:$H,COLUMN('0 Järjestäjätiedot'!H:H),FALSE),"")</f>
        <v/>
      </c>
      <c r="E95" s="204">
        <f>IFERROR(VLOOKUP(Opv.kohd.[[#This Row],[Y-tunnus]],#REF!,COLUMN(#REF!),FALSE),0)</f>
        <v>0</v>
      </c>
      <c r="F95" s="204">
        <f>IFERROR(VLOOKUP(Opv.kohd.[[#This Row],[Y-tunnus]],#REF!,COLUMN(#REF!),FALSE),0)</f>
        <v>0</v>
      </c>
      <c r="G95" s="204">
        <f>IFERROR(VLOOKUP(Opv.kohd.[[#This Row],[Y-tunnus]],#REF!,COLUMN(#REF!),FALSE),0)</f>
        <v>0</v>
      </c>
      <c r="H95" s="204">
        <f>IFERROR(VLOOKUP(Opv.kohd.[[#This Row],[Y-tunnus]],#REF!,COLUMN(#REF!),FALSE),0)</f>
        <v>0</v>
      </c>
      <c r="I95" s="204">
        <f>IFERROR(VLOOKUP(Opv.kohd.[[#This Row],[Y-tunnus]],#REF!,COLUMN(#REF!),FALSE),0)</f>
        <v>0</v>
      </c>
      <c r="J95" s="204">
        <f>IFERROR(VLOOKUP(Opv.kohd.[[#This Row],[Y-tunnus]],#REF!,COLUMN(#REF!),FALSE),0)</f>
        <v>0</v>
      </c>
      <c r="K9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95" s="204">
        <f>Opv.kohd.[[#This Row],[Järjestämisluvan mukaiset 1]]+Opv.kohd.[[#This Row],[Yhteensä  1]]</f>
        <v>0</v>
      </c>
      <c r="M95" s="204">
        <f>IFERROR(VLOOKUP(Opv.kohd.[[#This Row],[Y-tunnus]],#REF!,COLUMN(#REF!),FALSE),0)</f>
        <v>0</v>
      </c>
      <c r="N95" s="204">
        <f>IFERROR(VLOOKUP(Opv.kohd.[[#This Row],[Y-tunnus]],#REF!,COLUMN(#REF!),FALSE),0)</f>
        <v>0</v>
      </c>
      <c r="O95" s="204">
        <f>IFERROR(VLOOKUP(Opv.kohd.[[#This Row],[Y-tunnus]],#REF!,COLUMN(#REF!),FALSE)+VLOOKUP(Opv.kohd.[[#This Row],[Y-tunnus]],#REF!,COLUMN(#REF!),FALSE),0)</f>
        <v>0</v>
      </c>
      <c r="P95" s="204">
        <f>Opv.kohd.[[#This Row],[Talousarvion perusteella kohdentamattomat]]+Opv.kohd.[[#This Row],[Talousarvion perusteella työvoimakoulutus 1]]+Opv.kohd.[[#This Row],[Lisätalousarvioiden perusteella]]</f>
        <v>0</v>
      </c>
      <c r="Q95" s="204">
        <f>IFERROR(VLOOKUP(Opv.kohd.[[#This Row],[Y-tunnus]],#REF!,COLUMN(#REF!),FALSE),0)</f>
        <v>0</v>
      </c>
      <c r="R95" s="210">
        <f>IFERROR(VLOOKUP(Opv.kohd.[[#This Row],[Y-tunnus]],#REF!,COLUMN(#REF!),FALSE)-(Opv.kohd.[[#This Row],[Kohdentamaton työvoima-koulutus 2]]+Opv.kohd.[[#This Row],[Maahan-muuttajien koulutus 2]]+Opv.kohd.[[#This Row],[Lisätalousarvioiden perusteella jaetut 2]]),0)</f>
        <v>0</v>
      </c>
      <c r="S95" s="210">
        <f>IFERROR(VLOOKUP(Opv.kohd.[[#This Row],[Y-tunnus]],#REF!,COLUMN(#REF!),FALSE)+VLOOKUP(Opv.kohd.[[#This Row],[Y-tunnus]],#REF!,COLUMN(#REF!),FALSE),0)</f>
        <v>0</v>
      </c>
      <c r="T95" s="210">
        <f>IFERROR(VLOOKUP(Opv.kohd.[[#This Row],[Y-tunnus]],#REF!,COLUMN(#REF!),FALSE)+VLOOKUP(Opv.kohd.[[#This Row],[Y-tunnus]],#REF!,COLUMN(#REF!),FALSE),0)</f>
        <v>0</v>
      </c>
      <c r="U9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95" s="210">
        <f>Opv.kohd.[[#This Row],[Kohdentamat-tomat 2]]+Opv.kohd.[[#This Row],[Kohdentamaton työvoima-koulutus 2]]+Opv.kohd.[[#This Row],[Maahan-muuttajien koulutus 2]]+Opv.kohd.[[#This Row],[Lisätalousarvioiden perusteella jaetut 2]]</f>
        <v>0</v>
      </c>
      <c r="W95" s="210">
        <f>Opv.kohd.[[#This Row],[Kohdentamat-tomat 2]]-(Opv.kohd.[[#This Row],[Järjestämisluvan mukaiset 1]]+Opv.kohd.[[#This Row],[Kohdentamat-tomat 1]]+Opv.kohd.[[#This Row],[Nuorisotyöt. väh. ja osaamistarp. vast., muu kuin työvoima-koulutus 1]]+Opv.kohd.[[#This Row],[Talousarvion perusteella kohdentamattomat]])</f>
        <v>0</v>
      </c>
      <c r="X95" s="210">
        <f>Opv.kohd.[[#This Row],[Kohdentamaton työvoima-koulutus 2]]-(Opv.kohd.[[#This Row],[Työvoima-koulutus 1]]+Opv.kohd.[[#This Row],[Nuorisotyöt. väh. ja osaamistarp. vast., työvoima-koulutus 1]]+Opv.kohd.[[#This Row],[Talousarvion perusteella työvoimakoulutus 1]])</f>
        <v>0</v>
      </c>
      <c r="Y95" s="210">
        <f>Opv.kohd.[[#This Row],[Maahan-muuttajien koulutus 2]]-Opv.kohd.[[#This Row],[Maahan-muuttajien koulutus 1]]</f>
        <v>0</v>
      </c>
      <c r="Z95" s="210">
        <f>Opv.kohd.[[#This Row],[Lisätalousarvioiden perusteella jaetut 2]]-Opv.kohd.[[#This Row],[Lisätalousarvioiden perusteella]]</f>
        <v>0</v>
      </c>
      <c r="AA95" s="210">
        <f>Opv.kohd.[[#This Row],[Toteutuneet opiskelijavuodet yhteensä 2]]-Opv.kohd.[[#This Row],[Vuoden 2018 tavoitteelliset opiskelijavuodet yhteensä 1]]</f>
        <v>0</v>
      </c>
      <c r="AB95" s="207">
        <f>IFERROR(VLOOKUP(Opv.kohd.[[#This Row],[Y-tunnus]],#REF!,3,FALSE),0)</f>
        <v>0</v>
      </c>
      <c r="AC95" s="207">
        <f>IFERROR(VLOOKUP(Opv.kohd.[[#This Row],[Y-tunnus]],#REF!,4,FALSE),0)</f>
        <v>0</v>
      </c>
      <c r="AD95" s="207">
        <f>IFERROR(VLOOKUP(Opv.kohd.[[#This Row],[Y-tunnus]],#REF!,5,FALSE),0)</f>
        <v>0</v>
      </c>
      <c r="AE95" s="207">
        <f>IFERROR(VLOOKUP(Opv.kohd.[[#This Row],[Y-tunnus]],#REF!,6,FALSE),0)</f>
        <v>0</v>
      </c>
      <c r="AF95" s="207">
        <f>IFERROR(VLOOKUP(Opv.kohd.[[#This Row],[Y-tunnus]],#REF!,7,FALSE),0)</f>
        <v>0</v>
      </c>
      <c r="AG95" s="207">
        <f>IFERROR(VLOOKUP(Opv.kohd.[[#This Row],[Y-tunnus]],#REF!,8,FALSE),0)</f>
        <v>0</v>
      </c>
      <c r="AH95" s="207">
        <f>IFERROR(VLOOKUP(Opv.kohd.[[#This Row],[Y-tunnus]],#REF!,9,FALSE),0)</f>
        <v>0</v>
      </c>
      <c r="AI95" s="207">
        <f>IFERROR(VLOOKUP(Opv.kohd.[[#This Row],[Y-tunnus]],#REF!,10,FALSE),0)</f>
        <v>0</v>
      </c>
      <c r="AJ95" s="204">
        <f>Opv.kohd.[[#This Row],[Järjestämisluvan mukaiset 4]]-Opv.kohd.[[#This Row],[Järjestämisluvan mukaiset 1]]</f>
        <v>0</v>
      </c>
      <c r="AK95" s="204">
        <f>Opv.kohd.[[#This Row],[Kohdentamat-tomat 4]]-Opv.kohd.[[#This Row],[Kohdentamat-tomat 1]]</f>
        <v>0</v>
      </c>
      <c r="AL95" s="204">
        <f>Opv.kohd.[[#This Row],[Työvoima-koulutus 4]]-Opv.kohd.[[#This Row],[Työvoima-koulutus 1]]</f>
        <v>0</v>
      </c>
      <c r="AM95" s="204">
        <f>Opv.kohd.[[#This Row],[Maahan-muuttajien koulutus 4]]-Opv.kohd.[[#This Row],[Maahan-muuttajien koulutus 1]]</f>
        <v>0</v>
      </c>
      <c r="AN95" s="204">
        <f>Opv.kohd.[[#This Row],[Nuorisotyöt. väh. ja osaamistarp. vast., muu kuin työvoima-koulutus 4]]-Opv.kohd.[[#This Row],[Nuorisotyöt. väh. ja osaamistarp. vast., muu kuin työvoima-koulutus 1]]</f>
        <v>0</v>
      </c>
      <c r="AO95" s="204">
        <f>Opv.kohd.[[#This Row],[Nuorisotyöt. väh. ja osaamistarp. vast., työvoima-koulutus 4]]-Opv.kohd.[[#This Row],[Nuorisotyöt. väh. ja osaamistarp. vast., työvoima-koulutus 1]]</f>
        <v>0</v>
      </c>
      <c r="AP95" s="204">
        <f>Opv.kohd.[[#This Row],[Yhteensä 4]]-Opv.kohd.[[#This Row],[Yhteensä  1]]</f>
        <v>0</v>
      </c>
      <c r="AQ95" s="204">
        <f>Opv.kohd.[[#This Row],[Ensikertaisella suoritepäätöksellä jaetut tavoitteelliset opiskelijavuodet yhteensä 4]]-Opv.kohd.[[#This Row],[Ensikertaisella suoritepäätöksellä jaetut tavoitteelliset opiskelijavuodet yhteensä 1]]</f>
        <v>0</v>
      </c>
      <c r="AR95" s="208">
        <f>IFERROR(Opv.kohd.[[#This Row],[Järjestämisluvan mukaiset 5]]/Opv.kohd.[[#This Row],[Järjestämisluvan mukaiset 4]],0)</f>
        <v>0</v>
      </c>
      <c r="AS95" s="208">
        <f>IFERROR(Opv.kohd.[[#This Row],[Kohdentamat-tomat 5]]/Opv.kohd.[[#This Row],[Kohdentamat-tomat 4]],0)</f>
        <v>0</v>
      </c>
      <c r="AT95" s="208">
        <f>IFERROR(Opv.kohd.[[#This Row],[Työvoima-koulutus 5]]/Opv.kohd.[[#This Row],[Työvoima-koulutus 4]],0)</f>
        <v>0</v>
      </c>
      <c r="AU95" s="208">
        <f>IFERROR(Opv.kohd.[[#This Row],[Maahan-muuttajien koulutus 5]]/Opv.kohd.[[#This Row],[Maahan-muuttajien koulutus 4]],0)</f>
        <v>0</v>
      </c>
      <c r="AV95" s="208">
        <f>IFERROR(Opv.kohd.[[#This Row],[Nuorisotyöt. väh. ja osaamistarp. vast., muu kuin työvoima-koulutus 5]]/Opv.kohd.[[#This Row],[Nuorisotyöt. väh. ja osaamistarp. vast., muu kuin työvoima-koulutus 4]],0)</f>
        <v>0</v>
      </c>
      <c r="AW95" s="208">
        <f>IFERROR(Opv.kohd.[[#This Row],[Nuorisotyöt. väh. ja osaamistarp. vast., työvoima-koulutus 5]]/Opv.kohd.[[#This Row],[Nuorisotyöt. väh. ja osaamistarp. vast., työvoima-koulutus 4]],0)</f>
        <v>0</v>
      </c>
      <c r="AX95" s="208">
        <f>IFERROR(Opv.kohd.[[#This Row],[Yhteensä 5]]/Opv.kohd.[[#This Row],[Yhteensä 4]],0)</f>
        <v>0</v>
      </c>
      <c r="AY95" s="208">
        <f>IFERROR(Opv.kohd.[[#This Row],[Ensikertaisella suoritepäätöksellä jaetut tavoitteelliset opiskelijavuodet yhteensä 5]]/Opv.kohd.[[#This Row],[Ensikertaisella suoritepäätöksellä jaetut tavoitteelliset opiskelijavuodet yhteensä 4]],0)</f>
        <v>0</v>
      </c>
      <c r="AZ95" s="207">
        <f>Opv.kohd.[[#This Row],[Yhteensä 7a]]-Opv.kohd.[[#This Row],[Työvoima-koulutus 7a]]</f>
        <v>0</v>
      </c>
      <c r="BA95" s="207">
        <f>IFERROR(VLOOKUP(Opv.kohd.[[#This Row],[Y-tunnus]],#REF!,COLUMN(#REF!),FALSE),0)</f>
        <v>0</v>
      </c>
      <c r="BB95" s="207">
        <f>IFERROR(VLOOKUP(Opv.kohd.[[#This Row],[Y-tunnus]],#REF!,COLUMN(#REF!),FALSE),0)</f>
        <v>0</v>
      </c>
      <c r="BC95" s="207">
        <f>Opv.kohd.[[#This Row],[Muu kuin työvoima-koulutus 7c]]-Opv.kohd.[[#This Row],[Muu kuin työvoima-koulutus 7a]]</f>
        <v>0</v>
      </c>
      <c r="BD95" s="207">
        <f>Opv.kohd.[[#This Row],[Työvoima-koulutus 7c]]-Opv.kohd.[[#This Row],[Työvoima-koulutus 7a]]</f>
        <v>0</v>
      </c>
      <c r="BE95" s="207">
        <f>Opv.kohd.[[#This Row],[Yhteensä 7c]]-Opv.kohd.[[#This Row],[Yhteensä 7a]]</f>
        <v>0</v>
      </c>
      <c r="BF95" s="207">
        <f>Opv.kohd.[[#This Row],[Yhteensä 7c]]-Opv.kohd.[[#This Row],[Työvoima-koulutus 7c]]</f>
        <v>0</v>
      </c>
      <c r="BG95" s="207">
        <f>IFERROR(VLOOKUP(Opv.kohd.[[#This Row],[Y-tunnus]],#REF!,COLUMN(#REF!),FALSE),0)</f>
        <v>0</v>
      </c>
      <c r="BH95" s="207">
        <f>IFERROR(VLOOKUP(Opv.kohd.[[#This Row],[Y-tunnus]],#REF!,COLUMN(#REF!),FALSE),0)</f>
        <v>0</v>
      </c>
      <c r="BI95" s="207">
        <f>IFERROR(VLOOKUP(Opv.kohd.[[#This Row],[Y-tunnus]],#REF!,COLUMN(#REF!),FALSE),0)</f>
        <v>0</v>
      </c>
      <c r="BJ95" s="207">
        <f>IFERROR(VLOOKUP(Opv.kohd.[[#This Row],[Y-tunnus]],#REF!,COLUMN(#REF!),FALSE),0)</f>
        <v>0</v>
      </c>
      <c r="BK95" s="207">
        <f>Opv.kohd.[[#This Row],[Muu kuin työvoima-koulutus 7d]]+Opv.kohd.[[#This Row],[Työvoima-koulutus 7d]]</f>
        <v>0</v>
      </c>
      <c r="BL95" s="207">
        <f>Opv.kohd.[[#This Row],[Muu kuin työvoima-koulutus 7c]]-Opv.kohd.[[#This Row],[Muu kuin työvoima-koulutus 7d]]</f>
        <v>0</v>
      </c>
      <c r="BM95" s="207">
        <f>Opv.kohd.[[#This Row],[Työvoima-koulutus 7c]]-Opv.kohd.[[#This Row],[Työvoima-koulutus 7d]]</f>
        <v>0</v>
      </c>
      <c r="BN95" s="207">
        <f>Opv.kohd.[[#This Row],[Yhteensä 7c]]-Opv.kohd.[[#This Row],[Yhteensä 7d]]</f>
        <v>0</v>
      </c>
      <c r="BO95" s="207">
        <f>Opv.kohd.[[#This Row],[Muu kuin työvoima-koulutus 7e]]-(Opv.kohd.[[#This Row],[Järjestämisluvan mukaiset 4]]+Opv.kohd.[[#This Row],[Kohdentamat-tomat 4]]+Opv.kohd.[[#This Row],[Maahan-muuttajien koulutus 4]]+Opv.kohd.[[#This Row],[Nuorisotyöt. väh. ja osaamistarp. vast., muu kuin työvoima-koulutus 4]])</f>
        <v>0</v>
      </c>
      <c r="BP95" s="207">
        <f>Opv.kohd.[[#This Row],[Työvoima-koulutus 7e]]-(Opv.kohd.[[#This Row],[Työvoima-koulutus 4]]+Opv.kohd.[[#This Row],[Nuorisotyöt. väh. ja osaamistarp. vast., työvoima-koulutus 4]])</f>
        <v>0</v>
      </c>
      <c r="BQ95" s="207">
        <f>Opv.kohd.[[#This Row],[Yhteensä 7e]]-Opv.kohd.[[#This Row],[Ensikertaisella suoritepäätöksellä jaetut tavoitteelliset opiskelijavuodet yhteensä 4]]</f>
        <v>0</v>
      </c>
      <c r="BR95" s="263">
        <v>43</v>
      </c>
      <c r="BS95" s="263">
        <v>4</v>
      </c>
      <c r="BT95" s="263">
        <v>0</v>
      </c>
      <c r="BU95" s="263">
        <v>0</v>
      </c>
      <c r="BV95" s="263">
        <v>0</v>
      </c>
      <c r="BW95" s="263">
        <v>0</v>
      </c>
      <c r="BX95" s="263">
        <v>4</v>
      </c>
      <c r="BY95" s="263">
        <v>47</v>
      </c>
      <c r="BZ95" s="207">
        <f t="shared" si="17"/>
        <v>43</v>
      </c>
      <c r="CA95" s="207">
        <f t="shared" si="18"/>
        <v>4</v>
      </c>
      <c r="CB95" s="207">
        <f t="shared" si="19"/>
        <v>0</v>
      </c>
      <c r="CC95" s="207">
        <f t="shared" si="20"/>
        <v>0</v>
      </c>
      <c r="CD95" s="207">
        <f t="shared" si="21"/>
        <v>0</v>
      </c>
      <c r="CE95" s="207">
        <f t="shared" si="22"/>
        <v>0</v>
      </c>
      <c r="CF95" s="207">
        <f t="shared" si="23"/>
        <v>4</v>
      </c>
      <c r="CG95" s="207">
        <f t="shared" si="24"/>
        <v>47</v>
      </c>
      <c r="CH95" s="207">
        <f>Opv.kohd.[[#This Row],[Tavoitteelliset opiskelijavuodet yhteensä 9]]-Opv.kohd.[[#This Row],[Työvoima-koulutus 9]]-Opv.kohd.[[#This Row],[Nuorisotyöt. väh. ja osaamistarp. vast., työvoima-koulutus 9]]-Opv.kohd.[[#This Row],[Muu kuin työvoima-koulutus 7e]]</f>
        <v>47</v>
      </c>
      <c r="CI95" s="207">
        <f>(Opv.kohd.[[#This Row],[Työvoima-koulutus 9]]+Opv.kohd.[[#This Row],[Nuorisotyöt. väh. ja osaamistarp. vast., työvoima-koulutus 9]])-Opv.kohd.[[#This Row],[Työvoima-koulutus 7e]]</f>
        <v>0</v>
      </c>
      <c r="CJ95" s="207">
        <f>Opv.kohd.[[#This Row],[Tavoitteelliset opiskelijavuodet yhteensä 9]]-Opv.kohd.[[#This Row],[Yhteensä 7e]]</f>
        <v>47</v>
      </c>
      <c r="CK95" s="207">
        <f>Opv.kohd.[[#This Row],[Järjestämisluvan mukaiset 4]]+Opv.kohd.[[#This Row],[Järjestämisluvan mukaiset 13]]</f>
        <v>0</v>
      </c>
      <c r="CL95" s="207">
        <f>Opv.kohd.[[#This Row],[Kohdentamat-tomat 4]]+Opv.kohd.[[#This Row],[Kohdentamat-tomat 13]]</f>
        <v>0</v>
      </c>
      <c r="CM95" s="207">
        <f>Opv.kohd.[[#This Row],[Työvoima-koulutus 4]]+Opv.kohd.[[#This Row],[Työvoima-koulutus 13]]</f>
        <v>0</v>
      </c>
      <c r="CN95" s="207">
        <f>Opv.kohd.[[#This Row],[Maahan-muuttajien koulutus 4]]+Opv.kohd.[[#This Row],[Maahan-muuttajien koulutus 13]]</f>
        <v>0</v>
      </c>
      <c r="CO95" s="207">
        <f>Opv.kohd.[[#This Row],[Nuorisotyöt. väh. ja osaamistarp. vast., muu kuin työvoima-koulutus 4]]+Opv.kohd.[[#This Row],[Nuorisotyöt. väh. ja osaamistarp. vast., muu kuin työvoima-koulutus 13]]</f>
        <v>0</v>
      </c>
      <c r="CP95" s="207">
        <f>Opv.kohd.[[#This Row],[Nuorisotyöt. väh. ja osaamistarp. vast., työvoima-koulutus 4]]+Opv.kohd.[[#This Row],[Nuorisotyöt. väh. ja osaamistarp. vast., työvoima-koulutus 13]]</f>
        <v>0</v>
      </c>
      <c r="CQ95" s="207">
        <f>Opv.kohd.[[#This Row],[Yhteensä 4]]+Opv.kohd.[[#This Row],[Yhteensä 13]]</f>
        <v>0</v>
      </c>
      <c r="CR95" s="207">
        <f>Opv.kohd.[[#This Row],[Ensikertaisella suoritepäätöksellä jaetut tavoitteelliset opiskelijavuodet yhteensä 4]]+Opv.kohd.[[#This Row],[Tavoitteelliset opiskelijavuodet yhteensä 13]]</f>
        <v>0</v>
      </c>
      <c r="CS95" s="120">
        <v>0</v>
      </c>
      <c r="CT95" s="120">
        <v>0</v>
      </c>
      <c r="CU95" s="120">
        <v>0</v>
      </c>
      <c r="CV95" s="120">
        <v>0</v>
      </c>
      <c r="CW95" s="120">
        <v>0</v>
      </c>
      <c r="CX95" s="120">
        <v>0</v>
      </c>
      <c r="CY95" s="120">
        <v>0</v>
      </c>
      <c r="CZ95" s="120">
        <v>0</v>
      </c>
      <c r="DA95" s="209">
        <f>IFERROR(Opv.kohd.[[#This Row],[Järjestämisluvan mukaiset 13]]/Opv.kohd.[[#This Row],[Järjestämisluvan mukaiset 12]],0)</f>
        <v>0</v>
      </c>
      <c r="DB95" s="209">
        <f>IFERROR(Opv.kohd.[[#This Row],[Kohdentamat-tomat 13]]/Opv.kohd.[[#This Row],[Kohdentamat-tomat 12]],0)</f>
        <v>0</v>
      </c>
      <c r="DC95" s="209">
        <f>IFERROR(Opv.kohd.[[#This Row],[Työvoima-koulutus 13]]/Opv.kohd.[[#This Row],[Työvoima-koulutus 12]],0)</f>
        <v>0</v>
      </c>
      <c r="DD95" s="209">
        <f>IFERROR(Opv.kohd.[[#This Row],[Maahan-muuttajien koulutus 13]]/Opv.kohd.[[#This Row],[Maahan-muuttajien koulutus 12]],0)</f>
        <v>0</v>
      </c>
      <c r="DE95" s="209">
        <f>IFERROR(Opv.kohd.[[#This Row],[Nuorisotyöt. väh. ja osaamistarp. vast., muu kuin työvoima-koulutus 13]]/Opv.kohd.[[#This Row],[Nuorisotyöt. väh. ja osaamistarp. vast., muu kuin työvoima-koulutus 12]],0)</f>
        <v>0</v>
      </c>
      <c r="DF95" s="209">
        <f>IFERROR(Opv.kohd.[[#This Row],[Nuorisotyöt. väh. ja osaamistarp. vast., työvoima-koulutus 13]]/Opv.kohd.[[#This Row],[Nuorisotyöt. väh. ja osaamistarp. vast., työvoima-koulutus 12]],0)</f>
        <v>0</v>
      </c>
      <c r="DG95" s="209">
        <f>IFERROR(Opv.kohd.[[#This Row],[Yhteensä 13]]/Opv.kohd.[[#This Row],[Yhteensä 12]],0)</f>
        <v>0</v>
      </c>
      <c r="DH95" s="209">
        <f>IFERROR(Opv.kohd.[[#This Row],[Tavoitteelliset opiskelijavuodet yhteensä 13]]/Opv.kohd.[[#This Row],[Tavoitteelliset opiskelijavuodet yhteensä 12]],0)</f>
        <v>0</v>
      </c>
      <c r="DI95" s="207">
        <f>Opv.kohd.[[#This Row],[Järjestämisluvan mukaiset 12]]-Opv.kohd.[[#This Row],[Järjestämisluvan mukaiset 9]]</f>
        <v>-43</v>
      </c>
      <c r="DJ95" s="207">
        <f>Opv.kohd.[[#This Row],[Kohdentamat-tomat 12]]-Opv.kohd.[[#This Row],[Kohdentamat-tomat 9]]</f>
        <v>-4</v>
      </c>
      <c r="DK95" s="207">
        <f>Opv.kohd.[[#This Row],[Työvoima-koulutus 12]]-Opv.kohd.[[#This Row],[Työvoima-koulutus 9]]</f>
        <v>0</v>
      </c>
      <c r="DL95" s="207">
        <f>Opv.kohd.[[#This Row],[Maahan-muuttajien koulutus 12]]-Opv.kohd.[[#This Row],[Maahan-muuttajien koulutus 9]]</f>
        <v>0</v>
      </c>
      <c r="DM95" s="207">
        <f>Opv.kohd.[[#This Row],[Nuorisotyöt. väh. ja osaamistarp. vast., muu kuin työvoima-koulutus 12]]-Opv.kohd.[[#This Row],[Nuorisotyöt. väh. ja osaamistarp. vast., muu kuin työvoima-koulutus 9]]</f>
        <v>0</v>
      </c>
      <c r="DN95" s="207">
        <f>Opv.kohd.[[#This Row],[Nuorisotyöt. väh. ja osaamistarp. vast., työvoima-koulutus 12]]-Opv.kohd.[[#This Row],[Nuorisotyöt. väh. ja osaamistarp. vast., työvoima-koulutus 9]]</f>
        <v>0</v>
      </c>
      <c r="DO95" s="207">
        <f>Opv.kohd.[[#This Row],[Yhteensä 12]]-Opv.kohd.[[#This Row],[Yhteensä 9]]</f>
        <v>-4</v>
      </c>
      <c r="DP95" s="207">
        <f>Opv.kohd.[[#This Row],[Tavoitteelliset opiskelijavuodet yhteensä 12]]-Opv.kohd.[[#This Row],[Tavoitteelliset opiskelijavuodet yhteensä 9]]</f>
        <v>-47</v>
      </c>
      <c r="DQ95" s="209">
        <f>IFERROR(Opv.kohd.[[#This Row],[Järjestämisluvan mukaiset 15]]/Opv.kohd.[[#This Row],[Järjestämisluvan mukaiset 9]],0)</f>
        <v>-1</v>
      </c>
      <c r="DR95" s="209">
        <f t="shared" si="25"/>
        <v>0</v>
      </c>
      <c r="DS95" s="209">
        <f t="shared" si="26"/>
        <v>0</v>
      </c>
      <c r="DT95" s="209">
        <f t="shared" si="27"/>
        <v>0</v>
      </c>
      <c r="DU95" s="209">
        <f t="shared" si="28"/>
        <v>0</v>
      </c>
      <c r="DV95" s="209">
        <f t="shared" si="29"/>
        <v>0</v>
      </c>
      <c r="DW95" s="209">
        <f t="shared" si="30"/>
        <v>0</v>
      </c>
      <c r="DX95" s="209">
        <f t="shared" si="31"/>
        <v>0</v>
      </c>
    </row>
    <row r="96" spans="1:128" x14ac:dyDescent="0.25">
      <c r="A96" s="204" t="e">
        <f>IF(INDEX(#REF!,ROW(96:96)-1,1)=0,"",INDEX(#REF!,ROW(96:96)-1,1))</f>
        <v>#REF!</v>
      </c>
      <c r="B96" s="205" t="str">
        <f>IFERROR(VLOOKUP(Opv.kohd.[[#This Row],[Y-tunnus]],'0 Järjestäjätiedot'!$A:$H,2,FALSE),"")</f>
        <v/>
      </c>
      <c r="C96" s="204" t="str">
        <f>IFERROR(VLOOKUP(Opv.kohd.[[#This Row],[Y-tunnus]],'0 Järjestäjätiedot'!$A:$H,COLUMN('0 Järjestäjätiedot'!D:D),FALSE),"")</f>
        <v/>
      </c>
      <c r="D96" s="204" t="str">
        <f>IFERROR(VLOOKUP(Opv.kohd.[[#This Row],[Y-tunnus]],'0 Järjestäjätiedot'!$A:$H,COLUMN('0 Järjestäjätiedot'!H:H),FALSE),"")</f>
        <v/>
      </c>
      <c r="E96" s="204">
        <f>IFERROR(VLOOKUP(Opv.kohd.[[#This Row],[Y-tunnus]],#REF!,COLUMN(#REF!),FALSE),0)</f>
        <v>0</v>
      </c>
      <c r="F96" s="204">
        <f>IFERROR(VLOOKUP(Opv.kohd.[[#This Row],[Y-tunnus]],#REF!,COLUMN(#REF!),FALSE),0)</f>
        <v>0</v>
      </c>
      <c r="G96" s="204">
        <f>IFERROR(VLOOKUP(Opv.kohd.[[#This Row],[Y-tunnus]],#REF!,COLUMN(#REF!),FALSE),0)</f>
        <v>0</v>
      </c>
      <c r="H96" s="204">
        <f>IFERROR(VLOOKUP(Opv.kohd.[[#This Row],[Y-tunnus]],#REF!,COLUMN(#REF!),FALSE),0)</f>
        <v>0</v>
      </c>
      <c r="I96" s="204">
        <f>IFERROR(VLOOKUP(Opv.kohd.[[#This Row],[Y-tunnus]],#REF!,COLUMN(#REF!),FALSE),0)</f>
        <v>0</v>
      </c>
      <c r="J96" s="204">
        <f>IFERROR(VLOOKUP(Opv.kohd.[[#This Row],[Y-tunnus]],#REF!,COLUMN(#REF!),FALSE),0)</f>
        <v>0</v>
      </c>
      <c r="K9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96" s="204">
        <f>Opv.kohd.[[#This Row],[Järjestämisluvan mukaiset 1]]+Opv.kohd.[[#This Row],[Yhteensä  1]]</f>
        <v>0</v>
      </c>
      <c r="M96" s="204">
        <f>IFERROR(VLOOKUP(Opv.kohd.[[#This Row],[Y-tunnus]],#REF!,COLUMN(#REF!),FALSE),0)</f>
        <v>0</v>
      </c>
      <c r="N96" s="204">
        <f>IFERROR(VLOOKUP(Opv.kohd.[[#This Row],[Y-tunnus]],#REF!,COLUMN(#REF!),FALSE),0)</f>
        <v>0</v>
      </c>
      <c r="O96" s="204">
        <f>IFERROR(VLOOKUP(Opv.kohd.[[#This Row],[Y-tunnus]],#REF!,COLUMN(#REF!),FALSE)+VLOOKUP(Opv.kohd.[[#This Row],[Y-tunnus]],#REF!,COLUMN(#REF!),FALSE),0)</f>
        <v>0</v>
      </c>
      <c r="P96" s="204">
        <f>Opv.kohd.[[#This Row],[Talousarvion perusteella kohdentamattomat]]+Opv.kohd.[[#This Row],[Talousarvion perusteella työvoimakoulutus 1]]+Opv.kohd.[[#This Row],[Lisätalousarvioiden perusteella]]</f>
        <v>0</v>
      </c>
      <c r="Q96" s="204">
        <f>IFERROR(VLOOKUP(Opv.kohd.[[#This Row],[Y-tunnus]],#REF!,COLUMN(#REF!),FALSE),0)</f>
        <v>0</v>
      </c>
      <c r="R96" s="210">
        <f>IFERROR(VLOOKUP(Opv.kohd.[[#This Row],[Y-tunnus]],#REF!,COLUMN(#REF!),FALSE)-(Opv.kohd.[[#This Row],[Kohdentamaton työvoima-koulutus 2]]+Opv.kohd.[[#This Row],[Maahan-muuttajien koulutus 2]]+Opv.kohd.[[#This Row],[Lisätalousarvioiden perusteella jaetut 2]]),0)</f>
        <v>0</v>
      </c>
      <c r="S96" s="210">
        <f>IFERROR(VLOOKUP(Opv.kohd.[[#This Row],[Y-tunnus]],#REF!,COLUMN(#REF!),FALSE)+VLOOKUP(Opv.kohd.[[#This Row],[Y-tunnus]],#REF!,COLUMN(#REF!),FALSE),0)</f>
        <v>0</v>
      </c>
      <c r="T96" s="210">
        <f>IFERROR(VLOOKUP(Opv.kohd.[[#This Row],[Y-tunnus]],#REF!,COLUMN(#REF!),FALSE)+VLOOKUP(Opv.kohd.[[#This Row],[Y-tunnus]],#REF!,COLUMN(#REF!),FALSE),0)</f>
        <v>0</v>
      </c>
      <c r="U9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96" s="210">
        <f>Opv.kohd.[[#This Row],[Kohdentamat-tomat 2]]+Opv.kohd.[[#This Row],[Kohdentamaton työvoima-koulutus 2]]+Opv.kohd.[[#This Row],[Maahan-muuttajien koulutus 2]]+Opv.kohd.[[#This Row],[Lisätalousarvioiden perusteella jaetut 2]]</f>
        <v>0</v>
      </c>
      <c r="W96" s="210">
        <f>Opv.kohd.[[#This Row],[Kohdentamat-tomat 2]]-(Opv.kohd.[[#This Row],[Järjestämisluvan mukaiset 1]]+Opv.kohd.[[#This Row],[Kohdentamat-tomat 1]]+Opv.kohd.[[#This Row],[Nuorisotyöt. väh. ja osaamistarp. vast., muu kuin työvoima-koulutus 1]]+Opv.kohd.[[#This Row],[Talousarvion perusteella kohdentamattomat]])</f>
        <v>0</v>
      </c>
      <c r="X96" s="210">
        <f>Opv.kohd.[[#This Row],[Kohdentamaton työvoima-koulutus 2]]-(Opv.kohd.[[#This Row],[Työvoima-koulutus 1]]+Opv.kohd.[[#This Row],[Nuorisotyöt. väh. ja osaamistarp. vast., työvoima-koulutus 1]]+Opv.kohd.[[#This Row],[Talousarvion perusteella työvoimakoulutus 1]])</f>
        <v>0</v>
      </c>
      <c r="Y96" s="210">
        <f>Opv.kohd.[[#This Row],[Maahan-muuttajien koulutus 2]]-Opv.kohd.[[#This Row],[Maahan-muuttajien koulutus 1]]</f>
        <v>0</v>
      </c>
      <c r="Z96" s="210">
        <f>Opv.kohd.[[#This Row],[Lisätalousarvioiden perusteella jaetut 2]]-Opv.kohd.[[#This Row],[Lisätalousarvioiden perusteella]]</f>
        <v>0</v>
      </c>
      <c r="AA96" s="210">
        <f>Opv.kohd.[[#This Row],[Toteutuneet opiskelijavuodet yhteensä 2]]-Opv.kohd.[[#This Row],[Vuoden 2018 tavoitteelliset opiskelijavuodet yhteensä 1]]</f>
        <v>0</v>
      </c>
      <c r="AB96" s="207">
        <f>IFERROR(VLOOKUP(Opv.kohd.[[#This Row],[Y-tunnus]],#REF!,3,FALSE),0)</f>
        <v>0</v>
      </c>
      <c r="AC96" s="207">
        <f>IFERROR(VLOOKUP(Opv.kohd.[[#This Row],[Y-tunnus]],#REF!,4,FALSE),0)</f>
        <v>0</v>
      </c>
      <c r="AD96" s="207">
        <f>IFERROR(VLOOKUP(Opv.kohd.[[#This Row],[Y-tunnus]],#REF!,5,FALSE),0)</f>
        <v>0</v>
      </c>
      <c r="AE96" s="207">
        <f>IFERROR(VLOOKUP(Opv.kohd.[[#This Row],[Y-tunnus]],#REF!,6,FALSE),0)</f>
        <v>0</v>
      </c>
      <c r="AF96" s="207">
        <f>IFERROR(VLOOKUP(Opv.kohd.[[#This Row],[Y-tunnus]],#REF!,7,FALSE),0)</f>
        <v>0</v>
      </c>
      <c r="AG96" s="207">
        <f>IFERROR(VLOOKUP(Opv.kohd.[[#This Row],[Y-tunnus]],#REF!,8,FALSE),0)</f>
        <v>0</v>
      </c>
      <c r="AH96" s="207">
        <f>IFERROR(VLOOKUP(Opv.kohd.[[#This Row],[Y-tunnus]],#REF!,9,FALSE),0)</f>
        <v>0</v>
      </c>
      <c r="AI96" s="207">
        <f>IFERROR(VLOOKUP(Opv.kohd.[[#This Row],[Y-tunnus]],#REF!,10,FALSE),0)</f>
        <v>0</v>
      </c>
      <c r="AJ96" s="204">
        <f>Opv.kohd.[[#This Row],[Järjestämisluvan mukaiset 4]]-Opv.kohd.[[#This Row],[Järjestämisluvan mukaiset 1]]</f>
        <v>0</v>
      </c>
      <c r="AK96" s="204">
        <f>Opv.kohd.[[#This Row],[Kohdentamat-tomat 4]]-Opv.kohd.[[#This Row],[Kohdentamat-tomat 1]]</f>
        <v>0</v>
      </c>
      <c r="AL96" s="204">
        <f>Opv.kohd.[[#This Row],[Työvoima-koulutus 4]]-Opv.kohd.[[#This Row],[Työvoima-koulutus 1]]</f>
        <v>0</v>
      </c>
      <c r="AM96" s="204">
        <f>Opv.kohd.[[#This Row],[Maahan-muuttajien koulutus 4]]-Opv.kohd.[[#This Row],[Maahan-muuttajien koulutus 1]]</f>
        <v>0</v>
      </c>
      <c r="AN96" s="204">
        <f>Opv.kohd.[[#This Row],[Nuorisotyöt. väh. ja osaamistarp. vast., muu kuin työvoima-koulutus 4]]-Opv.kohd.[[#This Row],[Nuorisotyöt. väh. ja osaamistarp. vast., muu kuin työvoima-koulutus 1]]</f>
        <v>0</v>
      </c>
      <c r="AO96" s="204">
        <f>Opv.kohd.[[#This Row],[Nuorisotyöt. väh. ja osaamistarp. vast., työvoima-koulutus 4]]-Opv.kohd.[[#This Row],[Nuorisotyöt. väh. ja osaamistarp. vast., työvoima-koulutus 1]]</f>
        <v>0</v>
      </c>
      <c r="AP96" s="204">
        <f>Opv.kohd.[[#This Row],[Yhteensä 4]]-Opv.kohd.[[#This Row],[Yhteensä  1]]</f>
        <v>0</v>
      </c>
      <c r="AQ96" s="204">
        <f>Opv.kohd.[[#This Row],[Ensikertaisella suoritepäätöksellä jaetut tavoitteelliset opiskelijavuodet yhteensä 4]]-Opv.kohd.[[#This Row],[Ensikertaisella suoritepäätöksellä jaetut tavoitteelliset opiskelijavuodet yhteensä 1]]</f>
        <v>0</v>
      </c>
      <c r="AR96" s="208">
        <f>IFERROR(Opv.kohd.[[#This Row],[Järjestämisluvan mukaiset 5]]/Opv.kohd.[[#This Row],[Järjestämisluvan mukaiset 4]],0)</f>
        <v>0</v>
      </c>
      <c r="AS96" s="208">
        <f>IFERROR(Opv.kohd.[[#This Row],[Kohdentamat-tomat 5]]/Opv.kohd.[[#This Row],[Kohdentamat-tomat 4]],0)</f>
        <v>0</v>
      </c>
      <c r="AT96" s="208">
        <f>IFERROR(Opv.kohd.[[#This Row],[Työvoima-koulutus 5]]/Opv.kohd.[[#This Row],[Työvoima-koulutus 4]],0)</f>
        <v>0</v>
      </c>
      <c r="AU96" s="208">
        <f>IFERROR(Opv.kohd.[[#This Row],[Maahan-muuttajien koulutus 5]]/Opv.kohd.[[#This Row],[Maahan-muuttajien koulutus 4]],0)</f>
        <v>0</v>
      </c>
      <c r="AV96" s="208">
        <f>IFERROR(Opv.kohd.[[#This Row],[Nuorisotyöt. väh. ja osaamistarp. vast., muu kuin työvoima-koulutus 5]]/Opv.kohd.[[#This Row],[Nuorisotyöt. väh. ja osaamistarp. vast., muu kuin työvoima-koulutus 4]],0)</f>
        <v>0</v>
      </c>
      <c r="AW96" s="208">
        <f>IFERROR(Opv.kohd.[[#This Row],[Nuorisotyöt. väh. ja osaamistarp. vast., työvoima-koulutus 5]]/Opv.kohd.[[#This Row],[Nuorisotyöt. väh. ja osaamistarp. vast., työvoima-koulutus 4]],0)</f>
        <v>0</v>
      </c>
      <c r="AX96" s="208">
        <f>IFERROR(Opv.kohd.[[#This Row],[Yhteensä 5]]/Opv.kohd.[[#This Row],[Yhteensä 4]],0)</f>
        <v>0</v>
      </c>
      <c r="AY96" s="208">
        <f>IFERROR(Opv.kohd.[[#This Row],[Ensikertaisella suoritepäätöksellä jaetut tavoitteelliset opiskelijavuodet yhteensä 5]]/Opv.kohd.[[#This Row],[Ensikertaisella suoritepäätöksellä jaetut tavoitteelliset opiskelijavuodet yhteensä 4]],0)</f>
        <v>0</v>
      </c>
      <c r="AZ96" s="207">
        <f>Opv.kohd.[[#This Row],[Yhteensä 7a]]-Opv.kohd.[[#This Row],[Työvoima-koulutus 7a]]</f>
        <v>0</v>
      </c>
      <c r="BA96" s="207">
        <f>IFERROR(VLOOKUP(Opv.kohd.[[#This Row],[Y-tunnus]],#REF!,COLUMN(#REF!),FALSE),0)</f>
        <v>0</v>
      </c>
      <c r="BB96" s="207">
        <f>IFERROR(VLOOKUP(Opv.kohd.[[#This Row],[Y-tunnus]],#REF!,COLUMN(#REF!),FALSE),0)</f>
        <v>0</v>
      </c>
      <c r="BC96" s="207">
        <f>Opv.kohd.[[#This Row],[Muu kuin työvoima-koulutus 7c]]-Opv.kohd.[[#This Row],[Muu kuin työvoima-koulutus 7a]]</f>
        <v>0</v>
      </c>
      <c r="BD96" s="207">
        <f>Opv.kohd.[[#This Row],[Työvoima-koulutus 7c]]-Opv.kohd.[[#This Row],[Työvoima-koulutus 7a]]</f>
        <v>0</v>
      </c>
      <c r="BE96" s="207">
        <f>Opv.kohd.[[#This Row],[Yhteensä 7c]]-Opv.kohd.[[#This Row],[Yhteensä 7a]]</f>
        <v>0</v>
      </c>
      <c r="BF96" s="207">
        <f>Opv.kohd.[[#This Row],[Yhteensä 7c]]-Opv.kohd.[[#This Row],[Työvoima-koulutus 7c]]</f>
        <v>0</v>
      </c>
      <c r="BG96" s="207">
        <f>IFERROR(VLOOKUP(Opv.kohd.[[#This Row],[Y-tunnus]],#REF!,COLUMN(#REF!),FALSE),0)</f>
        <v>0</v>
      </c>
      <c r="BH96" s="207">
        <f>IFERROR(VLOOKUP(Opv.kohd.[[#This Row],[Y-tunnus]],#REF!,COLUMN(#REF!),FALSE),0)</f>
        <v>0</v>
      </c>
      <c r="BI96" s="207">
        <f>IFERROR(VLOOKUP(Opv.kohd.[[#This Row],[Y-tunnus]],#REF!,COLUMN(#REF!),FALSE),0)</f>
        <v>0</v>
      </c>
      <c r="BJ96" s="207">
        <f>IFERROR(VLOOKUP(Opv.kohd.[[#This Row],[Y-tunnus]],#REF!,COLUMN(#REF!),FALSE),0)</f>
        <v>0</v>
      </c>
      <c r="BK96" s="207">
        <f>Opv.kohd.[[#This Row],[Muu kuin työvoima-koulutus 7d]]+Opv.kohd.[[#This Row],[Työvoima-koulutus 7d]]</f>
        <v>0</v>
      </c>
      <c r="BL96" s="207">
        <f>Opv.kohd.[[#This Row],[Muu kuin työvoima-koulutus 7c]]-Opv.kohd.[[#This Row],[Muu kuin työvoima-koulutus 7d]]</f>
        <v>0</v>
      </c>
      <c r="BM96" s="207">
        <f>Opv.kohd.[[#This Row],[Työvoima-koulutus 7c]]-Opv.kohd.[[#This Row],[Työvoima-koulutus 7d]]</f>
        <v>0</v>
      </c>
      <c r="BN96" s="207">
        <f>Opv.kohd.[[#This Row],[Yhteensä 7c]]-Opv.kohd.[[#This Row],[Yhteensä 7d]]</f>
        <v>0</v>
      </c>
      <c r="BO96" s="207">
        <f>Opv.kohd.[[#This Row],[Muu kuin työvoima-koulutus 7e]]-(Opv.kohd.[[#This Row],[Järjestämisluvan mukaiset 4]]+Opv.kohd.[[#This Row],[Kohdentamat-tomat 4]]+Opv.kohd.[[#This Row],[Maahan-muuttajien koulutus 4]]+Opv.kohd.[[#This Row],[Nuorisotyöt. väh. ja osaamistarp. vast., muu kuin työvoima-koulutus 4]])</f>
        <v>0</v>
      </c>
      <c r="BP96" s="207">
        <f>Opv.kohd.[[#This Row],[Työvoima-koulutus 7e]]-(Opv.kohd.[[#This Row],[Työvoima-koulutus 4]]+Opv.kohd.[[#This Row],[Nuorisotyöt. väh. ja osaamistarp. vast., työvoima-koulutus 4]])</f>
        <v>0</v>
      </c>
      <c r="BQ96" s="207">
        <f>Opv.kohd.[[#This Row],[Yhteensä 7e]]-Opv.kohd.[[#This Row],[Ensikertaisella suoritepäätöksellä jaetut tavoitteelliset opiskelijavuodet yhteensä 4]]</f>
        <v>0</v>
      </c>
      <c r="BR96" s="263">
        <v>6829</v>
      </c>
      <c r="BS96" s="263">
        <v>316</v>
      </c>
      <c r="BT96" s="263">
        <v>420</v>
      </c>
      <c r="BU96" s="263">
        <v>32</v>
      </c>
      <c r="BV96" s="263">
        <v>45</v>
      </c>
      <c r="BW96" s="263">
        <v>40</v>
      </c>
      <c r="BX96" s="263">
        <v>853</v>
      </c>
      <c r="BY96" s="263">
        <v>7682</v>
      </c>
      <c r="BZ96" s="207">
        <f t="shared" si="17"/>
        <v>6829</v>
      </c>
      <c r="CA96" s="207">
        <f t="shared" si="18"/>
        <v>316</v>
      </c>
      <c r="CB96" s="207">
        <f t="shared" si="19"/>
        <v>420</v>
      </c>
      <c r="CC96" s="207">
        <f t="shared" si="20"/>
        <v>32</v>
      </c>
      <c r="CD96" s="207">
        <f t="shared" si="21"/>
        <v>45</v>
      </c>
      <c r="CE96" s="207">
        <f t="shared" si="22"/>
        <v>40</v>
      </c>
      <c r="CF96" s="207">
        <f t="shared" si="23"/>
        <v>853</v>
      </c>
      <c r="CG96" s="207">
        <f t="shared" si="24"/>
        <v>7682</v>
      </c>
      <c r="CH96" s="207">
        <f>Opv.kohd.[[#This Row],[Tavoitteelliset opiskelijavuodet yhteensä 9]]-Opv.kohd.[[#This Row],[Työvoima-koulutus 9]]-Opv.kohd.[[#This Row],[Nuorisotyöt. väh. ja osaamistarp. vast., työvoima-koulutus 9]]-Opv.kohd.[[#This Row],[Muu kuin työvoima-koulutus 7e]]</f>
        <v>7222</v>
      </c>
      <c r="CI96" s="207">
        <f>(Opv.kohd.[[#This Row],[Työvoima-koulutus 9]]+Opv.kohd.[[#This Row],[Nuorisotyöt. väh. ja osaamistarp. vast., työvoima-koulutus 9]])-Opv.kohd.[[#This Row],[Työvoima-koulutus 7e]]</f>
        <v>460</v>
      </c>
      <c r="CJ96" s="207">
        <f>Opv.kohd.[[#This Row],[Tavoitteelliset opiskelijavuodet yhteensä 9]]-Opv.kohd.[[#This Row],[Yhteensä 7e]]</f>
        <v>7682</v>
      </c>
      <c r="CK96" s="207">
        <f>Opv.kohd.[[#This Row],[Järjestämisluvan mukaiset 4]]+Opv.kohd.[[#This Row],[Järjestämisluvan mukaiset 13]]</f>
        <v>0</v>
      </c>
      <c r="CL96" s="207">
        <f>Opv.kohd.[[#This Row],[Kohdentamat-tomat 4]]+Opv.kohd.[[#This Row],[Kohdentamat-tomat 13]]</f>
        <v>0</v>
      </c>
      <c r="CM96" s="207">
        <f>Opv.kohd.[[#This Row],[Työvoima-koulutus 4]]+Opv.kohd.[[#This Row],[Työvoima-koulutus 13]]</f>
        <v>0</v>
      </c>
      <c r="CN96" s="207">
        <f>Opv.kohd.[[#This Row],[Maahan-muuttajien koulutus 4]]+Opv.kohd.[[#This Row],[Maahan-muuttajien koulutus 13]]</f>
        <v>0</v>
      </c>
      <c r="CO96" s="207">
        <f>Opv.kohd.[[#This Row],[Nuorisotyöt. väh. ja osaamistarp. vast., muu kuin työvoima-koulutus 4]]+Opv.kohd.[[#This Row],[Nuorisotyöt. väh. ja osaamistarp. vast., muu kuin työvoima-koulutus 13]]</f>
        <v>0</v>
      </c>
      <c r="CP96" s="207">
        <f>Opv.kohd.[[#This Row],[Nuorisotyöt. väh. ja osaamistarp. vast., työvoima-koulutus 4]]+Opv.kohd.[[#This Row],[Nuorisotyöt. väh. ja osaamistarp. vast., työvoima-koulutus 13]]</f>
        <v>0</v>
      </c>
      <c r="CQ96" s="207">
        <f>Opv.kohd.[[#This Row],[Yhteensä 4]]+Opv.kohd.[[#This Row],[Yhteensä 13]]</f>
        <v>0</v>
      </c>
      <c r="CR96" s="207">
        <f>Opv.kohd.[[#This Row],[Ensikertaisella suoritepäätöksellä jaetut tavoitteelliset opiskelijavuodet yhteensä 4]]+Opv.kohd.[[#This Row],[Tavoitteelliset opiskelijavuodet yhteensä 13]]</f>
        <v>0</v>
      </c>
      <c r="CS96" s="120">
        <v>0</v>
      </c>
      <c r="CT96" s="120">
        <v>0</v>
      </c>
      <c r="CU96" s="120">
        <v>0</v>
      </c>
      <c r="CV96" s="120">
        <v>0</v>
      </c>
      <c r="CW96" s="120">
        <v>0</v>
      </c>
      <c r="CX96" s="120">
        <v>0</v>
      </c>
      <c r="CY96" s="120">
        <v>0</v>
      </c>
      <c r="CZ96" s="120">
        <v>0</v>
      </c>
      <c r="DA96" s="209">
        <f>IFERROR(Opv.kohd.[[#This Row],[Järjestämisluvan mukaiset 13]]/Opv.kohd.[[#This Row],[Järjestämisluvan mukaiset 12]],0)</f>
        <v>0</v>
      </c>
      <c r="DB96" s="209">
        <f>IFERROR(Opv.kohd.[[#This Row],[Kohdentamat-tomat 13]]/Opv.kohd.[[#This Row],[Kohdentamat-tomat 12]],0)</f>
        <v>0</v>
      </c>
      <c r="DC96" s="209">
        <f>IFERROR(Opv.kohd.[[#This Row],[Työvoima-koulutus 13]]/Opv.kohd.[[#This Row],[Työvoima-koulutus 12]],0)</f>
        <v>0</v>
      </c>
      <c r="DD96" s="209">
        <f>IFERROR(Opv.kohd.[[#This Row],[Maahan-muuttajien koulutus 13]]/Opv.kohd.[[#This Row],[Maahan-muuttajien koulutus 12]],0)</f>
        <v>0</v>
      </c>
      <c r="DE96" s="209">
        <f>IFERROR(Opv.kohd.[[#This Row],[Nuorisotyöt. väh. ja osaamistarp. vast., muu kuin työvoima-koulutus 13]]/Opv.kohd.[[#This Row],[Nuorisotyöt. väh. ja osaamistarp. vast., muu kuin työvoima-koulutus 12]],0)</f>
        <v>0</v>
      </c>
      <c r="DF96" s="209">
        <f>IFERROR(Opv.kohd.[[#This Row],[Nuorisotyöt. väh. ja osaamistarp. vast., työvoima-koulutus 13]]/Opv.kohd.[[#This Row],[Nuorisotyöt. väh. ja osaamistarp. vast., työvoima-koulutus 12]],0)</f>
        <v>0</v>
      </c>
      <c r="DG96" s="209">
        <f>IFERROR(Opv.kohd.[[#This Row],[Yhteensä 13]]/Opv.kohd.[[#This Row],[Yhteensä 12]],0)</f>
        <v>0</v>
      </c>
      <c r="DH96" s="209">
        <f>IFERROR(Opv.kohd.[[#This Row],[Tavoitteelliset opiskelijavuodet yhteensä 13]]/Opv.kohd.[[#This Row],[Tavoitteelliset opiskelijavuodet yhteensä 12]],0)</f>
        <v>0</v>
      </c>
      <c r="DI96" s="207">
        <f>Opv.kohd.[[#This Row],[Järjestämisluvan mukaiset 12]]-Opv.kohd.[[#This Row],[Järjestämisluvan mukaiset 9]]</f>
        <v>-6829</v>
      </c>
      <c r="DJ96" s="207">
        <f>Opv.kohd.[[#This Row],[Kohdentamat-tomat 12]]-Opv.kohd.[[#This Row],[Kohdentamat-tomat 9]]</f>
        <v>-316</v>
      </c>
      <c r="DK96" s="207">
        <f>Opv.kohd.[[#This Row],[Työvoima-koulutus 12]]-Opv.kohd.[[#This Row],[Työvoima-koulutus 9]]</f>
        <v>-420</v>
      </c>
      <c r="DL96" s="207">
        <f>Opv.kohd.[[#This Row],[Maahan-muuttajien koulutus 12]]-Opv.kohd.[[#This Row],[Maahan-muuttajien koulutus 9]]</f>
        <v>-32</v>
      </c>
      <c r="DM96" s="207">
        <f>Opv.kohd.[[#This Row],[Nuorisotyöt. väh. ja osaamistarp. vast., muu kuin työvoima-koulutus 12]]-Opv.kohd.[[#This Row],[Nuorisotyöt. väh. ja osaamistarp. vast., muu kuin työvoima-koulutus 9]]</f>
        <v>-45</v>
      </c>
      <c r="DN96" s="207">
        <f>Opv.kohd.[[#This Row],[Nuorisotyöt. väh. ja osaamistarp. vast., työvoima-koulutus 12]]-Opv.kohd.[[#This Row],[Nuorisotyöt. väh. ja osaamistarp. vast., työvoima-koulutus 9]]</f>
        <v>-40</v>
      </c>
      <c r="DO96" s="207">
        <f>Opv.kohd.[[#This Row],[Yhteensä 12]]-Opv.kohd.[[#This Row],[Yhteensä 9]]</f>
        <v>-853</v>
      </c>
      <c r="DP96" s="207">
        <f>Opv.kohd.[[#This Row],[Tavoitteelliset opiskelijavuodet yhteensä 12]]-Opv.kohd.[[#This Row],[Tavoitteelliset opiskelijavuodet yhteensä 9]]</f>
        <v>-7682</v>
      </c>
      <c r="DQ96" s="209">
        <f>IFERROR(Opv.kohd.[[#This Row],[Järjestämisluvan mukaiset 15]]/Opv.kohd.[[#This Row],[Järjestämisluvan mukaiset 9]],0)</f>
        <v>-1</v>
      </c>
      <c r="DR96" s="209">
        <f t="shared" si="25"/>
        <v>0</v>
      </c>
      <c r="DS96" s="209">
        <f t="shared" si="26"/>
        <v>0</v>
      </c>
      <c r="DT96" s="209">
        <f t="shared" si="27"/>
        <v>0</v>
      </c>
      <c r="DU96" s="209">
        <f t="shared" si="28"/>
        <v>0</v>
      </c>
      <c r="DV96" s="209">
        <f t="shared" si="29"/>
        <v>0</v>
      </c>
      <c r="DW96" s="209">
        <f t="shared" si="30"/>
        <v>0</v>
      </c>
      <c r="DX96" s="209">
        <f t="shared" si="31"/>
        <v>0</v>
      </c>
    </row>
    <row r="97" spans="1:128" x14ac:dyDescent="0.25">
      <c r="A97" s="204" t="e">
        <f>IF(INDEX(#REF!,ROW(97:97)-1,1)=0,"",INDEX(#REF!,ROW(97:97)-1,1))</f>
        <v>#REF!</v>
      </c>
      <c r="B97" s="205" t="str">
        <f>IFERROR(VLOOKUP(Opv.kohd.[[#This Row],[Y-tunnus]],'0 Järjestäjätiedot'!$A:$H,2,FALSE),"")</f>
        <v/>
      </c>
      <c r="C97" s="204" t="str">
        <f>IFERROR(VLOOKUP(Opv.kohd.[[#This Row],[Y-tunnus]],'0 Järjestäjätiedot'!$A:$H,COLUMN('0 Järjestäjätiedot'!D:D),FALSE),"")</f>
        <v/>
      </c>
      <c r="D97" s="204" t="str">
        <f>IFERROR(VLOOKUP(Opv.kohd.[[#This Row],[Y-tunnus]],'0 Järjestäjätiedot'!$A:$H,COLUMN('0 Järjestäjätiedot'!H:H),FALSE),"")</f>
        <v/>
      </c>
      <c r="E97" s="204">
        <f>IFERROR(VLOOKUP(Opv.kohd.[[#This Row],[Y-tunnus]],#REF!,COLUMN(#REF!),FALSE),0)</f>
        <v>0</v>
      </c>
      <c r="F97" s="204">
        <f>IFERROR(VLOOKUP(Opv.kohd.[[#This Row],[Y-tunnus]],#REF!,COLUMN(#REF!),FALSE),0)</f>
        <v>0</v>
      </c>
      <c r="G97" s="204">
        <f>IFERROR(VLOOKUP(Opv.kohd.[[#This Row],[Y-tunnus]],#REF!,COLUMN(#REF!),FALSE),0)</f>
        <v>0</v>
      </c>
      <c r="H97" s="204">
        <f>IFERROR(VLOOKUP(Opv.kohd.[[#This Row],[Y-tunnus]],#REF!,COLUMN(#REF!),FALSE),0)</f>
        <v>0</v>
      </c>
      <c r="I97" s="204">
        <f>IFERROR(VLOOKUP(Opv.kohd.[[#This Row],[Y-tunnus]],#REF!,COLUMN(#REF!),FALSE),0)</f>
        <v>0</v>
      </c>
      <c r="J97" s="204">
        <f>IFERROR(VLOOKUP(Opv.kohd.[[#This Row],[Y-tunnus]],#REF!,COLUMN(#REF!),FALSE),0)</f>
        <v>0</v>
      </c>
      <c r="K9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97" s="204">
        <f>Opv.kohd.[[#This Row],[Järjestämisluvan mukaiset 1]]+Opv.kohd.[[#This Row],[Yhteensä  1]]</f>
        <v>0</v>
      </c>
      <c r="M97" s="204">
        <f>IFERROR(VLOOKUP(Opv.kohd.[[#This Row],[Y-tunnus]],#REF!,COLUMN(#REF!),FALSE),0)</f>
        <v>0</v>
      </c>
      <c r="N97" s="204">
        <f>IFERROR(VLOOKUP(Opv.kohd.[[#This Row],[Y-tunnus]],#REF!,COLUMN(#REF!),FALSE),0)</f>
        <v>0</v>
      </c>
      <c r="O97" s="204">
        <f>IFERROR(VLOOKUP(Opv.kohd.[[#This Row],[Y-tunnus]],#REF!,COLUMN(#REF!),FALSE)+VLOOKUP(Opv.kohd.[[#This Row],[Y-tunnus]],#REF!,COLUMN(#REF!),FALSE),0)</f>
        <v>0</v>
      </c>
      <c r="P97" s="204">
        <f>Opv.kohd.[[#This Row],[Talousarvion perusteella kohdentamattomat]]+Opv.kohd.[[#This Row],[Talousarvion perusteella työvoimakoulutus 1]]+Opv.kohd.[[#This Row],[Lisätalousarvioiden perusteella]]</f>
        <v>0</v>
      </c>
      <c r="Q97" s="204">
        <f>IFERROR(VLOOKUP(Opv.kohd.[[#This Row],[Y-tunnus]],#REF!,COLUMN(#REF!),FALSE),0)</f>
        <v>0</v>
      </c>
      <c r="R97" s="210">
        <f>IFERROR(VLOOKUP(Opv.kohd.[[#This Row],[Y-tunnus]],#REF!,COLUMN(#REF!),FALSE)-(Opv.kohd.[[#This Row],[Kohdentamaton työvoima-koulutus 2]]+Opv.kohd.[[#This Row],[Maahan-muuttajien koulutus 2]]+Opv.kohd.[[#This Row],[Lisätalousarvioiden perusteella jaetut 2]]),0)</f>
        <v>0</v>
      </c>
      <c r="S97" s="210">
        <f>IFERROR(VLOOKUP(Opv.kohd.[[#This Row],[Y-tunnus]],#REF!,COLUMN(#REF!),FALSE)+VLOOKUP(Opv.kohd.[[#This Row],[Y-tunnus]],#REF!,COLUMN(#REF!),FALSE),0)</f>
        <v>0</v>
      </c>
      <c r="T97" s="210">
        <f>IFERROR(VLOOKUP(Opv.kohd.[[#This Row],[Y-tunnus]],#REF!,COLUMN(#REF!),FALSE)+VLOOKUP(Opv.kohd.[[#This Row],[Y-tunnus]],#REF!,COLUMN(#REF!),FALSE),0)</f>
        <v>0</v>
      </c>
      <c r="U9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97" s="210">
        <f>Opv.kohd.[[#This Row],[Kohdentamat-tomat 2]]+Opv.kohd.[[#This Row],[Kohdentamaton työvoima-koulutus 2]]+Opv.kohd.[[#This Row],[Maahan-muuttajien koulutus 2]]+Opv.kohd.[[#This Row],[Lisätalousarvioiden perusteella jaetut 2]]</f>
        <v>0</v>
      </c>
      <c r="W97" s="210">
        <f>Opv.kohd.[[#This Row],[Kohdentamat-tomat 2]]-(Opv.kohd.[[#This Row],[Järjestämisluvan mukaiset 1]]+Opv.kohd.[[#This Row],[Kohdentamat-tomat 1]]+Opv.kohd.[[#This Row],[Nuorisotyöt. väh. ja osaamistarp. vast., muu kuin työvoima-koulutus 1]]+Opv.kohd.[[#This Row],[Talousarvion perusteella kohdentamattomat]])</f>
        <v>0</v>
      </c>
      <c r="X97" s="210">
        <f>Opv.kohd.[[#This Row],[Kohdentamaton työvoima-koulutus 2]]-(Opv.kohd.[[#This Row],[Työvoima-koulutus 1]]+Opv.kohd.[[#This Row],[Nuorisotyöt. väh. ja osaamistarp. vast., työvoima-koulutus 1]]+Opv.kohd.[[#This Row],[Talousarvion perusteella työvoimakoulutus 1]])</f>
        <v>0</v>
      </c>
      <c r="Y97" s="210">
        <f>Opv.kohd.[[#This Row],[Maahan-muuttajien koulutus 2]]-Opv.kohd.[[#This Row],[Maahan-muuttajien koulutus 1]]</f>
        <v>0</v>
      </c>
      <c r="Z97" s="210">
        <f>Opv.kohd.[[#This Row],[Lisätalousarvioiden perusteella jaetut 2]]-Opv.kohd.[[#This Row],[Lisätalousarvioiden perusteella]]</f>
        <v>0</v>
      </c>
      <c r="AA97" s="210">
        <f>Opv.kohd.[[#This Row],[Toteutuneet opiskelijavuodet yhteensä 2]]-Opv.kohd.[[#This Row],[Vuoden 2018 tavoitteelliset opiskelijavuodet yhteensä 1]]</f>
        <v>0</v>
      </c>
      <c r="AB97" s="207">
        <f>IFERROR(VLOOKUP(Opv.kohd.[[#This Row],[Y-tunnus]],#REF!,3,FALSE),0)</f>
        <v>0</v>
      </c>
      <c r="AC97" s="207">
        <f>IFERROR(VLOOKUP(Opv.kohd.[[#This Row],[Y-tunnus]],#REF!,4,FALSE),0)</f>
        <v>0</v>
      </c>
      <c r="AD97" s="207">
        <f>IFERROR(VLOOKUP(Opv.kohd.[[#This Row],[Y-tunnus]],#REF!,5,FALSE),0)</f>
        <v>0</v>
      </c>
      <c r="AE97" s="207">
        <f>IFERROR(VLOOKUP(Opv.kohd.[[#This Row],[Y-tunnus]],#REF!,6,FALSE),0)</f>
        <v>0</v>
      </c>
      <c r="AF97" s="207">
        <f>IFERROR(VLOOKUP(Opv.kohd.[[#This Row],[Y-tunnus]],#REF!,7,FALSE),0)</f>
        <v>0</v>
      </c>
      <c r="AG97" s="207">
        <f>IFERROR(VLOOKUP(Opv.kohd.[[#This Row],[Y-tunnus]],#REF!,8,FALSE),0)</f>
        <v>0</v>
      </c>
      <c r="AH97" s="207">
        <f>IFERROR(VLOOKUP(Opv.kohd.[[#This Row],[Y-tunnus]],#REF!,9,FALSE),0)</f>
        <v>0</v>
      </c>
      <c r="AI97" s="207">
        <f>IFERROR(VLOOKUP(Opv.kohd.[[#This Row],[Y-tunnus]],#REF!,10,FALSE),0)</f>
        <v>0</v>
      </c>
      <c r="AJ97" s="204">
        <f>Opv.kohd.[[#This Row],[Järjestämisluvan mukaiset 4]]-Opv.kohd.[[#This Row],[Järjestämisluvan mukaiset 1]]</f>
        <v>0</v>
      </c>
      <c r="AK97" s="204">
        <f>Opv.kohd.[[#This Row],[Kohdentamat-tomat 4]]-Opv.kohd.[[#This Row],[Kohdentamat-tomat 1]]</f>
        <v>0</v>
      </c>
      <c r="AL97" s="204">
        <f>Opv.kohd.[[#This Row],[Työvoima-koulutus 4]]-Opv.kohd.[[#This Row],[Työvoima-koulutus 1]]</f>
        <v>0</v>
      </c>
      <c r="AM97" s="204">
        <f>Opv.kohd.[[#This Row],[Maahan-muuttajien koulutus 4]]-Opv.kohd.[[#This Row],[Maahan-muuttajien koulutus 1]]</f>
        <v>0</v>
      </c>
      <c r="AN97" s="204">
        <f>Opv.kohd.[[#This Row],[Nuorisotyöt. väh. ja osaamistarp. vast., muu kuin työvoima-koulutus 4]]-Opv.kohd.[[#This Row],[Nuorisotyöt. väh. ja osaamistarp. vast., muu kuin työvoima-koulutus 1]]</f>
        <v>0</v>
      </c>
      <c r="AO97" s="204">
        <f>Opv.kohd.[[#This Row],[Nuorisotyöt. väh. ja osaamistarp. vast., työvoima-koulutus 4]]-Opv.kohd.[[#This Row],[Nuorisotyöt. väh. ja osaamistarp. vast., työvoima-koulutus 1]]</f>
        <v>0</v>
      </c>
      <c r="AP97" s="204">
        <f>Opv.kohd.[[#This Row],[Yhteensä 4]]-Opv.kohd.[[#This Row],[Yhteensä  1]]</f>
        <v>0</v>
      </c>
      <c r="AQ97" s="204">
        <f>Opv.kohd.[[#This Row],[Ensikertaisella suoritepäätöksellä jaetut tavoitteelliset opiskelijavuodet yhteensä 4]]-Opv.kohd.[[#This Row],[Ensikertaisella suoritepäätöksellä jaetut tavoitteelliset opiskelijavuodet yhteensä 1]]</f>
        <v>0</v>
      </c>
      <c r="AR97" s="208">
        <f>IFERROR(Opv.kohd.[[#This Row],[Järjestämisluvan mukaiset 5]]/Opv.kohd.[[#This Row],[Järjestämisluvan mukaiset 4]],0)</f>
        <v>0</v>
      </c>
      <c r="AS97" s="208">
        <f>IFERROR(Opv.kohd.[[#This Row],[Kohdentamat-tomat 5]]/Opv.kohd.[[#This Row],[Kohdentamat-tomat 4]],0)</f>
        <v>0</v>
      </c>
      <c r="AT97" s="208">
        <f>IFERROR(Opv.kohd.[[#This Row],[Työvoima-koulutus 5]]/Opv.kohd.[[#This Row],[Työvoima-koulutus 4]],0)</f>
        <v>0</v>
      </c>
      <c r="AU97" s="208">
        <f>IFERROR(Opv.kohd.[[#This Row],[Maahan-muuttajien koulutus 5]]/Opv.kohd.[[#This Row],[Maahan-muuttajien koulutus 4]],0)</f>
        <v>0</v>
      </c>
      <c r="AV97" s="208">
        <f>IFERROR(Opv.kohd.[[#This Row],[Nuorisotyöt. väh. ja osaamistarp. vast., muu kuin työvoima-koulutus 5]]/Opv.kohd.[[#This Row],[Nuorisotyöt. väh. ja osaamistarp. vast., muu kuin työvoima-koulutus 4]],0)</f>
        <v>0</v>
      </c>
      <c r="AW97" s="208">
        <f>IFERROR(Opv.kohd.[[#This Row],[Nuorisotyöt. väh. ja osaamistarp. vast., työvoima-koulutus 5]]/Opv.kohd.[[#This Row],[Nuorisotyöt. väh. ja osaamistarp. vast., työvoima-koulutus 4]],0)</f>
        <v>0</v>
      </c>
      <c r="AX97" s="208">
        <f>IFERROR(Opv.kohd.[[#This Row],[Yhteensä 5]]/Opv.kohd.[[#This Row],[Yhteensä 4]],0)</f>
        <v>0</v>
      </c>
      <c r="AY97" s="208">
        <f>IFERROR(Opv.kohd.[[#This Row],[Ensikertaisella suoritepäätöksellä jaetut tavoitteelliset opiskelijavuodet yhteensä 5]]/Opv.kohd.[[#This Row],[Ensikertaisella suoritepäätöksellä jaetut tavoitteelliset opiskelijavuodet yhteensä 4]],0)</f>
        <v>0</v>
      </c>
      <c r="AZ97" s="207">
        <f>Opv.kohd.[[#This Row],[Yhteensä 7a]]-Opv.kohd.[[#This Row],[Työvoima-koulutus 7a]]</f>
        <v>0</v>
      </c>
      <c r="BA97" s="207">
        <f>IFERROR(VLOOKUP(Opv.kohd.[[#This Row],[Y-tunnus]],#REF!,COLUMN(#REF!),FALSE),0)</f>
        <v>0</v>
      </c>
      <c r="BB97" s="207">
        <f>IFERROR(VLOOKUP(Opv.kohd.[[#This Row],[Y-tunnus]],#REF!,COLUMN(#REF!),FALSE),0)</f>
        <v>0</v>
      </c>
      <c r="BC97" s="207">
        <f>Opv.kohd.[[#This Row],[Muu kuin työvoima-koulutus 7c]]-Opv.kohd.[[#This Row],[Muu kuin työvoima-koulutus 7a]]</f>
        <v>0</v>
      </c>
      <c r="BD97" s="207">
        <f>Opv.kohd.[[#This Row],[Työvoima-koulutus 7c]]-Opv.kohd.[[#This Row],[Työvoima-koulutus 7a]]</f>
        <v>0</v>
      </c>
      <c r="BE97" s="207">
        <f>Opv.kohd.[[#This Row],[Yhteensä 7c]]-Opv.kohd.[[#This Row],[Yhteensä 7a]]</f>
        <v>0</v>
      </c>
      <c r="BF97" s="207">
        <f>Opv.kohd.[[#This Row],[Yhteensä 7c]]-Opv.kohd.[[#This Row],[Työvoima-koulutus 7c]]</f>
        <v>0</v>
      </c>
      <c r="BG97" s="207">
        <f>IFERROR(VLOOKUP(Opv.kohd.[[#This Row],[Y-tunnus]],#REF!,COLUMN(#REF!),FALSE),0)</f>
        <v>0</v>
      </c>
      <c r="BH97" s="207">
        <f>IFERROR(VLOOKUP(Opv.kohd.[[#This Row],[Y-tunnus]],#REF!,COLUMN(#REF!),FALSE),0)</f>
        <v>0</v>
      </c>
      <c r="BI97" s="207">
        <f>IFERROR(VLOOKUP(Opv.kohd.[[#This Row],[Y-tunnus]],#REF!,COLUMN(#REF!),FALSE),0)</f>
        <v>0</v>
      </c>
      <c r="BJ97" s="207">
        <f>IFERROR(VLOOKUP(Opv.kohd.[[#This Row],[Y-tunnus]],#REF!,COLUMN(#REF!),FALSE),0)</f>
        <v>0</v>
      </c>
      <c r="BK97" s="207">
        <f>Opv.kohd.[[#This Row],[Muu kuin työvoima-koulutus 7d]]+Opv.kohd.[[#This Row],[Työvoima-koulutus 7d]]</f>
        <v>0</v>
      </c>
      <c r="BL97" s="207">
        <f>Opv.kohd.[[#This Row],[Muu kuin työvoima-koulutus 7c]]-Opv.kohd.[[#This Row],[Muu kuin työvoima-koulutus 7d]]</f>
        <v>0</v>
      </c>
      <c r="BM97" s="207">
        <f>Opv.kohd.[[#This Row],[Työvoima-koulutus 7c]]-Opv.kohd.[[#This Row],[Työvoima-koulutus 7d]]</f>
        <v>0</v>
      </c>
      <c r="BN97" s="207">
        <f>Opv.kohd.[[#This Row],[Yhteensä 7c]]-Opv.kohd.[[#This Row],[Yhteensä 7d]]</f>
        <v>0</v>
      </c>
      <c r="BO97" s="207">
        <f>Opv.kohd.[[#This Row],[Muu kuin työvoima-koulutus 7e]]-(Opv.kohd.[[#This Row],[Järjestämisluvan mukaiset 4]]+Opv.kohd.[[#This Row],[Kohdentamat-tomat 4]]+Opv.kohd.[[#This Row],[Maahan-muuttajien koulutus 4]]+Opv.kohd.[[#This Row],[Nuorisotyöt. väh. ja osaamistarp. vast., muu kuin työvoima-koulutus 4]])</f>
        <v>0</v>
      </c>
      <c r="BP97" s="207">
        <f>Opv.kohd.[[#This Row],[Työvoima-koulutus 7e]]-(Opv.kohd.[[#This Row],[Työvoima-koulutus 4]]+Opv.kohd.[[#This Row],[Nuorisotyöt. väh. ja osaamistarp. vast., työvoima-koulutus 4]])</f>
        <v>0</v>
      </c>
      <c r="BQ97" s="207">
        <f>Opv.kohd.[[#This Row],[Yhteensä 7e]]-Opv.kohd.[[#This Row],[Ensikertaisella suoritepäätöksellä jaetut tavoitteelliset opiskelijavuodet yhteensä 4]]</f>
        <v>0</v>
      </c>
      <c r="BR97" s="263">
        <v>45</v>
      </c>
      <c r="BS97" s="263">
        <v>0</v>
      </c>
      <c r="BT97" s="263">
        <v>0</v>
      </c>
      <c r="BU97" s="263">
        <v>0</v>
      </c>
      <c r="BV97" s="263">
        <v>0</v>
      </c>
      <c r="BW97" s="263">
        <v>0</v>
      </c>
      <c r="BX97" s="263">
        <v>0</v>
      </c>
      <c r="BY97" s="263">
        <v>45</v>
      </c>
      <c r="BZ97" s="207">
        <f t="shared" si="17"/>
        <v>45</v>
      </c>
      <c r="CA97" s="207">
        <f t="shared" si="18"/>
        <v>0</v>
      </c>
      <c r="CB97" s="207">
        <f t="shared" si="19"/>
        <v>0</v>
      </c>
      <c r="CC97" s="207">
        <f t="shared" si="20"/>
        <v>0</v>
      </c>
      <c r="CD97" s="207">
        <f t="shared" si="21"/>
        <v>0</v>
      </c>
      <c r="CE97" s="207">
        <f t="shared" si="22"/>
        <v>0</v>
      </c>
      <c r="CF97" s="207">
        <f t="shared" si="23"/>
        <v>0</v>
      </c>
      <c r="CG97" s="207">
        <f t="shared" si="24"/>
        <v>45</v>
      </c>
      <c r="CH97" s="207">
        <f>Opv.kohd.[[#This Row],[Tavoitteelliset opiskelijavuodet yhteensä 9]]-Opv.kohd.[[#This Row],[Työvoima-koulutus 9]]-Opv.kohd.[[#This Row],[Nuorisotyöt. väh. ja osaamistarp. vast., työvoima-koulutus 9]]-Opv.kohd.[[#This Row],[Muu kuin työvoima-koulutus 7e]]</f>
        <v>45</v>
      </c>
      <c r="CI97" s="207">
        <f>(Opv.kohd.[[#This Row],[Työvoima-koulutus 9]]+Opv.kohd.[[#This Row],[Nuorisotyöt. väh. ja osaamistarp. vast., työvoima-koulutus 9]])-Opv.kohd.[[#This Row],[Työvoima-koulutus 7e]]</f>
        <v>0</v>
      </c>
      <c r="CJ97" s="207">
        <f>Opv.kohd.[[#This Row],[Tavoitteelliset opiskelijavuodet yhteensä 9]]-Opv.kohd.[[#This Row],[Yhteensä 7e]]</f>
        <v>45</v>
      </c>
      <c r="CK97" s="207">
        <f>Opv.kohd.[[#This Row],[Järjestämisluvan mukaiset 4]]+Opv.kohd.[[#This Row],[Järjestämisluvan mukaiset 13]]</f>
        <v>0</v>
      </c>
      <c r="CL97" s="207">
        <f>Opv.kohd.[[#This Row],[Kohdentamat-tomat 4]]+Opv.kohd.[[#This Row],[Kohdentamat-tomat 13]]</f>
        <v>0</v>
      </c>
      <c r="CM97" s="207">
        <f>Opv.kohd.[[#This Row],[Työvoima-koulutus 4]]+Opv.kohd.[[#This Row],[Työvoima-koulutus 13]]</f>
        <v>0</v>
      </c>
      <c r="CN97" s="207">
        <f>Opv.kohd.[[#This Row],[Maahan-muuttajien koulutus 4]]+Opv.kohd.[[#This Row],[Maahan-muuttajien koulutus 13]]</f>
        <v>0</v>
      </c>
      <c r="CO97" s="207">
        <f>Opv.kohd.[[#This Row],[Nuorisotyöt. väh. ja osaamistarp. vast., muu kuin työvoima-koulutus 4]]+Opv.kohd.[[#This Row],[Nuorisotyöt. väh. ja osaamistarp. vast., muu kuin työvoima-koulutus 13]]</f>
        <v>0</v>
      </c>
      <c r="CP97" s="207">
        <f>Opv.kohd.[[#This Row],[Nuorisotyöt. väh. ja osaamistarp. vast., työvoima-koulutus 4]]+Opv.kohd.[[#This Row],[Nuorisotyöt. väh. ja osaamistarp. vast., työvoima-koulutus 13]]</f>
        <v>0</v>
      </c>
      <c r="CQ97" s="207">
        <f>Opv.kohd.[[#This Row],[Yhteensä 4]]+Opv.kohd.[[#This Row],[Yhteensä 13]]</f>
        <v>0</v>
      </c>
      <c r="CR97" s="207">
        <f>Opv.kohd.[[#This Row],[Ensikertaisella suoritepäätöksellä jaetut tavoitteelliset opiskelijavuodet yhteensä 4]]+Opv.kohd.[[#This Row],[Tavoitteelliset opiskelijavuodet yhteensä 13]]</f>
        <v>0</v>
      </c>
      <c r="CS97" s="120">
        <v>0</v>
      </c>
      <c r="CT97" s="120">
        <v>0</v>
      </c>
      <c r="CU97" s="120">
        <v>0</v>
      </c>
      <c r="CV97" s="120">
        <v>0</v>
      </c>
      <c r="CW97" s="120">
        <v>0</v>
      </c>
      <c r="CX97" s="120">
        <v>0</v>
      </c>
      <c r="CY97" s="120">
        <v>0</v>
      </c>
      <c r="CZ97" s="120">
        <v>0</v>
      </c>
      <c r="DA97" s="209">
        <f>IFERROR(Opv.kohd.[[#This Row],[Järjestämisluvan mukaiset 13]]/Opv.kohd.[[#This Row],[Järjestämisluvan mukaiset 12]],0)</f>
        <v>0</v>
      </c>
      <c r="DB97" s="209">
        <f>IFERROR(Opv.kohd.[[#This Row],[Kohdentamat-tomat 13]]/Opv.kohd.[[#This Row],[Kohdentamat-tomat 12]],0)</f>
        <v>0</v>
      </c>
      <c r="DC97" s="209">
        <f>IFERROR(Opv.kohd.[[#This Row],[Työvoima-koulutus 13]]/Opv.kohd.[[#This Row],[Työvoima-koulutus 12]],0)</f>
        <v>0</v>
      </c>
      <c r="DD97" s="209">
        <f>IFERROR(Opv.kohd.[[#This Row],[Maahan-muuttajien koulutus 13]]/Opv.kohd.[[#This Row],[Maahan-muuttajien koulutus 12]],0)</f>
        <v>0</v>
      </c>
      <c r="DE97" s="209">
        <f>IFERROR(Opv.kohd.[[#This Row],[Nuorisotyöt. väh. ja osaamistarp. vast., muu kuin työvoima-koulutus 13]]/Opv.kohd.[[#This Row],[Nuorisotyöt. väh. ja osaamistarp. vast., muu kuin työvoima-koulutus 12]],0)</f>
        <v>0</v>
      </c>
      <c r="DF97" s="209">
        <f>IFERROR(Opv.kohd.[[#This Row],[Nuorisotyöt. väh. ja osaamistarp. vast., työvoima-koulutus 13]]/Opv.kohd.[[#This Row],[Nuorisotyöt. väh. ja osaamistarp. vast., työvoima-koulutus 12]],0)</f>
        <v>0</v>
      </c>
      <c r="DG97" s="209">
        <f>IFERROR(Opv.kohd.[[#This Row],[Yhteensä 13]]/Opv.kohd.[[#This Row],[Yhteensä 12]],0)</f>
        <v>0</v>
      </c>
      <c r="DH97" s="209">
        <f>IFERROR(Opv.kohd.[[#This Row],[Tavoitteelliset opiskelijavuodet yhteensä 13]]/Opv.kohd.[[#This Row],[Tavoitteelliset opiskelijavuodet yhteensä 12]],0)</f>
        <v>0</v>
      </c>
      <c r="DI97" s="207">
        <f>Opv.kohd.[[#This Row],[Järjestämisluvan mukaiset 12]]-Opv.kohd.[[#This Row],[Järjestämisluvan mukaiset 9]]</f>
        <v>-45</v>
      </c>
      <c r="DJ97" s="207">
        <f>Opv.kohd.[[#This Row],[Kohdentamat-tomat 12]]-Opv.kohd.[[#This Row],[Kohdentamat-tomat 9]]</f>
        <v>0</v>
      </c>
      <c r="DK97" s="207">
        <f>Opv.kohd.[[#This Row],[Työvoima-koulutus 12]]-Opv.kohd.[[#This Row],[Työvoima-koulutus 9]]</f>
        <v>0</v>
      </c>
      <c r="DL97" s="207">
        <f>Opv.kohd.[[#This Row],[Maahan-muuttajien koulutus 12]]-Opv.kohd.[[#This Row],[Maahan-muuttajien koulutus 9]]</f>
        <v>0</v>
      </c>
      <c r="DM97" s="207">
        <f>Opv.kohd.[[#This Row],[Nuorisotyöt. väh. ja osaamistarp. vast., muu kuin työvoima-koulutus 12]]-Opv.kohd.[[#This Row],[Nuorisotyöt. väh. ja osaamistarp. vast., muu kuin työvoima-koulutus 9]]</f>
        <v>0</v>
      </c>
      <c r="DN97" s="207">
        <f>Opv.kohd.[[#This Row],[Nuorisotyöt. väh. ja osaamistarp. vast., työvoima-koulutus 12]]-Opv.kohd.[[#This Row],[Nuorisotyöt. väh. ja osaamistarp. vast., työvoima-koulutus 9]]</f>
        <v>0</v>
      </c>
      <c r="DO97" s="207">
        <f>Opv.kohd.[[#This Row],[Yhteensä 12]]-Opv.kohd.[[#This Row],[Yhteensä 9]]</f>
        <v>0</v>
      </c>
      <c r="DP97" s="207">
        <f>Opv.kohd.[[#This Row],[Tavoitteelliset opiskelijavuodet yhteensä 12]]-Opv.kohd.[[#This Row],[Tavoitteelliset opiskelijavuodet yhteensä 9]]</f>
        <v>-45</v>
      </c>
      <c r="DQ97" s="209">
        <f>IFERROR(Opv.kohd.[[#This Row],[Järjestämisluvan mukaiset 15]]/Opv.kohd.[[#This Row],[Järjestämisluvan mukaiset 9]],0)</f>
        <v>-1</v>
      </c>
      <c r="DR97" s="209">
        <f t="shared" si="25"/>
        <v>0</v>
      </c>
      <c r="DS97" s="209">
        <f t="shared" si="26"/>
        <v>0</v>
      </c>
      <c r="DT97" s="209">
        <f t="shared" si="27"/>
        <v>0</v>
      </c>
      <c r="DU97" s="209">
        <f t="shared" si="28"/>
        <v>0</v>
      </c>
      <c r="DV97" s="209">
        <f t="shared" si="29"/>
        <v>0</v>
      </c>
      <c r="DW97" s="209">
        <f t="shared" si="30"/>
        <v>0</v>
      </c>
      <c r="DX97" s="209">
        <f t="shared" si="31"/>
        <v>0</v>
      </c>
    </row>
    <row r="98" spans="1:128" x14ac:dyDescent="0.25">
      <c r="A98" s="204" t="e">
        <f>IF(INDEX(#REF!,ROW(98:98)-1,1)=0,"",INDEX(#REF!,ROW(98:98)-1,1))</f>
        <v>#REF!</v>
      </c>
      <c r="B98" s="205" t="str">
        <f>IFERROR(VLOOKUP(Opv.kohd.[[#This Row],[Y-tunnus]],'0 Järjestäjätiedot'!$A:$H,2,FALSE),"")</f>
        <v/>
      </c>
      <c r="C98" s="204" t="str">
        <f>IFERROR(VLOOKUP(Opv.kohd.[[#This Row],[Y-tunnus]],'0 Järjestäjätiedot'!$A:$H,COLUMN('0 Järjestäjätiedot'!D:D),FALSE),"")</f>
        <v/>
      </c>
      <c r="D98" s="204" t="str">
        <f>IFERROR(VLOOKUP(Opv.kohd.[[#This Row],[Y-tunnus]],'0 Järjestäjätiedot'!$A:$H,COLUMN('0 Järjestäjätiedot'!H:H),FALSE),"")</f>
        <v/>
      </c>
      <c r="E98" s="204">
        <f>IFERROR(VLOOKUP(Opv.kohd.[[#This Row],[Y-tunnus]],#REF!,COLUMN(#REF!),FALSE),0)</f>
        <v>0</v>
      </c>
      <c r="F98" s="204">
        <f>IFERROR(VLOOKUP(Opv.kohd.[[#This Row],[Y-tunnus]],#REF!,COLUMN(#REF!),FALSE),0)</f>
        <v>0</v>
      </c>
      <c r="G98" s="204">
        <f>IFERROR(VLOOKUP(Opv.kohd.[[#This Row],[Y-tunnus]],#REF!,COLUMN(#REF!),FALSE),0)</f>
        <v>0</v>
      </c>
      <c r="H98" s="204">
        <f>IFERROR(VLOOKUP(Opv.kohd.[[#This Row],[Y-tunnus]],#REF!,COLUMN(#REF!),FALSE),0)</f>
        <v>0</v>
      </c>
      <c r="I98" s="204">
        <f>IFERROR(VLOOKUP(Opv.kohd.[[#This Row],[Y-tunnus]],#REF!,COLUMN(#REF!),FALSE),0)</f>
        <v>0</v>
      </c>
      <c r="J98" s="204">
        <f>IFERROR(VLOOKUP(Opv.kohd.[[#This Row],[Y-tunnus]],#REF!,COLUMN(#REF!),FALSE),0)</f>
        <v>0</v>
      </c>
      <c r="K9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98" s="204">
        <f>Opv.kohd.[[#This Row],[Järjestämisluvan mukaiset 1]]+Opv.kohd.[[#This Row],[Yhteensä  1]]</f>
        <v>0</v>
      </c>
      <c r="M98" s="204">
        <f>IFERROR(VLOOKUP(Opv.kohd.[[#This Row],[Y-tunnus]],#REF!,COLUMN(#REF!),FALSE),0)</f>
        <v>0</v>
      </c>
      <c r="N98" s="204">
        <f>IFERROR(VLOOKUP(Opv.kohd.[[#This Row],[Y-tunnus]],#REF!,COLUMN(#REF!),FALSE),0)</f>
        <v>0</v>
      </c>
      <c r="O98" s="204">
        <f>IFERROR(VLOOKUP(Opv.kohd.[[#This Row],[Y-tunnus]],#REF!,COLUMN(#REF!),FALSE)+VLOOKUP(Opv.kohd.[[#This Row],[Y-tunnus]],#REF!,COLUMN(#REF!),FALSE),0)</f>
        <v>0</v>
      </c>
      <c r="P98" s="204">
        <f>Opv.kohd.[[#This Row],[Talousarvion perusteella kohdentamattomat]]+Opv.kohd.[[#This Row],[Talousarvion perusteella työvoimakoulutus 1]]+Opv.kohd.[[#This Row],[Lisätalousarvioiden perusteella]]</f>
        <v>0</v>
      </c>
      <c r="Q98" s="204">
        <f>IFERROR(VLOOKUP(Opv.kohd.[[#This Row],[Y-tunnus]],#REF!,COLUMN(#REF!),FALSE),0)</f>
        <v>0</v>
      </c>
      <c r="R98" s="210">
        <f>IFERROR(VLOOKUP(Opv.kohd.[[#This Row],[Y-tunnus]],#REF!,COLUMN(#REF!),FALSE)-(Opv.kohd.[[#This Row],[Kohdentamaton työvoima-koulutus 2]]+Opv.kohd.[[#This Row],[Maahan-muuttajien koulutus 2]]+Opv.kohd.[[#This Row],[Lisätalousarvioiden perusteella jaetut 2]]),0)</f>
        <v>0</v>
      </c>
      <c r="S98" s="210">
        <f>IFERROR(VLOOKUP(Opv.kohd.[[#This Row],[Y-tunnus]],#REF!,COLUMN(#REF!),FALSE)+VLOOKUP(Opv.kohd.[[#This Row],[Y-tunnus]],#REF!,COLUMN(#REF!),FALSE),0)</f>
        <v>0</v>
      </c>
      <c r="T98" s="210">
        <f>IFERROR(VLOOKUP(Opv.kohd.[[#This Row],[Y-tunnus]],#REF!,COLUMN(#REF!),FALSE)+VLOOKUP(Opv.kohd.[[#This Row],[Y-tunnus]],#REF!,COLUMN(#REF!),FALSE),0)</f>
        <v>0</v>
      </c>
      <c r="U9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98" s="210">
        <f>Opv.kohd.[[#This Row],[Kohdentamat-tomat 2]]+Opv.kohd.[[#This Row],[Kohdentamaton työvoima-koulutus 2]]+Opv.kohd.[[#This Row],[Maahan-muuttajien koulutus 2]]+Opv.kohd.[[#This Row],[Lisätalousarvioiden perusteella jaetut 2]]</f>
        <v>0</v>
      </c>
      <c r="W98" s="210">
        <f>Opv.kohd.[[#This Row],[Kohdentamat-tomat 2]]-(Opv.kohd.[[#This Row],[Järjestämisluvan mukaiset 1]]+Opv.kohd.[[#This Row],[Kohdentamat-tomat 1]]+Opv.kohd.[[#This Row],[Nuorisotyöt. väh. ja osaamistarp. vast., muu kuin työvoima-koulutus 1]]+Opv.kohd.[[#This Row],[Talousarvion perusteella kohdentamattomat]])</f>
        <v>0</v>
      </c>
      <c r="X98" s="210">
        <f>Opv.kohd.[[#This Row],[Kohdentamaton työvoima-koulutus 2]]-(Opv.kohd.[[#This Row],[Työvoima-koulutus 1]]+Opv.kohd.[[#This Row],[Nuorisotyöt. väh. ja osaamistarp. vast., työvoima-koulutus 1]]+Opv.kohd.[[#This Row],[Talousarvion perusteella työvoimakoulutus 1]])</f>
        <v>0</v>
      </c>
      <c r="Y98" s="210">
        <f>Opv.kohd.[[#This Row],[Maahan-muuttajien koulutus 2]]-Opv.kohd.[[#This Row],[Maahan-muuttajien koulutus 1]]</f>
        <v>0</v>
      </c>
      <c r="Z98" s="210">
        <f>Opv.kohd.[[#This Row],[Lisätalousarvioiden perusteella jaetut 2]]-Opv.kohd.[[#This Row],[Lisätalousarvioiden perusteella]]</f>
        <v>0</v>
      </c>
      <c r="AA98" s="210">
        <f>Opv.kohd.[[#This Row],[Toteutuneet opiskelijavuodet yhteensä 2]]-Opv.kohd.[[#This Row],[Vuoden 2018 tavoitteelliset opiskelijavuodet yhteensä 1]]</f>
        <v>0</v>
      </c>
      <c r="AB98" s="207">
        <f>IFERROR(VLOOKUP(Opv.kohd.[[#This Row],[Y-tunnus]],#REF!,3,FALSE),0)</f>
        <v>0</v>
      </c>
      <c r="AC98" s="207">
        <f>IFERROR(VLOOKUP(Opv.kohd.[[#This Row],[Y-tunnus]],#REF!,4,FALSE),0)</f>
        <v>0</v>
      </c>
      <c r="AD98" s="207">
        <f>IFERROR(VLOOKUP(Opv.kohd.[[#This Row],[Y-tunnus]],#REF!,5,FALSE),0)</f>
        <v>0</v>
      </c>
      <c r="AE98" s="207">
        <f>IFERROR(VLOOKUP(Opv.kohd.[[#This Row],[Y-tunnus]],#REF!,6,FALSE),0)</f>
        <v>0</v>
      </c>
      <c r="AF98" s="207">
        <f>IFERROR(VLOOKUP(Opv.kohd.[[#This Row],[Y-tunnus]],#REF!,7,FALSE),0)</f>
        <v>0</v>
      </c>
      <c r="AG98" s="207">
        <f>IFERROR(VLOOKUP(Opv.kohd.[[#This Row],[Y-tunnus]],#REF!,8,FALSE),0)</f>
        <v>0</v>
      </c>
      <c r="AH98" s="207">
        <f>IFERROR(VLOOKUP(Opv.kohd.[[#This Row],[Y-tunnus]],#REF!,9,FALSE),0)</f>
        <v>0</v>
      </c>
      <c r="AI98" s="207">
        <f>IFERROR(VLOOKUP(Opv.kohd.[[#This Row],[Y-tunnus]],#REF!,10,FALSE),0)</f>
        <v>0</v>
      </c>
      <c r="AJ98" s="204">
        <f>Opv.kohd.[[#This Row],[Järjestämisluvan mukaiset 4]]-Opv.kohd.[[#This Row],[Järjestämisluvan mukaiset 1]]</f>
        <v>0</v>
      </c>
      <c r="AK98" s="204">
        <f>Opv.kohd.[[#This Row],[Kohdentamat-tomat 4]]-Opv.kohd.[[#This Row],[Kohdentamat-tomat 1]]</f>
        <v>0</v>
      </c>
      <c r="AL98" s="204">
        <f>Opv.kohd.[[#This Row],[Työvoima-koulutus 4]]-Opv.kohd.[[#This Row],[Työvoima-koulutus 1]]</f>
        <v>0</v>
      </c>
      <c r="AM98" s="204">
        <f>Opv.kohd.[[#This Row],[Maahan-muuttajien koulutus 4]]-Opv.kohd.[[#This Row],[Maahan-muuttajien koulutus 1]]</f>
        <v>0</v>
      </c>
      <c r="AN98" s="204">
        <f>Opv.kohd.[[#This Row],[Nuorisotyöt. väh. ja osaamistarp. vast., muu kuin työvoima-koulutus 4]]-Opv.kohd.[[#This Row],[Nuorisotyöt. väh. ja osaamistarp. vast., muu kuin työvoima-koulutus 1]]</f>
        <v>0</v>
      </c>
      <c r="AO98" s="204">
        <f>Opv.kohd.[[#This Row],[Nuorisotyöt. väh. ja osaamistarp. vast., työvoima-koulutus 4]]-Opv.kohd.[[#This Row],[Nuorisotyöt. väh. ja osaamistarp. vast., työvoima-koulutus 1]]</f>
        <v>0</v>
      </c>
      <c r="AP98" s="204">
        <f>Opv.kohd.[[#This Row],[Yhteensä 4]]-Opv.kohd.[[#This Row],[Yhteensä  1]]</f>
        <v>0</v>
      </c>
      <c r="AQ98" s="204">
        <f>Opv.kohd.[[#This Row],[Ensikertaisella suoritepäätöksellä jaetut tavoitteelliset opiskelijavuodet yhteensä 4]]-Opv.kohd.[[#This Row],[Ensikertaisella suoritepäätöksellä jaetut tavoitteelliset opiskelijavuodet yhteensä 1]]</f>
        <v>0</v>
      </c>
      <c r="AR98" s="208">
        <f>IFERROR(Opv.kohd.[[#This Row],[Järjestämisluvan mukaiset 5]]/Opv.kohd.[[#This Row],[Järjestämisluvan mukaiset 4]],0)</f>
        <v>0</v>
      </c>
      <c r="AS98" s="208">
        <f>IFERROR(Opv.kohd.[[#This Row],[Kohdentamat-tomat 5]]/Opv.kohd.[[#This Row],[Kohdentamat-tomat 4]],0)</f>
        <v>0</v>
      </c>
      <c r="AT98" s="208">
        <f>IFERROR(Opv.kohd.[[#This Row],[Työvoima-koulutus 5]]/Opv.kohd.[[#This Row],[Työvoima-koulutus 4]],0)</f>
        <v>0</v>
      </c>
      <c r="AU98" s="208">
        <f>IFERROR(Opv.kohd.[[#This Row],[Maahan-muuttajien koulutus 5]]/Opv.kohd.[[#This Row],[Maahan-muuttajien koulutus 4]],0)</f>
        <v>0</v>
      </c>
      <c r="AV98" s="208">
        <f>IFERROR(Opv.kohd.[[#This Row],[Nuorisotyöt. väh. ja osaamistarp. vast., muu kuin työvoima-koulutus 5]]/Opv.kohd.[[#This Row],[Nuorisotyöt. väh. ja osaamistarp. vast., muu kuin työvoima-koulutus 4]],0)</f>
        <v>0</v>
      </c>
      <c r="AW98" s="208">
        <f>IFERROR(Opv.kohd.[[#This Row],[Nuorisotyöt. väh. ja osaamistarp. vast., työvoima-koulutus 5]]/Opv.kohd.[[#This Row],[Nuorisotyöt. väh. ja osaamistarp. vast., työvoima-koulutus 4]],0)</f>
        <v>0</v>
      </c>
      <c r="AX98" s="208">
        <f>IFERROR(Opv.kohd.[[#This Row],[Yhteensä 5]]/Opv.kohd.[[#This Row],[Yhteensä 4]],0)</f>
        <v>0</v>
      </c>
      <c r="AY98" s="208">
        <f>IFERROR(Opv.kohd.[[#This Row],[Ensikertaisella suoritepäätöksellä jaetut tavoitteelliset opiskelijavuodet yhteensä 5]]/Opv.kohd.[[#This Row],[Ensikertaisella suoritepäätöksellä jaetut tavoitteelliset opiskelijavuodet yhteensä 4]],0)</f>
        <v>0</v>
      </c>
      <c r="AZ98" s="207">
        <f>Opv.kohd.[[#This Row],[Yhteensä 7a]]-Opv.kohd.[[#This Row],[Työvoima-koulutus 7a]]</f>
        <v>0</v>
      </c>
      <c r="BA98" s="207">
        <f>IFERROR(VLOOKUP(Opv.kohd.[[#This Row],[Y-tunnus]],#REF!,COLUMN(#REF!),FALSE),0)</f>
        <v>0</v>
      </c>
      <c r="BB98" s="207">
        <f>IFERROR(VLOOKUP(Opv.kohd.[[#This Row],[Y-tunnus]],#REF!,COLUMN(#REF!),FALSE),0)</f>
        <v>0</v>
      </c>
      <c r="BC98" s="207">
        <f>Opv.kohd.[[#This Row],[Muu kuin työvoima-koulutus 7c]]-Opv.kohd.[[#This Row],[Muu kuin työvoima-koulutus 7a]]</f>
        <v>0</v>
      </c>
      <c r="BD98" s="207">
        <f>Opv.kohd.[[#This Row],[Työvoima-koulutus 7c]]-Opv.kohd.[[#This Row],[Työvoima-koulutus 7a]]</f>
        <v>0</v>
      </c>
      <c r="BE98" s="207">
        <f>Opv.kohd.[[#This Row],[Yhteensä 7c]]-Opv.kohd.[[#This Row],[Yhteensä 7a]]</f>
        <v>0</v>
      </c>
      <c r="BF98" s="207">
        <f>Opv.kohd.[[#This Row],[Yhteensä 7c]]-Opv.kohd.[[#This Row],[Työvoima-koulutus 7c]]</f>
        <v>0</v>
      </c>
      <c r="BG98" s="207">
        <f>IFERROR(VLOOKUP(Opv.kohd.[[#This Row],[Y-tunnus]],#REF!,COLUMN(#REF!),FALSE),0)</f>
        <v>0</v>
      </c>
      <c r="BH98" s="207">
        <f>IFERROR(VLOOKUP(Opv.kohd.[[#This Row],[Y-tunnus]],#REF!,COLUMN(#REF!),FALSE),0)</f>
        <v>0</v>
      </c>
      <c r="BI98" s="207">
        <f>IFERROR(VLOOKUP(Opv.kohd.[[#This Row],[Y-tunnus]],#REF!,COLUMN(#REF!),FALSE),0)</f>
        <v>0</v>
      </c>
      <c r="BJ98" s="207">
        <f>IFERROR(VLOOKUP(Opv.kohd.[[#This Row],[Y-tunnus]],#REF!,COLUMN(#REF!),FALSE),0)</f>
        <v>0</v>
      </c>
      <c r="BK98" s="207">
        <f>Opv.kohd.[[#This Row],[Muu kuin työvoima-koulutus 7d]]+Opv.kohd.[[#This Row],[Työvoima-koulutus 7d]]</f>
        <v>0</v>
      </c>
      <c r="BL98" s="207">
        <f>Opv.kohd.[[#This Row],[Muu kuin työvoima-koulutus 7c]]-Opv.kohd.[[#This Row],[Muu kuin työvoima-koulutus 7d]]</f>
        <v>0</v>
      </c>
      <c r="BM98" s="207">
        <f>Opv.kohd.[[#This Row],[Työvoima-koulutus 7c]]-Opv.kohd.[[#This Row],[Työvoima-koulutus 7d]]</f>
        <v>0</v>
      </c>
      <c r="BN98" s="207">
        <f>Opv.kohd.[[#This Row],[Yhteensä 7c]]-Opv.kohd.[[#This Row],[Yhteensä 7d]]</f>
        <v>0</v>
      </c>
      <c r="BO98" s="207">
        <f>Opv.kohd.[[#This Row],[Muu kuin työvoima-koulutus 7e]]-(Opv.kohd.[[#This Row],[Järjestämisluvan mukaiset 4]]+Opv.kohd.[[#This Row],[Kohdentamat-tomat 4]]+Opv.kohd.[[#This Row],[Maahan-muuttajien koulutus 4]]+Opv.kohd.[[#This Row],[Nuorisotyöt. väh. ja osaamistarp. vast., muu kuin työvoima-koulutus 4]])</f>
        <v>0</v>
      </c>
      <c r="BP98" s="207">
        <f>Opv.kohd.[[#This Row],[Työvoima-koulutus 7e]]-(Opv.kohd.[[#This Row],[Työvoima-koulutus 4]]+Opv.kohd.[[#This Row],[Nuorisotyöt. väh. ja osaamistarp. vast., työvoima-koulutus 4]])</f>
        <v>0</v>
      </c>
      <c r="BQ98" s="207">
        <f>Opv.kohd.[[#This Row],[Yhteensä 7e]]-Opv.kohd.[[#This Row],[Ensikertaisella suoritepäätöksellä jaetut tavoitteelliset opiskelijavuodet yhteensä 4]]</f>
        <v>0</v>
      </c>
      <c r="BR98" s="263">
        <v>81</v>
      </c>
      <c r="BS98" s="263">
        <v>5</v>
      </c>
      <c r="BT98" s="263">
        <v>0</v>
      </c>
      <c r="BU98" s="263">
        <v>0</v>
      </c>
      <c r="BV98" s="263">
        <v>0</v>
      </c>
      <c r="BW98" s="263">
        <v>0</v>
      </c>
      <c r="BX98" s="263">
        <v>5</v>
      </c>
      <c r="BY98" s="263">
        <v>86</v>
      </c>
      <c r="BZ98" s="207">
        <f t="shared" si="17"/>
        <v>81</v>
      </c>
      <c r="CA98" s="207">
        <f t="shared" si="18"/>
        <v>5</v>
      </c>
      <c r="CB98" s="207">
        <f t="shared" si="19"/>
        <v>0</v>
      </c>
      <c r="CC98" s="207">
        <f t="shared" si="20"/>
        <v>0</v>
      </c>
      <c r="CD98" s="207">
        <f t="shared" si="21"/>
        <v>0</v>
      </c>
      <c r="CE98" s="207">
        <f t="shared" si="22"/>
        <v>0</v>
      </c>
      <c r="CF98" s="207">
        <f t="shared" si="23"/>
        <v>5</v>
      </c>
      <c r="CG98" s="207">
        <f t="shared" si="24"/>
        <v>86</v>
      </c>
      <c r="CH98" s="207">
        <f>Opv.kohd.[[#This Row],[Tavoitteelliset opiskelijavuodet yhteensä 9]]-Opv.kohd.[[#This Row],[Työvoima-koulutus 9]]-Opv.kohd.[[#This Row],[Nuorisotyöt. väh. ja osaamistarp. vast., työvoima-koulutus 9]]-Opv.kohd.[[#This Row],[Muu kuin työvoima-koulutus 7e]]</f>
        <v>86</v>
      </c>
      <c r="CI98" s="207">
        <f>(Opv.kohd.[[#This Row],[Työvoima-koulutus 9]]+Opv.kohd.[[#This Row],[Nuorisotyöt. väh. ja osaamistarp. vast., työvoima-koulutus 9]])-Opv.kohd.[[#This Row],[Työvoima-koulutus 7e]]</f>
        <v>0</v>
      </c>
      <c r="CJ98" s="207">
        <f>Opv.kohd.[[#This Row],[Tavoitteelliset opiskelijavuodet yhteensä 9]]-Opv.kohd.[[#This Row],[Yhteensä 7e]]</f>
        <v>86</v>
      </c>
      <c r="CK98" s="207">
        <f>Opv.kohd.[[#This Row],[Järjestämisluvan mukaiset 4]]+Opv.kohd.[[#This Row],[Järjestämisluvan mukaiset 13]]</f>
        <v>0</v>
      </c>
      <c r="CL98" s="207">
        <f>Opv.kohd.[[#This Row],[Kohdentamat-tomat 4]]+Opv.kohd.[[#This Row],[Kohdentamat-tomat 13]]</f>
        <v>0</v>
      </c>
      <c r="CM98" s="207">
        <f>Opv.kohd.[[#This Row],[Työvoima-koulutus 4]]+Opv.kohd.[[#This Row],[Työvoima-koulutus 13]]</f>
        <v>0</v>
      </c>
      <c r="CN98" s="207">
        <f>Opv.kohd.[[#This Row],[Maahan-muuttajien koulutus 4]]+Opv.kohd.[[#This Row],[Maahan-muuttajien koulutus 13]]</f>
        <v>0</v>
      </c>
      <c r="CO98" s="207">
        <f>Opv.kohd.[[#This Row],[Nuorisotyöt. väh. ja osaamistarp. vast., muu kuin työvoima-koulutus 4]]+Opv.kohd.[[#This Row],[Nuorisotyöt. väh. ja osaamistarp. vast., muu kuin työvoima-koulutus 13]]</f>
        <v>0</v>
      </c>
      <c r="CP98" s="207">
        <f>Opv.kohd.[[#This Row],[Nuorisotyöt. väh. ja osaamistarp. vast., työvoima-koulutus 4]]+Opv.kohd.[[#This Row],[Nuorisotyöt. väh. ja osaamistarp. vast., työvoima-koulutus 13]]</f>
        <v>0</v>
      </c>
      <c r="CQ98" s="207">
        <f>Opv.kohd.[[#This Row],[Yhteensä 4]]+Opv.kohd.[[#This Row],[Yhteensä 13]]</f>
        <v>0</v>
      </c>
      <c r="CR98" s="207">
        <f>Opv.kohd.[[#This Row],[Ensikertaisella suoritepäätöksellä jaetut tavoitteelliset opiskelijavuodet yhteensä 4]]+Opv.kohd.[[#This Row],[Tavoitteelliset opiskelijavuodet yhteensä 13]]</f>
        <v>0</v>
      </c>
      <c r="CS98" s="120">
        <v>0</v>
      </c>
      <c r="CT98" s="120">
        <v>0</v>
      </c>
      <c r="CU98" s="120">
        <v>0</v>
      </c>
      <c r="CV98" s="120">
        <v>0</v>
      </c>
      <c r="CW98" s="120">
        <v>0</v>
      </c>
      <c r="CX98" s="120">
        <v>0</v>
      </c>
      <c r="CY98" s="120">
        <v>0</v>
      </c>
      <c r="CZ98" s="120">
        <v>0</v>
      </c>
      <c r="DA98" s="209">
        <f>IFERROR(Opv.kohd.[[#This Row],[Järjestämisluvan mukaiset 13]]/Opv.kohd.[[#This Row],[Järjestämisluvan mukaiset 12]],0)</f>
        <v>0</v>
      </c>
      <c r="DB98" s="209">
        <f>IFERROR(Opv.kohd.[[#This Row],[Kohdentamat-tomat 13]]/Opv.kohd.[[#This Row],[Kohdentamat-tomat 12]],0)</f>
        <v>0</v>
      </c>
      <c r="DC98" s="209">
        <f>IFERROR(Opv.kohd.[[#This Row],[Työvoima-koulutus 13]]/Opv.kohd.[[#This Row],[Työvoima-koulutus 12]],0)</f>
        <v>0</v>
      </c>
      <c r="DD98" s="209">
        <f>IFERROR(Opv.kohd.[[#This Row],[Maahan-muuttajien koulutus 13]]/Opv.kohd.[[#This Row],[Maahan-muuttajien koulutus 12]],0)</f>
        <v>0</v>
      </c>
      <c r="DE98" s="209">
        <f>IFERROR(Opv.kohd.[[#This Row],[Nuorisotyöt. väh. ja osaamistarp. vast., muu kuin työvoima-koulutus 13]]/Opv.kohd.[[#This Row],[Nuorisotyöt. väh. ja osaamistarp. vast., muu kuin työvoima-koulutus 12]],0)</f>
        <v>0</v>
      </c>
      <c r="DF98" s="209">
        <f>IFERROR(Opv.kohd.[[#This Row],[Nuorisotyöt. väh. ja osaamistarp. vast., työvoima-koulutus 13]]/Opv.kohd.[[#This Row],[Nuorisotyöt. väh. ja osaamistarp. vast., työvoima-koulutus 12]],0)</f>
        <v>0</v>
      </c>
      <c r="DG98" s="209">
        <f>IFERROR(Opv.kohd.[[#This Row],[Yhteensä 13]]/Opv.kohd.[[#This Row],[Yhteensä 12]],0)</f>
        <v>0</v>
      </c>
      <c r="DH98" s="209">
        <f>IFERROR(Opv.kohd.[[#This Row],[Tavoitteelliset opiskelijavuodet yhteensä 13]]/Opv.kohd.[[#This Row],[Tavoitteelliset opiskelijavuodet yhteensä 12]],0)</f>
        <v>0</v>
      </c>
      <c r="DI98" s="207">
        <f>Opv.kohd.[[#This Row],[Järjestämisluvan mukaiset 12]]-Opv.kohd.[[#This Row],[Järjestämisluvan mukaiset 9]]</f>
        <v>-81</v>
      </c>
      <c r="DJ98" s="207">
        <f>Opv.kohd.[[#This Row],[Kohdentamat-tomat 12]]-Opv.kohd.[[#This Row],[Kohdentamat-tomat 9]]</f>
        <v>-5</v>
      </c>
      <c r="DK98" s="207">
        <f>Opv.kohd.[[#This Row],[Työvoima-koulutus 12]]-Opv.kohd.[[#This Row],[Työvoima-koulutus 9]]</f>
        <v>0</v>
      </c>
      <c r="DL98" s="207">
        <f>Opv.kohd.[[#This Row],[Maahan-muuttajien koulutus 12]]-Opv.kohd.[[#This Row],[Maahan-muuttajien koulutus 9]]</f>
        <v>0</v>
      </c>
      <c r="DM98" s="207">
        <f>Opv.kohd.[[#This Row],[Nuorisotyöt. väh. ja osaamistarp. vast., muu kuin työvoima-koulutus 12]]-Opv.kohd.[[#This Row],[Nuorisotyöt. väh. ja osaamistarp. vast., muu kuin työvoima-koulutus 9]]</f>
        <v>0</v>
      </c>
      <c r="DN98" s="207">
        <f>Opv.kohd.[[#This Row],[Nuorisotyöt. väh. ja osaamistarp. vast., työvoima-koulutus 12]]-Opv.kohd.[[#This Row],[Nuorisotyöt. väh. ja osaamistarp. vast., työvoima-koulutus 9]]</f>
        <v>0</v>
      </c>
      <c r="DO98" s="207">
        <f>Opv.kohd.[[#This Row],[Yhteensä 12]]-Opv.kohd.[[#This Row],[Yhteensä 9]]</f>
        <v>-5</v>
      </c>
      <c r="DP98" s="207">
        <f>Opv.kohd.[[#This Row],[Tavoitteelliset opiskelijavuodet yhteensä 12]]-Opv.kohd.[[#This Row],[Tavoitteelliset opiskelijavuodet yhteensä 9]]</f>
        <v>-86</v>
      </c>
      <c r="DQ98" s="209">
        <f>IFERROR(Opv.kohd.[[#This Row],[Järjestämisluvan mukaiset 15]]/Opv.kohd.[[#This Row],[Järjestämisluvan mukaiset 9]],0)</f>
        <v>-1</v>
      </c>
      <c r="DR98" s="209">
        <f t="shared" si="25"/>
        <v>0</v>
      </c>
      <c r="DS98" s="209">
        <f t="shared" si="26"/>
        <v>0</v>
      </c>
      <c r="DT98" s="209">
        <f t="shared" si="27"/>
        <v>0</v>
      </c>
      <c r="DU98" s="209">
        <f t="shared" si="28"/>
        <v>0</v>
      </c>
      <c r="DV98" s="209">
        <f t="shared" si="29"/>
        <v>0</v>
      </c>
      <c r="DW98" s="209">
        <f t="shared" si="30"/>
        <v>0</v>
      </c>
      <c r="DX98" s="209">
        <f t="shared" si="31"/>
        <v>0</v>
      </c>
    </row>
    <row r="99" spans="1:128" x14ac:dyDescent="0.25">
      <c r="A99" s="204" t="e">
        <f>IF(INDEX(#REF!,ROW(99:99)-1,1)=0,"",INDEX(#REF!,ROW(99:99)-1,1))</f>
        <v>#REF!</v>
      </c>
      <c r="B99" s="205" t="str">
        <f>IFERROR(VLOOKUP(Opv.kohd.[[#This Row],[Y-tunnus]],'0 Järjestäjätiedot'!$A:$H,2,FALSE),"")</f>
        <v/>
      </c>
      <c r="C99" s="204" t="str">
        <f>IFERROR(VLOOKUP(Opv.kohd.[[#This Row],[Y-tunnus]],'0 Järjestäjätiedot'!$A:$H,COLUMN('0 Järjestäjätiedot'!D:D),FALSE),"")</f>
        <v/>
      </c>
      <c r="D99" s="204" t="str">
        <f>IFERROR(VLOOKUP(Opv.kohd.[[#This Row],[Y-tunnus]],'0 Järjestäjätiedot'!$A:$H,COLUMN('0 Järjestäjätiedot'!H:H),FALSE),"")</f>
        <v/>
      </c>
      <c r="E99" s="204">
        <f>IFERROR(VLOOKUP(Opv.kohd.[[#This Row],[Y-tunnus]],#REF!,COLUMN(#REF!),FALSE),0)</f>
        <v>0</v>
      </c>
      <c r="F99" s="204">
        <f>IFERROR(VLOOKUP(Opv.kohd.[[#This Row],[Y-tunnus]],#REF!,COLUMN(#REF!),FALSE),0)</f>
        <v>0</v>
      </c>
      <c r="G99" s="204">
        <f>IFERROR(VLOOKUP(Opv.kohd.[[#This Row],[Y-tunnus]],#REF!,COLUMN(#REF!),FALSE),0)</f>
        <v>0</v>
      </c>
      <c r="H99" s="204">
        <f>IFERROR(VLOOKUP(Opv.kohd.[[#This Row],[Y-tunnus]],#REF!,COLUMN(#REF!),FALSE),0)</f>
        <v>0</v>
      </c>
      <c r="I99" s="204">
        <f>IFERROR(VLOOKUP(Opv.kohd.[[#This Row],[Y-tunnus]],#REF!,COLUMN(#REF!),FALSE),0)</f>
        <v>0</v>
      </c>
      <c r="J99" s="204">
        <f>IFERROR(VLOOKUP(Opv.kohd.[[#This Row],[Y-tunnus]],#REF!,COLUMN(#REF!),FALSE),0)</f>
        <v>0</v>
      </c>
      <c r="K9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99" s="204">
        <f>Opv.kohd.[[#This Row],[Järjestämisluvan mukaiset 1]]+Opv.kohd.[[#This Row],[Yhteensä  1]]</f>
        <v>0</v>
      </c>
      <c r="M99" s="204">
        <f>IFERROR(VLOOKUP(Opv.kohd.[[#This Row],[Y-tunnus]],#REF!,COLUMN(#REF!),FALSE),0)</f>
        <v>0</v>
      </c>
      <c r="N99" s="204">
        <f>IFERROR(VLOOKUP(Opv.kohd.[[#This Row],[Y-tunnus]],#REF!,COLUMN(#REF!),FALSE),0)</f>
        <v>0</v>
      </c>
      <c r="O99" s="204">
        <f>IFERROR(VLOOKUP(Opv.kohd.[[#This Row],[Y-tunnus]],#REF!,COLUMN(#REF!),FALSE)+VLOOKUP(Opv.kohd.[[#This Row],[Y-tunnus]],#REF!,COLUMN(#REF!),FALSE),0)</f>
        <v>0</v>
      </c>
      <c r="P99" s="204">
        <f>Opv.kohd.[[#This Row],[Talousarvion perusteella kohdentamattomat]]+Opv.kohd.[[#This Row],[Talousarvion perusteella työvoimakoulutus 1]]+Opv.kohd.[[#This Row],[Lisätalousarvioiden perusteella]]</f>
        <v>0</v>
      </c>
      <c r="Q99" s="204">
        <f>IFERROR(VLOOKUP(Opv.kohd.[[#This Row],[Y-tunnus]],#REF!,COLUMN(#REF!),FALSE),0)</f>
        <v>0</v>
      </c>
      <c r="R99" s="210">
        <f>IFERROR(VLOOKUP(Opv.kohd.[[#This Row],[Y-tunnus]],#REF!,COLUMN(#REF!),FALSE)-(Opv.kohd.[[#This Row],[Kohdentamaton työvoima-koulutus 2]]+Opv.kohd.[[#This Row],[Maahan-muuttajien koulutus 2]]+Opv.kohd.[[#This Row],[Lisätalousarvioiden perusteella jaetut 2]]),0)</f>
        <v>0</v>
      </c>
      <c r="S99" s="210">
        <f>IFERROR(VLOOKUP(Opv.kohd.[[#This Row],[Y-tunnus]],#REF!,COLUMN(#REF!),FALSE)+VLOOKUP(Opv.kohd.[[#This Row],[Y-tunnus]],#REF!,COLUMN(#REF!),FALSE),0)</f>
        <v>0</v>
      </c>
      <c r="T99" s="210">
        <f>IFERROR(VLOOKUP(Opv.kohd.[[#This Row],[Y-tunnus]],#REF!,COLUMN(#REF!),FALSE)+VLOOKUP(Opv.kohd.[[#This Row],[Y-tunnus]],#REF!,COLUMN(#REF!),FALSE),0)</f>
        <v>0</v>
      </c>
      <c r="U9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99" s="210">
        <f>Opv.kohd.[[#This Row],[Kohdentamat-tomat 2]]+Opv.kohd.[[#This Row],[Kohdentamaton työvoima-koulutus 2]]+Opv.kohd.[[#This Row],[Maahan-muuttajien koulutus 2]]+Opv.kohd.[[#This Row],[Lisätalousarvioiden perusteella jaetut 2]]</f>
        <v>0</v>
      </c>
      <c r="W99" s="210">
        <f>Opv.kohd.[[#This Row],[Kohdentamat-tomat 2]]-(Opv.kohd.[[#This Row],[Järjestämisluvan mukaiset 1]]+Opv.kohd.[[#This Row],[Kohdentamat-tomat 1]]+Opv.kohd.[[#This Row],[Nuorisotyöt. väh. ja osaamistarp. vast., muu kuin työvoima-koulutus 1]]+Opv.kohd.[[#This Row],[Talousarvion perusteella kohdentamattomat]])</f>
        <v>0</v>
      </c>
      <c r="X99" s="210">
        <f>Opv.kohd.[[#This Row],[Kohdentamaton työvoima-koulutus 2]]-(Opv.kohd.[[#This Row],[Työvoima-koulutus 1]]+Opv.kohd.[[#This Row],[Nuorisotyöt. väh. ja osaamistarp. vast., työvoima-koulutus 1]]+Opv.kohd.[[#This Row],[Talousarvion perusteella työvoimakoulutus 1]])</f>
        <v>0</v>
      </c>
      <c r="Y99" s="210">
        <f>Opv.kohd.[[#This Row],[Maahan-muuttajien koulutus 2]]-Opv.kohd.[[#This Row],[Maahan-muuttajien koulutus 1]]</f>
        <v>0</v>
      </c>
      <c r="Z99" s="210">
        <f>Opv.kohd.[[#This Row],[Lisätalousarvioiden perusteella jaetut 2]]-Opv.kohd.[[#This Row],[Lisätalousarvioiden perusteella]]</f>
        <v>0</v>
      </c>
      <c r="AA99" s="210">
        <f>Opv.kohd.[[#This Row],[Toteutuneet opiskelijavuodet yhteensä 2]]-Opv.kohd.[[#This Row],[Vuoden 2018 tavoitteelliset opiskelijavuodet yhteensä 1]]</f>
        <v>0</v>
      </c>
      <c r="AB99" s="207">
        <f>IFERROR(VLOOKUP(Opv.kohd.[[#This Row],[Y-tunnus]],#REF!,3,FALSE),0)</f>
        <v>0</v>
      </c>
      <c r="AC99" s="207">
        <f>IFERROR(VLOOKUP(Opv.kohd.[[#This Row],[Y-tunnus]],#REF!,4,FALSE),0)</f>
        <v>0</v>
      </c>
      <c r="AD99" s="207">
        <f>IFERROR(VLOOKUP(Opv.kohd.[[#This Row],[Y-tunnus]],#REF!,5,FALSE),0)</f>
        <v>0</v>
      </c>
      <c r="AE99" s="207">
        <f>IFERROR(VLOOKUP(Opv.kohd.[[#This Row],[Y-tunnus]],#REF!,6,FALSE),0)</f>
        <v>0</v>
      </c>
      <c r="AF99" s="207">
        <f>IFERROR(VLOOKUP(Opv.kohd.[[#This Row],[Y-tunnus]],#REF!,7,FALSE),0)</f>
        <v>0</v>
      </c>
      <c r="AG99" s="207">
        <f>IFERROR(VLOOKUP(Opv.kohd.[[#This Row],[Y-tunnus]],#REF!,8,FALSE),0)</f>
        <v>0</v>
      </c>
      <c r="AH99" s="207">
        <f>IFERROR(VLOOKUP(Opv.kohd.[[#This Row],[Y-tunnus]],#REF!,9,FALSE),0)</f>
        <v>0</v>
      </c>
      <c r="AI99" s="207">
        <f>IFERROR(VLOOKUP(Opv.kohd.[[#This Row],[Y-tunnus]],#REF!,10,FALSE),0)</f>
        <v>0</v>
      </c>
      <c r="AJ99" s="204">
        <f>Opv.kohd.[[#This Row],[Järjestämisluvan mukaiset 4]]-Opv.kohd.[[#This Row],[Järjestämisluvan mukaiset 1]]</f>
        <v>0</v>
      </c>
      <c r="AK99" s="204">
        <f>Opv.kohd.[[#This Row],[Kohdentamat-tomat 4]]-Opv.kohd.[[#This Row],[Kohdentamat-tomat 1]]</f>
        <v>0</v>
      </c>
      <c r="AL99" s="204">
        <f>Opv.kohd.[[#This Row],[Työvoima-koulutus 4]]-Opv.kohd.[[#This Row],[Työvoima-koulutus 1]]</f>
        <v>0</v>
      </c>
      <c r="AM99" s="204">
        <f>Opv.kohd.[[#This Row],[Maahan-muuttajien koulutus 4]]-Opv.kohd.[[#This Row],[Maahan-muuttajien koulutus 1]]</f>
        <v>0</v>
      </c>
      <c r="AN99" s="204">
        <f>Opv.kohd.[[#This Row],[Nuorisotyöt. väh. ja osaamistarp. vast., muu kuin työvoima-koulutus 4]]-Opv.kohd.[[#This Row],[Nuorisotyöt. väh. ja osaamistarp. vast., muu kuin työvoima-koulutus 1]]</f>
        <v>0</v>
      </c>
      <c r="AO99" s="204">
        <f>Opv.kohd.[[#This Row],[Nuorisotyöt. väh. ja osaamistarp. vast., työvoima-koulutus 4]]-Opv.kohd.[[#This Row],[Nuorisotyöt. väh. ja osaamistarp. vast., työvoima-koulutus 1]]</f>
        <v>0</v>
      </c>
      <c r="AP99" s="204">
        <f>Opv.kohd.[[#This Row],[Yhteensä 4]]-Opv.kohd.[[#This Row],[Yhteensä  1]]</f>
        <v>0</v>
      </c>
      <c r="AQ99" s="204">
        <f>Opv.kohd.[[#This Row],[Ensikertaisella suoritepäätöksellä jaetut tavoitteelliset opiskelijavuodet yhteensä 4]]-Opv.kohd.[[#This Row],[Ensikertaisella suoritepäätöksellä jaetut tavoitteelliset opiskelijavuodet yhteensä 1]]</f>
        <v>0</v>
      </c>
      <c r="AR99" s="208">
        <f>IFERROR(Opv.kohd.[[#This Row],[Järjestämisluvan mukaiset 5]]/Opv.kohd.[[#This Row],[Järjestämisluvan mukaiset 4]],0)</f>
        <v>0</v>
      </c>
      <c r="AS99" s="208">
        <f>IFERROR(Opv.kohd.[[#This Row],[Kohdentamat-tomat 5]]/Opv.kohd.[[#This Row],[Kohdentamat-tomat 4]],0)</f>
        <v>0</v>
      </c>
      <c r="AT99" s="208">
        <f>IFERROR(Opv.kohd.[[#This Row],[Työvoima-koulutus 5]]/Opv.kohd.[[#This Row],[Työvoima-koulutus 4]],0)</f>
        <v>0</v>
      </c>
      <c r="AU99" s="208">
        <f>IFERROR(Opv.kohd.[[#This Row],[Maahan-muuttajien koulutus 5]]/Opv.kohd.[[#This Row],[Maahan-muuttajien koulutus 4]],0)</f>
        <v>0</v>
      </c>
      <c r="AV99" s="208">
        <f>IFERROR(Opv.kohd.[[#This Row],[Nuorisotyöt. väh. ja osaamistarp. vast., muu kuin työvoima-koulutus 5]]/Opv.kohd.[[#This Row],[Nuorisotyöt. väh. ja osaamistarp. vast., muu kuin työvoima-koulutus 4]],0)</f>
        <v>0</v>
      </c>
      <c r="AW99" s="208">
        <f>IFERROR(Opv.kohd.[[#This Row],[Nuorisotyöt. väh. ja osaamistarp. vast., työvoima-koulutus 5]]/Opv.kohd.[[#This Row],[Nuorisotyöt. väh. ja osaamistarp. vast., työvoima-koulutus 4]],0)</f>
        <v>0</v>
      </c>
      <c r="AX99" s="208">
        <f>IFERROR(Opv.kohd.[[#This Row],[Yhteensä 5]]/Opv.kohd.[[#This Row],[Yhteensä 4]],0)</f>
        <v>0</v>
      </c>
      <c r="AY99" s="208">
        <f>IFERROR(Opv.kohd.[[#This Row],[Ensikertaisella suoritepäätöksellä jaetut tavoitteelliset opiskelijavuodet yhteensä 5]]/Opv.kohd.[[#This Row],[Ensikertaisella suoritepäätöksellä jaetut tavoitteelliset opiskelijavuodet yhteensä 4]],0)</f>
        <v>0</v>
      </c>
      <c r="AZ99" s="207">
        <f>Opv.kohd.[[#This Row],[Yhteensä 7a]]-Opv.kohd.[[#This Row],[Työvoima-koulutus 7a]]</f>
        <v>0</v>
      </c>
      <c r="BA99" s="207">
        <f>IFERROR(VLOOKUP(Opv.kohd.[[#This Row],[Y-tunnus]],#REF!,COLUMN(#REF!),FALSE),0)</f>
        <v>0</v>
      </c>
      <c r="BB99" s="207">
        <f>IFERROR(VLOOKUP(Opv.kohd.[[#This Row],[Y-tunnus]],#REF!,COLUMN(#REF!),FALSE),0)</f>
        <v>0</v>
      </c>
      <c r="BC99" s="207">
        <f>Opv.kohd.[[#This Row],[Muu kuin työvoima-koulutus 7c]]-Opv.kohd.[[#This Row],[Muu kuin työvoima-koulutus 7a]]</f>
        <v>0</v>
      </c>
      <c r="BD99" s="207">
        <f>Opv.kohd.[[#This Row],[Työvoima-koulutus 7c]]-Opv.kohd.[[#This Row],[Työvoima-koulutus 7a]]</f>
        <v>0</v>
      </c>
      <c r="BE99" s="207">
        <f>Opv.kohd.[[#This Row],[Yhteensä 7c]]-Opv.kohd.[[#This Row],[Yhteensä 7a]]</f>
        <v>0</v>
      </c>
      <c r="BF99" s="207">
        <f>Opv.kohd.[[#This Row],[Yhteensä 7c]]-Opv.kohd.[[#This Row],[Työvoima-koulutus 7c]]</f>
        <v>0</v>
      </c>
      <c r="BG99" s="207">
        <f>IFERROR(VLOOKUP(Opv.kohd.[[#This Row],[Y-tunnus]],#REF!,COLUMN(#REF!),FALSE),0)</f>
        <v>0</v>
      </c>
      <c r="BH99" s="207">
        <f>IFERROR(VLOOKUP(Opv.kohd.[[#This Row],[Y-tunnus]],#REF!,COLUMN(#REF!),FALSE),0)</f>
        <v>0</v>
      </c>
      <c r="BI99" s="207">
        <f>IFERROR(VLOOKUP(Opv.kohd.[[#This Row],[Y-tunnus]],#REF!,COLUMN(#REF!),FALSE),0)</f>
        <v>0</v>
      </c>
      <c r="BJ99" s="207">
        <f>IFERROR(VLOOKUP(Opv.kohd.[[#This Row],[Y-tunnus]],#REF!,COLUMN(#REF!),FALSE),0)</f>
        <v>0</v>
      </c>
      <c r="BK99" s="207">
        <f>Opv.kohd.[[#This Row],[Muu kuin työvoima-koulutus 7d]]+Opv.kohd.[[#This Row],[Työvoima-koulutus 7d]]</f>
        <v>0</v>
      </c>
      <c r="BL99" s="207">
        <f>Opv.kohd.[[#This Row],[Muu kuin työvoima-koulutus 7c]]-Opv.kohd.[[#This Row],[Muu kuin työvoima-koulutus 7d]]</f>
        <v>0</v>
      </c>
      <c r="BM99" s="207">
        <f>Opv.kohd.[[#This Row],[Työvoima-koulutus 7c]]-Opv.kohd.[[#This Row],[Työvoima-koulutus 7d]]</f>
        <v>0</v>
      </c>
      <c r="BN99" s="207">
        <f>Opv.kohd.[[#This Row],[Yhteensä 7c]]-Opv.kohd.[[#This Row],[Yhteensä 7d]]</f>
        <v>0</v>
      </c>
      <c r="BO99" s="207">
        <f>Opv.kohd.[[#This Row],[Muu kuin työvoima-koulutus 7e]]-(Opv.kohd.[[#This Row],[Järjestämisluvan mukaiset 4]]+Opv.kohd.[[#This Row],[Kohdentamat-tomat 4]]+Opv.kohd.[[#This Row],[Maahan-muuttajien koulutus 4]]+Opv.kohd.[[#This Row],[Nuorisotyöt. väh. ja osaamistarp. vast., muu kuin työvoima-koulutus 4]])</f>
        <v>0</v>
      </c>
      <c r="BP99" s="207">
        <f>Opv.kohd.[[#This Row],[Työvoima-koulutus 7e]]-(Opv.kohd.[[#This Row],[Työvoima-koulutus 4]]+Opv.kohd.[[#This Row],[Nuorisotyöt. väh. ja osaamistarp. vast., työvoima-koulutus 4]])</f>
        <v>0</v>
      </c>
      <c r="BQ99" s="207">
        <f>Opv.kohd.[[#This Row],[Yhteensä 7e]]-Opv.kohd.[[#This Row],[Ensikertaisella suoritepäätöksellä jaetut tavoitteelliset opiskelijavuodet yhteensä 4]]</f>
        <v>0</v>
      </c>
      <c r="BR99" s="263">
        <v>47</v>
      </c>
      <c r="BS99" s="263">
        <v>30</v>
      </c>
      <c r="BT99" s="263">
        <v>0</v>
      </c>
      <c r="BU99" s="263">
        <v>0</v>
      </c>
      <c r="BV99" s="263">
        <v>0</v>
      </c>
      <c r="BW99" s="263">
        <v>0</v>
      </c>
      <c r="BX99" s="263">
        <v>30</v>
      </c>
      <c r="BY99" s="263">
        <v>77</v>
      </c>
      <c r="BZ99" s="207">
        <f t="shared" si="17"/>
        <v>47</v>
      </c>
      <c r="CA99" s="207">
        <f t="shared" si="18"/>
        <v>30</v>
      </c>
      <c r="CB99" s="207">
        <f t="shared" si="19"/>
        <v>0</v>
      </c>
      <c r="CC99" s="207">
        <f t="shared" si="20"/>
        <v>0</v>
      </c>
      <c r="CD99" s="207">
        <f t="shared" si="21"/>
        <v>0</v>
      </c>
      <c r="CE99" s="207">
        <f t="shared" si="22"/>
        <v>0</v>
      </c>
      <c r="CF99" s="207">
        <f t="shared" si="23"/>
        <v>30</v>
      </c>
      <c r="CG99" s="207">
        <f t="shared" si="24"/>
        <v>77</v>
      </c>
      <c r="CH99" s="207">
        <f>Opv.kohd.[[#This Row],[Tavoitteelliset opiskelijavuodet yhteensä 9]]-Opv.kohd.[[#This Row],[Työvoima-koulutus 9]]-Opv.kohd.[[#This Row],[Nuorisotyöt. väh. ja osaamistarp. vast., työvoima-koulutus 9]]-Opv.kohd.[[#This Row],[Muu kuin työvoima-koulutus 7e]]</f>
        <v>77</v>
      </c>
      <c r="CI99" s="207">
        <f>(Opv.kohd.[[#This Row],[Työvoima-koulutus 9]]+Opv.kohd.[[#This Row],[Nuorisotyöt. väh. ja osaamistarp. vast., työvoima-koulutus 9]])-Opv.kohd.[[#This Row],[Työvoima-koulutus 7e]]</f>
        <v>0</v>
      </c>
      <c r="CJ99" s="207">
        <f>Opv.kohd.[[#This Row],[Tavoitteelliset opiskelijavuodet yhteensä 9]]-Opv.kohd.[[#This Row],[Yhteensä 7e]]</f>
        <v>77</v>
      </c>
      <c r="CK99" s="207">
        <f>Opv.kohd.[[#This Row],[Järjestämisluvan mukaiset 4]]+Opv.kohd.[[#This Row],[Järjestämisluvan mukaiset 13]]</f>
        <v>0</v>
      </c>
      <c r="CL99" s="207">
        <f>Opv.kohd.[[#This Row],[Kohdentamat-tomat 4]]+Opv.kohd.[[#This Row],[Kohdentamat-tomat 13]]</f>
        <v>0</v>
      </c>
      <c r="CM99" s="207">
        <f>Opv.kohd.[[#This Row],[Työvoima-koulutus 4]]+Opv.kohd.[[#This Row],[Työvoima-koulutus 13]]</f>
        <v>0</v>
      </c>
      <c r="CN99" s="207">
        <f>Opv.kohd.[[#This Row],[Maahan-muuttajien koulutus 4]]+Opv.kohd.[[#This Row],[Maahan-muuttajien koulutus 13]]</f>
        <v>0</v>
      </c>
      <c r="CO99" s="207">
        <f>Opv.kohd.[[#This Row],[Nuorisotyöt. väh. ja osaamistarp. vast., muu kuin työvoima-koulutus 4]]+Opv.kohd.[[#This Row],[Nuorisotyöt. väh. ja osaamistarp. vast., muu kuin työvoima-koulutus 13]]</f>
        <v>0</v>
      </c>
      <c r="CP99" s="207">
        <f>Opv.kohd.[[#This Row],[Nuorisotyöt. väh. ja osaamistarp. vast., työvoima-koulutus 4]]+Opv.kohd.[[#This Row],[Nuorisotyöt. väh. ja osaamistarp. vast., työvoima-koulutus 13]]</f>
        <v>0</v>
      </c>
      <c r="CQ99" s="207">
        <f>Opv.kohd.[[#This Row],[Yhteensä 4]]+Opv.kohd.[[#This Row],[Yhteensä 13]]</f>
        <v>0</v>
      </c>
      <c r="CR99" s="207">
        <f>Opv.kohd.[[#This Row],[Ensikertaisella suoritepäätöksellä jaetut tavoitteelliset opiskelijavuodet yhteensä 4]]+Opv.kohd.[[#This Row],[Tavoitteelliset opiskelijavuodet yhteensä 13]]</f>
        <v>0</v>
      </c>
      <c r="CS99" s="120">
        <v>0</v>
      </c>
      <c r="CT99" s="120">
        <v>0</v>
      </c>
      <c r="CU99" s="120">
        <v>0</v>
      </c>
      <c r="CV99" s="120">
        <v>0</v>
      </c>
      <c r="CW99" s="120">
        <v>0</v>
      </c>
      <c r="CX99" s="120">
        <v>0</v>
      </c>
      <c r="CY99" s="120">
        <v>0</v>
      </c>
      <c r="CZ99" s="120">
        <v>0</v>
      </c>
      <c r="DA99" s="209">
        <f>IFERROR(Opv.kohd.[[#This Row],[Järjestämisluvan mukaiset 13]]/Opv.kohd.[[#This Row],[Järjestämisluvan mukaiset 12]],0)</f>
        <v>0</v>
      </c>
      <c r="DB99" s="209">
        <f>IFERROR(Opv.kohd.[[#This Row],[Kohdentamat-tomat 13]]/Opv.kohd.[[#This Row],[Kohdentamat-tomat 12]],0)</f>
        <v>0</v>
      </c>
      <c r="DC99" s="209">
        <f>IFERROR(Opv.kohd.[[#This Row],[Työvoima-koulutus 13]]/Opv.kohd.[[#This Row],[Työvoima-koulutus 12]],0)</f>
        <v>0</v>
      </c>
      <c r="DD99" s="209">
        <f>IFERROR(Opv.kohd.[[#This Row],[Maahan-muuttajien koulutus 13]]/Opv.kohd.[[#This Row],[Maahan-muuttajien koulutus 12]],0)</f>
        <v>0</v>
      </c>
      <c r="DE99" s="209">
        <f>IFERROR(Opv.kohd.[[#This Row],[Nuorisotyöt. väh. ja osaamistarp. vast., muu kuin työvoima-koulutus 13]]/Opv.kohd.[[#This Row],[Nuorisotyöt. väh. ja osaamistarp. vast., muu kuin työvoima-koulutus 12]],0)</f>
        <v>0</v>
      </c>
      <c r="DF99" s="209">
        <f>IFERROR(Opv.kohd.[[#This Row],[Nuorisotyöt. väh. ja osaamistarp. vast., työvoima-koulutus 13]]/Opv.kohd.[[#This Row],[Nuorisotyöt. väh. ja osaamistarp. vast., työvoima-koulutus 12]],0)</f>
        <v>0</v>
      </c>
      <c r="DG99" s="209">
        <f>IFERROR(Opv.kohd.[[#This Row],[Yhteensä 13]]/Opv.kohd.[[#This Row],[Yhteensä 12]],0)</f>
        <v>0</v>
      </c>
      <c r="DH99" s="209">
        <f>IFERROR(Opv.kohd.[[#This Row],[Tavoitteelliset opiskelijavuodet yhteensä 13]]/Opv.kohd.[[#This Row],[Tavoitteelliset opiskelijavuodet yhteensä 12]],0)</f>
        <v>0</v>
      </c>
      <c r="DI99" s="207">
        <f>Opv.kohd.[[#This Row],[Järjestämisluvan mukaiset 12]]-Opv.kohd.[[#This Row],[Järjestämisluvan mukaiset 9]]</f>
        <v>-47</v>
      </c>
      <c r="DJ99" s="207">
        <f>Opv.kohd.[[#This Row],[Kohdentamat-tomat 12]]-Opv.kohd.[[#This Row],[Kohdentamat-tomat 9]]</f>
        <v>-30</v>
      </c>
      <c r="DK99" s="207">
        <f>Opv.kohd.[[#This Row],[Työvoima-koulutus 12]]-Opv.kohd.[[#This Row],[Työvoima-koulutus 9]]</f>
        <v>0</v>
      </c>
      <c r="DL99" s="207">
        <f>Opv.kohd.[[#This Row],[Maahan-muuttajien koulutus 12]]-Opv.kohd.[[#This Row],[Maahan-muuttajien koulutus 9]]</f>
        <v>0</v>
      </c>
      <c r="DM99" s="207">
        <f>Opv.kohd.[[#This Row],[Nuorisotyöt. väh. ja osaamistarp. vast., muu kuin työvoima-koulutus 12]]-Opv.kohd.[[#This Row],[Nuorisotyöt. väh. ja osaamistarp. vast., muu kuin työvoima-koulutus 9]]</f>
        <v>0</v>
      </c>
      <c r="DN99" s="207">
        <f>Opv.kohd.[[#This Row],[Nuorisotyöt. väh. ja osaamistarp. vast., työvoima-koulutus 12]]-Opv.kohd.[[#This Row],[Nuorisotyöt. väh. ja osaamistarp. vast., työvoima-koulutus 9]]</f>
        <v>0</v>
      </c>
      <c r="DO99" s="207">
        <f>Opv.kohd.[[#This Row],[Yhteensä 12]]-Opv.kohd.[[#This Row],[Yhteensä 9]]</f>
        <v>-30</v>
      </c>
      <c r="DP99" s="207">
        <f>Opv.kohd.[[#This Row],[Tavoitteelliset opiskelijavuodet yhteensä 12]]-Opv.kohd.[[#This Row],[Tavoitteelliset opiskelijavuodet yhteensä 9]]</f>
        <v>-77</v>
      </c>
      <c r="DQ99" s="209">
        <f>IFERROR(Opv.kohd.[[#This Row],[Järjestämisluvan mukaiset 15]]/Opv.kohd.[[#This Row],[Järjestämisluvan mukaiset 9]],0)</f>
        <v>-1</v>
      </c>
      <c r="DR99" s="209">
        <f t="shared" si="25"/>
        <v>0</v>
      </c>
      <c r="DS99" s="209">
        <f t="shared" si="26"/>
        <v>0</v>
      </c>
      <c r="DT99" s="209">
        <f t="shared" si="27"/>
        <v>0</v>
      </c>
      <c r="DU99" s="209">
        <f t="shared" si="28"/>
        <v>0</v>
      </c>
      <c r="DV99" s="209">
        <f t="shared" si="29"/>
        <v>0</v>
      </c>
      <c r="DW99" s="209">
        <f t="shared" si="30"/>
        <v>0</v>
      </c>
      <c r="DX99" s="209">
        <f t="shared" si="31"/>
        <v>0</v>
      </c>
    </row>
    <row r="100" spans="1:128" x14ac:dyDescent="0.25">
      <c r="A100" s="204" t="e">
        <f>IF(INDEX(#REF!,ROW(100:100)-1,1)=0,"",INDEX(#REF!,ROW(100:100)-1,1))</f>
        <v>#REF!</v>
      </c>
      <c r="B100" s="205" t="str">
        <f>IFERROR(VLOOKUP(Opv.kohd.[[#This Row],[Y-tunnus]],'0 Järjestäjätiedot'!$A:$H,2,FALSE),"")</f>
        <v/>
      </c>
      <c r="C100" s="204" t="str">
        <f>IFERROR(VLOOKUP(Opv.kohd.[[#This Row],[Y-tunnus]],'0 Järjestäjätiedot'!$A:$H,COLUMN('0 Järjestäjätiedot'!D:D),FALSE),"")</f>
        <v/>
      </c>
      <c r="D100" s="204" t="str">
        <f>IFERROR(VLOOKUP(Opv.kohd.[[#This Row],[Y-tunnus]],'0 Järjestäjätiedot'!$A:$H,COLUMN('0 Järjestäjätiedot'!H:H),FALSE),"")</f>
        <v/>
      </c>
      <c r="E100" s="204">
        <f>IFERROR(VLOOKUP(Opv.kohd.[[#This Row],[Y-tunnus]],#REF!,COLUMN(#REF!),FALSE),0)</f>
        <v>0</v>
      </c>
      <c r="F100" s="204">
        <f>IFERROR(VLOOKUP(Opv.kohd.[[#This Row],[Y-tunnus]],#REF!,COLUMN(#REF!),FALSE),0)</f>
        <v>0</v>
      </c>
      <c r="G100" s="204">
        <f>IFERROR(VLOOKUP(Opv.kohd.[[#This Row],[Y-tunnus]],#REF!,COLUMN(#REF!),FALSE),0)</f>
        <v>0</v>
      </c>
      <c r="H100" s="204">
        <f>IFERROR(VLOOKUP(Opv.kohd.[[#This Row],[Y-tunnus]],#REF!,COLUMN(#REF!),FALSE),0)</f>
        <v>0</v>
      </c>
      <c r="I100" s="204">
        <f>IFERROR(VLOOKUP(Opv.kohd.[[#This Row],[Y-tunnus]],#REF!,COLUMN(#REF!),FALSE),0)</f>
        <v>0</v>
      </c>
      <c r="J100" s="204">
        <f>IFERROR(VLOOKUP(Opv.kohd.[[#This Row],[Y-tunnus]],#REF!,COLUMN(#REF!),FALSE),0)</f>
        <v>0</v>
      </c>
      <c r="K10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00" s="204">
        <f>Opv.kohd.[[#This Row],[Järjestämisluvan mukaiset 1]]+Opv.kohd.[[#This Row],[Yhteensä  1]]</f>
        <v>0</v>
      </c>
      <c r="M100" s="204">
        <f>IFERROR(VLOOKUP(Opv.kohd.[[#This Row],[Y-tunnus]],#REF!,COLUMN(#REF!),FALSE),0)</f>
        <v>0</v>
      </c>
      <c r="N100" s="204">
        <f>IFERROR(VLOOKUP(Opv.kohd.[[#This Row],[Y-tunnus]],#REF!,COLUMN(#REF!),FALSE),0)</f>
        <v>0</v>
      </c>
      <c r="O100" s="204">
        <f>IFERROR(VLOOKUP(Opv.kohd.[[#This Row],[Y-tunnus]],#REF!,COLUMN(#REF!),FALSE)+VLOOKUP(Opv.kohd.[[#This Row],[Y-tunnus]],#REF!,COLUMN(#REF!),FALSE),0)</f>
        <v>0</v>
      </c>
      <c r="P100" s="204">
        <f>Opv.kohd.[[#This Row],[Talousarvion perusteella kohdentamattomat]]+Opv.kohd.[[#This Row],[Talousarvion perusteella työvoimakoulutus 1]]+Opv.kohd.[[#This Row],[Lisätalousarvioiden perusteella]]</f>
        <v>0</v>
      </c>
      <c r="Q100" s="204">
        <f>IFERROR(VLOOKUP(Opv.kohd.[[#This Row],[Y-tunnus]],#REF!,COLUMN(#REF!),FALSE),0)</f>
        <v>0</v>
      </c>
      <c r="R100" s="210">
        <f>IFERROR(VLOOKUP(Opv.kohd.[[#This Row],[Y-tunnus]],#REF!,COLUMN(#REF!),FALSE)-(Opv.kohd.[[#This Row],[Kohdentamaton työvoima-koulutus 2]]+Opv.kohd.[[#This Row],[Maahan-muuttajien koulutus 2]]+Opv.kohd.[[#This Row],[Lisätalousarvioiden perusteella jaetut 2]]),0)</f>
        <v>0</v>
      </c>
      <c r="S100" s="210">
        <f>IFERROR(VLOOKUP(Opv.kohd.[[#This Row],[Y-tunnus]],#REF!,COLUMN(#REF!),FALSE)+VLOOKUP(Opv.kohd.[[#This Row],[Y-tunnus]],#REF!,COLUMN(#REF!),FALSE),0)</f>
        <v>0</v>
      </c>
      <c r="T100" s="210">
        <f>IFERROR(VLOOKUP(Opv.kohd.[[#This Row],[Y-tunnus]],#REF!,COLUMN(#REF!),FALSE)+VLOOKUP(Opv.kohd.[[#This Row],[Y-tunnus]],#REF!,COLUMN(#REF!),FALSE),0)</f>
        <v>0</v>
      </c>
      <c r="U10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00" s="210">
        <f>Opv.kohd.[[#This Row],[Kohdentamat-tomat 2]]+Opv.kohd.[[#This Row],[Kohdentamaton työvoima-koulutus 2]]+Opv.kohd.[[#This Row],[Maahan-muuttajien koulutus 2]]+Opv.kohd.[[#This Row],[Lisätalousarvioiden perusteella jaetut 2]]</f>
        <v>0</v>
      </c>
      <c r="W100" s="210">
        <f>Opv.kohd.[[#This Row],[Kohdentamat-tomat 2]]-(Opv.kohd.[[#This Row],[Järjestämisluvan mukaiset 1]]+Opv.kohd.[[#This Row],[Kohdentamat-tomat 1]]+Opv.kohd.[[#This Row],[Nuorisotyöt. väh. ja osaamistarp. vast., muu kuin työvoima-koulutus 1]]+Opv.kohd.[[#This Row],[Talousarvion perusteella kohdentamattomat]])</f>
        <v>0</v>
      </c>
      <c r="X100" s="210">
        <f>Opv.kohd.[[#This Row],[Kohdentamaton työvoima-koulutus 2]]-(Opv.kohd.[[#This Row],[Työvoima-koulutus 1]]+Opv.kohd.[[#This Row],[Nuorisotyöt. väh. ja osaamistarp. vast., työvoima-koulutus 1]]+Opv.kohd.[[#This Row],[Talousarvion perusteella työvoimakoulutus 1]])</f>
        <v>0</v>
      </c>
      <c r="Y100" s="210">
        <f>Opv.kohd.[[#This Row],[Maahan-muuttajien koulutus 2]]-Opv.kohd.[[#This Row],[Maahan-muuttajien koulutus 1]]</f>
        <v>0</v>
      </c>
      <c r="Z100" s="210">
        <f>Opv.kohd.[[#This Row],[Lisätalousarvioiden perusteella jaetut 2]]-Opv.kohd.[[#This Row],[Lisätalousarvioiden perusteella]]</f>
        <v>0</v>
      </c>
      <c r="AA100" s="210">
        <f>Opv.kohd.[[#This Row],[Toteutuneet opiskelijavuodet yhteensä 2]]-Opv.kohd.[[#This Row],[Vuoden 2018 tavoitteelliset opiskelijavuodet yhteensä 1]]</f>
        <v>0</v>
      </c>
      <c r="AB100" s="207">
        <f>IFERROR(VLOOKUP(Opv.kohd.[[#This Row],[Y-tunnus]],#REF!,3,FALSE),0)</f>
        <v>0</v>
      </c>
      <c r="AC100" s="207">
        <f>IFERROR(VLOOKUP(Opv.kohd.[[#This Row],[Y-tunnus]],#REF!,4,FALSE),0)</f>
        <v>0</v>
      </c>
      <c r="AD100" s="207">
        <f>IFERROR(VLOOKUP(Opv.kohd.[[#This Row],[Y-tunnus]],#REF!,5,FALSE),0)</f>
        <v>0</v>
      </c>
      <c r="AE100" s="207">
        <f>IFERROR(VLOOKUP(Opv.kohd.[[#This Row],[Y-tunnus]],#REF!,6,FALSE),0)</f>
        <v>0</v>
      </c>
      <c r="AF100" s="207">
        <f>IFERROR(VLOOKUP(Opv.kohd.[[#This Row],[Y-tunnus]],#REF!,7,FALSE),0)</f>
        <v>0</v>
      </c>
      <c r="AG100" s="207">
        <f>IFERROR(VLOOKUP(Opv.kohd.[[#This Row],[Y-tunnus]],#REF!,8,FALSE),0)</f>
        <v>0</v>
      </c>
      <c r="AH100" s="207">
        <f>IFERROR(VLOOKUP(Opv.kohd.[[#This Row],[Y-tunnus]],#REF!,9,FALSE),0)</f>
        <v>0</v>
      </c>
      <c r="AI100" s="207">
        <f>IFERROR(VLOOKUP(Opv.kohd.[[#This Row],[Y-tunnus]],#REF!,10,FALSE),0)</f>
        <v>0</v>
      </c>
      <c r="AJ100" s="204">
        <f>Opv.kohd.[[#This Row],[Järjestämisluvan mukaiset 4]]-Opv.kohd.[[#This Row],[Järjestämisluvan mukaiset 1]]</f>
        <v>0</v>
      </c>
      <c r="AK100" s="204">
        <f>Opv.kohd.[[#This Row],[Kohdentamat-tomat 4]]-Opv.kohd.[[#This Row],[Kohdentamat-tomat 1]]</f>
        <v>0</v>
      </c>
      <c r="AL100" s="204">
        <f>Opv.kohd.[[#This Row],[Työvoima-koulutus 4]]-Opv.kohd.[[#This Row],[Työvoima-koulutus 1]]</f>
        <v>0</v>
      </c>
      <c r="AM100" s="204">
        <f>Opv.kohd.[[#This Row],[Maahan-muuttajien koulutus 4]]-Opv.kohd.[[#This Row],[Maahan-muuttajien koulutus 1]]</f>
        <v>0</v>
      </c>
      <c r="AN100" s="204">
        <f>Opv.kohd.[[#This Row],[Nuorisotyöt. väh. ja osaamistarp. vast., muu kuin työvoima-koulutus 4]]-Opv.kohd.[[#This Row],[Nuorisotyöt. väh. ja osaamistarp. vast., muu kuin työvoima-koulutus 1]]</f>
        <v>0</v>
      </c>
      <c r="AO100" s="204">
        <f>Opv.kohd.[[#This Row],[Nuorisotyöt. väh. ja osaamistarp. vast., työvoima-koulutus 4]]-Opv.kohd.[[#This Row],[Nuorisotyöt. väh. ja osaamistarp. vast., työvoima-koulutus 1]]</f>
        <v>0</v>
      </c>
      <c r="AP100" s="204">
        <f>Opv.kohd.[[#This Row],[Yhteensä 4]]-Opv.kohd.[[#This Row],[Yhteensä  1]]</f>
        <v>0</v>
      </c>
      <c r="AQ100" s="204">
        <f>Opv.kohd.[[#This Row],[Ensikertaisella suoritepäätöksellä jaetut tavoitteelliset opiskelijavuodet yhteensä 4]]-Opv.kohd.[[#This Row],[Ensikertaisella suoritepäätöksellä jaetut tavoitteelliset opiskelijavuodet yhteensä 1]]</f>
        <v>0</v>
      </c>
      <c r="AR100" s="208">
        <f>IFERROR(Opv.kohd.[[#This Row],[Järjestämisluvan mukaiset 5]]/Opv.kohd.[[#This Row],[Järjestämisluvan mukaiset 4]],0)</f>
        <v>0</v>
      </c>
      <c r="AS100" s="208">
        <f>IFERROR(Opv.kohd.[[#This Row],[Kohdentamat-tomat 5]]/Opv.kohd.[[#This Row],[Kohdentamat-tomat 4]],0)</f>
        <v>0</v>
      </c>
      <c r="AT100" s="208">
        <f>IFERROR(Opv.kohd.[[#This Row],[Työvoima-koulutus 5]]/Opv.kohd.[[#This Row],[Työvoima-koulutus 4]],0)</f>
        <v>0</v>
      </c>
      <c r="AU100" s="208">
        <f>IFERROR(Opv.kohd.[[#This Row],[Maahan-muuttajien koulutus 5]]/Opv.kohd.[[#This Row],[Maahan-muuttajien koulutus 4]],0)</f>
        <v>0</v>
      </c>
      <c r="AV100" s="208">
        <f>IFERROR(Opv.kohd.[[#This Row],[Nuorisotyöt. väh. ja osaamistarp. vast., muu kuin työvoima-koulutus 5]]/Opv.kohd.[[#This Row],[Nuorisotyöt. väh. ja osaamistarp. vast., muu kuin työvoima-koulutus 4]],0)</f>
        <v>0</v>
      </c>
      <c r="AW100" s="208">
        <f>IFERROR(Opv.kohd.[[#This Row],[Nuorisotyöt. väh. ja osaamistarp. vast., työvoima-koulutus 5]]/Opv.kohd.[[#This Row],[Nuorisotyöt. väh. ja osaamistarp. vast., työvoima-koulutus 4]],0)</f>
        <v>0</v>
      </c>
      <c r="AX100" s="208">
        <f>IFERROR(Opv.kohd.[[#This Row],[Yhteensä 5]]/Opv.kohd.[[#This Row],[Yhteensä 4]],0)</f>
        <v>0</v>
      </c>
      <c r="AY100" s="208">
        <f>IFERROR(Opv.kohd.[[#This Row],[Ensikertaisella suoritepäätöksellä jaetut tavoitteelliset opiskelijavuodet yhteensä 5]]/Opv.kohd.[[#This Row],[Ensikertaisella suoritepäätöksellä jaetut tavoitteelliset opiskelijavuodet yhteensä 4]],0)</f>
        <v>0</v>
      </c>
      <c r="AZ100" s="207">
        <f>Opv.kohd.[[#This Row],[Yhteensä 7a]]-Opv.kohd.[[#This Row],[Työvoima-koulutus 7a]]</f>
        <v>0</v>
      </c>
      <c r="BA100" s="207">
        <f>IFERROR(VLOOKUP(Opv.kohd.[[#This Row],[Y-tunnus]],#REF!,COLUMN(#REF!),FALSE),0)</f>
        <v>0</v>
      </c>
      <c r="BB100" s="207">
        <f>IFERROR(VLOOKUP(Opv.kohd.[[#This Row],[Y-tunnus]],#REF!,COLUMN(#REF!),FALSE),0)</f>
        <v>0</v>
      </c>
      <c r="BC100" s="207">
        <f>Opv.kohd.[[#This Row],[Muu kuin työvoima-koulutus 7c]]-Opv.kohd.[[#This Row],[Muu kuin työvoima-koulutus 7a]]</f>
        <v>0</v>
      </c>
      <c r="BD100" s="207">
        <f>Opv.kohd.[[#This Row],[Työvoima-koulutus 7c]]-Opv.kohd.[[#This Row],[Työvoima-koulutus 7a]]</f>
        <v>0</v>
      </c>
      <c r="BE100" s="207">
        <f>Opv.kohd.[[#This Row],[Yhteensä 7c]]-Opv.kohd.[[#This Row],[Yhteensä 7a]]</f>
        <v>0</v>
      </c>
      <c r="BF100" s="207">
        <f>Opv.kohd.[[#This Row],[Yhteensä 7c]]-Opv.kohd.[[#This Row],[Työvoima-koulutus 7c]]</f>
        <v>0</v>
      </c>
      <c r="BG100" s="207">
        <f>IFERROR(VLOOKUP(Opv.kohd.[[#This Row],[Y-tunnus]],#REF!,COLUMN(#REF!),FALSE),0)</f>
        <v>0</v>
      </c>
      <c r="BH100" s="207">
        <f>IFERROR(VLOOKUP(Opv.kohd.[[#This Row],[Y-tunnus]],#REF!,COLUMN(#REF!),FALSE),0)</f>
        <v>0</v>
      </c>
      <c r="BI100" s="207">
        <f>IFERROR(VLOOKUP(Opv.kohd.[[#This Row],[Y-tunnus]],#REF!,COLUMN(#REF!),FALSE),0)</f>
        <v>0</v>
      </c>
      <c r="BJ100" s="207">
        <f>IFERROR(VLOOKUP(Opv.kohd.[[#This Row],[Y-tunnus]],#REF!,COLUMN(#REF!),FALSE),0)</f>
        <v>0</v>
      </c>
      <c r="BK100" s="207">
        <f>Opv.kohd.[[#This Row],[Muu kuin työvoima-koulutus 7d]]+Opv.kohd.[[#This Row],[Työvoima-koulutus 7d]]</f>
        <v>0</v>
      </c>
      <c r="BL100" s="207">
        <f>Opv.kohd.[[#This Row],[Muu kuin työvoima-koulutus 7c]]-Opv.kohd.[[#This Row],[Muu kuin työvoima-koulutus 7d]]</f>
        <v>0</v>
      </c>
      <c r="BM100" s="207">
        <f>Opv.kohd.[[#This Row],[Työvoima-koulutus 7c]]-Opv.kohd.[[#This Row],[Työvoima-koulutus 7d]]</f>
        <v>0</v>
      </c>
      <c r="BN100" s="207">
        <f>Opv.kohd.[[#This Row],[Yhteensä 7c]]-Opv.kohd.[[#This Row],[Yhteensä 7d]]</f>
        <v>0</v>
      </c>
      <c r="BO100" s="207">
        <f>Opv.kohd.[[#This Row],[Muu kuin työvoima-koulutus 7e]]-(Opv.kohd.[[#This Row],[Järjestämisluvan mukaiset 4]]+Opv.kohd.[[#This Row],[Kohdentamat-tomat 4]]+Opv.kohd.[[#This Row],[Maahan-muuttajien koulutus 4]]+Opv.kohd.[[#This Row],[Nuorisotyöt. väh. ja osaamistarp. vast., muu kuin työvoima-koulutus 4]])</f>
        <v>0</v>
      </c>
      <c r="BP100" s="207">
        <f>Opv.kohd.[[#This Row],[Työvoima-koulutus 7e]]-(Opv.kohd.[[#This Row],[Työvoima-koulutus 4]]+Opv.kohd.[[#This Row],[Nuorisotyöt. väh. ja osaamistarp. vast., työvoima-koulutus 4]])</f>
        <v>0</v>
      </c>
      <c r="BQ100" s="207">
        <f>Opv.kohd.[[#This Row],[Yhteensä 7e]]-Opv.kohd.[[#This Row],[Ensikertaisella suoritepäätöksellä jaetut tavoitteelliset opiskelijavuodet yhteensä 4]]</f>
        <v>0</v>
      </c>
      <c r="BR100" s="263">
        <v>945</v>
      </c>
      <c r="BS100" s="263">
        <v>30</v>
      </c>
      <c r="BT100" s="263">
        <v>10</v>
      </c>
      <c r="BU100" s="263">
        <v>7</v>
      </c>
      <c r="BV100" s="263">
        <v>0</v>
      </c>
      <c r="BW100" s="263">
        <v>0</v>
      </c>
      <c r="BX100" s="263">
        <v>47</v>
      </c>
      <c r="BY100" s="263">
        <v>992</v>
      </c>
      <c r="BZ100" s="207">
        <f t="shared" si="17"/>
        <v>945</v>
      </c>
      <c r="CA100" s="207">
        <f t="shared" si="18"/>
        <v>30</v>
      </c>
      <c r="CB100" s="207">
        <f t="shared" si="19"/>
        <v>10</v>
      </c>
      <c r="CC100" s="207">
        <f t="shared" si="20"/>
        <v>7</v>
      </c>
      <c r="CD100" s="207">
        <f t="shared" si="21"/>
        <v>0</v>
      </c>
      <c r="CE100" s="207">
        <f t="shared" si="22"/>
        <v>0</v>
      </c>
      <c r="CF100" s="207">
        <f t="shared" si="23"/>
        <v>47</v>
      </c>
      <c r="CG100" s="207">
        <f t="shared" si="24"/>
        <v>992</v>
      </c>
      <c r="CH100" s="207">
        <f>Opv.kohd.[[#This Row],[Tavoitteelliset opiskelijavuodet yhteensä 9]]-Opv.kohd.[[#This Row],[Työvoima-koulutus 9]]-Opv.kohd.[[#This Row],[Nuorisotyöt. väh. ja osaamistarp. vast., työvoima-koulutus 9]]-Opv.kohd.[[#This Row],[Muu kuin työvoima-koulutus 7e]]</f>
        <v>982</v>
      </c>
      <c r="CI100" s="207">
        <f>(Opv.kohd.[[#This Row],[Työvoima-koulutus 9]]+Opv.kohd.[[#This Row],[Nuorisotyöt. väh. ja osaamistarp. vast., työvoima-koulutus 9]])-Opv.kohd.[[#This Row],[Työvoima-koulutus 7e]]</f>
        <v>10</v>
      </c>
      <c r="CJ100" s="207">
        <f>Opv.kohd.[[#This Row],[Tavoitteelliset opiskelijavuodet yhteensä 9]]-Opv.kohd.[[#This Row],[Yhteensä 7e]]</f>
        <v>992</v>
      </c>
      <c r="CK100" s="207">
        <f>Opv.kohd.[[#This Row],[Järjestämisluvan mukaiset 4]]+Opv.kohd.[[#This Row],[Järjestämisluvan mukaiset 13]]</f>
        <v>0</v>
      </c>
      <c r="CL100" s="207">
        <f>Opv.kohd.[[#This Row],[Kohdentamat-tomat 4]]+Opv.kohd.[[#This Row],[Kohdentamat-tomat 13]]</f>
        <v>0</v>
      </c>
      <c r="CM100" s="207">
        <f>Opv.kohd.[[#This Row],[Työvoima-koulutus 4]]+Opv.kohd.[[#This Row],[Työvoima-koulutus 13]]</f>
        <v>0</v>
      </c>
      <c r="CN100" s="207">
        <f>Opv.kohd.[[#This Row],[Maahan-muuttajien koulutus 4]]+Opv.kohd.[[#This Row],[Maahan-muuttajien koulutus 13]]</f>
        <v>0</v>
      </c>
      <c r="CO100" s="207">
        <f>Opv.kohd.[[#This Row],[Nuorisotyöt. väh. ja osaamistarp. vast., muu kuin työvoima-koulutus 4]]+Opv.kohd.[[#This Row],[Nuorisotyöt. väh. ja osaamistarp. vast., muu kuin työvoima-koulutus 13]]</f>
        <v>0</v>
      </c>
      <c r="CP100" s="207">
        <f>Opv.kohd.[[#This Row],[Nuorisotyöt. väh. ja osaamistarp. vast., työvoima-koulutus 4]]+Opv.kohd.[[#This Row],[Nuorisotyöt. väh. ja osaamistarp. vast., työvoima-koulutus 13]]</f>
        <v>0</v>
      </c>
      <c r="CQ100" s="207">
        <f>Opv.kohd.[[#This Row],[Yhteensä 4]]+Opv.kohd.[[#This Row],[Yhteensä 13]]</f>
        <v>0</v>
      </c>
      <c r="CR100" s="207">
        <f>Opv.kohd.[[#This Row],[Ensikertaisella suoritepäätöksellä jaetut tavoitteelliset opiskelijavuodet yhteensä 4]]+Opv.kohd.[[#This Row],[Tavoitteelliset opiskelijavuodet yhteensä 13]]</f>
        <v>0</v>
      </c>
      <c r="CS100" s="120">
        <v>0</v>
      </c>
      <c r="CT100" s="120">
        <v>0</v>
      </c>
      <c r="CU100" s="120">
        <v>0</v>
      </c>
      <c r="CV100" s="120">
        <v>0</v>
      </c>
      <c r="CW100" s="120">
        <v>0</v>
      </c>
      <c r="CX100" s="120">
        <v>0</v>
      </c>
      <c r="CY100" s="120">
        <v>0</v>
      </c>
      <c r="CZ100" s="120">
        <v>0</v>
      </c>
      <c r="DA100" s="209">
        <f>IFERROR(Opv.kohd.[[#This Row],[Järjestämisluvan mukaiset 13]]/Opv.kohd.[[#This Row],[Järjestämisluvan mukaiset 12]],0)</f>
        <v>0</v>
      </c>
      <c r="DB100" s="209">
        <f>IFERROR(Opv.kohd.[[#This Row],[Kohdentamat-tomat 13]]/Opv.kohd.[[#This Row],[Kohdentamat-tomat 12]],0)</f>
        <v>0</v>
      </c>
      <c r="DC100" s="209">
        <f>IFERROR(Opv.kohd.[[#This Row],[Työvoima-koulutus 13]]/Opv.kohd.[[#This Row],[Työvoima-koulutus 12]],0)</f>
        <v>0</v>
      </c>
      <c r="DD100" s="209">
        <f>IFERROR(Opv.kohd.[[#This Row],[Maahan-muuttajien koulutus 13]]/Opv.kohd.[[#This Row],[Maahan-muuttajien koulutus 12]],0)</f>
        <v>0</v>
      </c>
      <c r="DE100" s="209">
        <f>IFERROR(Opv.kohd.[[#This Row],[Nuorisotyöt. väh. ja osaamistarp. vast., muu kuin työvoima-koulutus 13]]/Opv.kohd.[[#This Row],[Nuorisotyöt. väh. ja osaamistarp. vast., muu kuin työvoima-koulutus 12]],0)</f>
        <v>0</v>
      </c>
      <c r="DF100" s="209">
        <f>IFERROR(Opv.kohd.[[#This Row],[Nuorisotyöt. väh. ja osaamistarp. vast., työvoima-koulutus 13]]/Opv.kohd.[[#This Row],[Nuorisotyöt. väh. ja osaamistarp. vast., työvoima-koulutus 12]],0)</f>
        <v>0</v>
      </c>
      <c r="DG100" s="209">
        <f>IFERROR(Opv.kohd.[[#This Row],[Yhteensä 13]]/Opv.kohd.[[#This Row],[Yhteensä 12]],0)</f>
        <v>0</v>
      </c>
      <c r="DH100" s="209">
        <f>IFERROR(Opv.kohd.[[#This Row],[Tavoitteelliset opiskelijavuodet yhteensä 13]]/Opv.kohd.[[#This Row],[Tavoitteelliset opiskelijavuodet yhteensä 12]],0)</f>
        <v>0</v>
      </c>
      <c r="DI100" s="207">
        <f>Opv.kohd.[[#This Row],[Järjestämisluvan mukaiset 12]]-Opv.kohd.[[#This Row],[Järjestämisluvan mukaiset 9]]</f>
        <v>-945</v>
      </c>
      <c r="DJ100" s="207">
        <f>Opv.kohd.[[#This Row],[Kohdentamat-tomat 12]]-Opv.kohd.[[#This Row],[Kohdentamat-tomat 9]]</f>
        <v>-30</v>
      </c>
      <c r="DK100" s="207">
        <f>Opv.kohd.[[#This Row],[Työvoima-koulutus 12]]-Opv.kohd.[[#This Row],[Työvoima-koulutus 9]]</f>
        <v>-10</v>
      </c>
      <c r="DL100" s="207">
        <f>Opv.kohd.[[#This Row],[Maahan-muuttajien koulutus 12]]-Opv.kohd.[[#This Row],[Maahan-muuttajien koulutus 9]]</f>
        <v>-7</v>
      </c>
      <c r="DM100" s="207">
        <f>Opv.kohd.[[#This Row],[Nuorisotyöt. väh. ja osaamistarp. vast., muu kuin työvoima-koulutus 12]]-Opv.kohd.[[#This Row],[Nuorisotyöt. väh. ja osaamistarp. vast., muu kuin työvoima-koulutus 9]]</f>
        <v>0</v>
      </c>
      <c r="DN100" s="207">
        <f>Opv.kohd.[[#This Row],[Nuorisotyöt. väh. ja osaamistarp. vast., työvoima-koulutus 12]]-Opv.kohd.[[#This Row],[Nuorisotyöt. väh. ja osaamistarp. vast., työvoima-koulutus 9]]</f>
        <v>0</v>
      </c>
      <c r="DO100" s="207">
        <f>Opv.kohd.[[#This Row],[Yhteensä 12]]-Opv.kohd.[[#This Row],[Yhteensä 9]]</f>
        <v>-47</v>
      </c>
      <c r="DP100" s="207">
        <f>Opv.kohd.[[#This Row],[Tavoitteelliset opiskelijavuodet yhteensä 12]]-Opv.kohd.[[#This Row],[Tavoitteelliset opiskelijavuodet yhteensä 9]]</f>
        <v>-992</v>
      </c>
      <c r="DQ100" s="209">
        <f>IFERROR(Opv.kohd.[[#This Row],[Järjestämisluvan mukaiset 15]]/Opv.kohd.[[#This Row],[Järjestämisluvan mukaiset 9]],0)</f>
        <v>-1</v>
      </c>
      <c r="DR100" s="209">
        <f t="shared" si="25"/>
        <v>0</v>
      </c>
      <c r="DS100" s="209">
        <f t="shared" si="26"/>
        <v>0</v>
      </c>
      <c r="DT100" s="209">
        <f t="shared" si="27"/>
        <v>0</v>
      </c>
      <c r="DU100" s="209">
        <f t="shared" si="28"/>
        <v>0</v>
      </c>
      <c r="DV100" s="209">
        <f t="shared" si="29"/>
        <v>0</v>
      </c>
      <c r="DW100" s="209">
        <f t="shared" si="30"/>
        <v>0</v>
      </c>
      <c r="DX100" s="209">
        <f t="shared" si="31"/>
        <v>0</v>
      </c>
    </row>
    <row r="101" spans="1:128" x14ac:dyDescent="0.25">
      <c r="A101" s="204" t="e">
        <f>IF(INDEX(#REF!,ROW(101:101)-1,1)=0,"",INDEX(#REF!,ROW(101:101)-1,1))</f>
        <v>#REF!</v>
      </c>
      <c r="B101" s="205" t="str">
        <f>IFERROR(VLOOKUP(Opv.kohd.[[#This Row],[Y-tunnus]],'0 Järjestäjätiedot'!$A:$H,2,FALSE),"")</f>
        <v/>
      </c>
      <c r="C101" s="204" t="str">
        <f>IFERROR(VLOOKUP(Opv.kohd.[[#This Row],[Y-tunnus]],'0 Järjestäjätiedot'!$A:$H,COLUMN('0 Järjestäjätiedot'!D:D),FALSE),"")</f>
        <v/>
      </c>
      <c r="D101" s="204" t="str">
        <f>IFERROR(VLOOKUP(Opv.kohd.[[#This Row],[Y-tunnus]],'0 Järjestäjätiedot'!$A:$H,COLUMN('0 Järjestäjätiedot'!H:H),FALSE),"")</f>
        <v/>
      </c>
      <c r="E101" s="204">
        <f>IFERROR(VLOOKUP(Opv.kohd.[[#This Row],[Y-tunnus]],#REF!,COLUMN(#REF!),FALSE),0)</f>
        <v>0</v>
      </c>
      <c r="F101" s="204">
        <f>IFERROR(VLOOKUP(Opv.kohd.[[#This Row],[Y-tunnus]],#REF!,COLUMN(#REF!),FALSE),0)</f>
        <v>0</v>
      </c>
      <c r="G101" s="204">
        <f>IFERROR(VLOOKUP(Opv.kohd.[[#This Row],[Y-tunnus]],#REF!,COLUMN(#REF!),FALSE),0)</f>
        <v>0</v>
      </c>
      <c r="H101" s="204">
        <f>IFERROR(VLOOKUP(Opv.kohd.[[#This Row],[Y-tunnus]],#REF!,COLUMN(#REF!),FALSE),0)</f>
        <v>0</v>
      </c>
      <c r="I101" s="204">
        <f>IFERROR(VLOOKUP(Opv.kohd.[[#This Row],[Y-tunnus]],#REF!,COLUMN(#REF!),FALSE),0)</f>
        <v>0</v>
      </c>
      <c r="J101" s="204">
        <f>IFERROR(VLOOKUP(Opv.kohd.[[#This Row],[Y-tunnus]],#REF!,COLUMN(#REF!),FALSE),0)</f>
        <v>0</v>
      </c>
      <c r="K10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01" s="204">
        <f>Opv.kohd.[[#This Row],[Järjestämisluvan mukaiset 1]]+Opv.kohd.[[#This Row],[Yhteensä  1]]</f>
        <v>0</v>
      </c>
      <c r="M101" s="204">
        <f>IFERROR(VLOOKUP(Opv.kohd.[[#This Row],[Y-tunnus]],#REF!,COLUMN(#REF!),FALSE),0)</f>
        <v>0</v>
      </c>
      <c r="N101" s="204">
        <f>IFERROR(VLOOKUP(Opv.kohd.[[#This Row],[Y-tunnus]],#REF!,COLUMN(#REF!),FALSE),0)</f>
        <v>0</v>
      </c>
      <c r="O101" s="204">
        <f>IFERROR(VLOOKUP(Opv.kohd.[[#This Row],[Y-tunnus]],#REF!,COLUMN(#REF!),FALSE)+VLOOKUP(Opv.kohd.[[#This Row],[Y-tunnus]],#REF!,COLUMN(#REF!),FALSE),0)</f>
        <v>0</v>
      </c>
      <c r="P101" s="204">
        <f>Opv.kohd.[[#This Row],[Talousarvion perusteella kohdentamattomat]]+Opv.kohd.[[#This Row],[Talousarvion perusteella työvoimakoulutus 1]]+Opv.kohd.[[#This Row],[Lisätalousarvioiden perusteella]]</f>
        <v>0</v>
      </c>
      <c r="Q101" s="204">
        <f>IFERROR(VLOOKUP(Opv.kohd.[[#This Row],[Y-tunnus]],#REF!,COLUMN(#REF!),FALSE),0)</f>
        <v>0</v>
      </c>
      <c r="R101" s="210">
        <f>IFERROR(VLOOKUP(Opv.kohd.[[#This Row],[Y-tunnus]],#REF!,COLUMN(#REF!),FALSE)-(Opv.kohd.[[#This Row],[Kohdentamaton työvoima-koulutus 2]]+Opv.kohd.[[#This Row],[Maahan-muuttajien koulutus 2]]+Opv.kohd.[[#This Row],[Lisätalousarvioiden perusteella jaetut 2]]),0)</f>
        <v>0</v>
      </c>
      <c r="S101" s="210">
        <f>IFERROR(VLOOKUP(Opv.kohd.[[#This Row],[Y-tunnus]],#REF!,COLUMN(#REF!),FALSE)+VLOOKUP(Opv.kohd.[[#This Row],[Y-tunnus]],#REF!,COLUMN(#REF!),FALSE),0)</f>
        <v>0</v>
      </c>
      <c r="T101" s="210">
        <f>IFERROR(VLOOKUP(Opv.kohd.[[#This Row],[Y-tunnus]],#REF!,COLUMN(#REF!),FALSE)+VLOOKUP(Opv.kohd.[[#This Row],[Y-tunnus]],#REF!,COLUMN(#REF!),FALSE),0)</f>
        <v>0</v>
      </c>
      <c r="U10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01" s="210">
        <f>Opv.kohd.[[#This Row],[Kohdentamat-tomat 2]]+Opv.kohd.[[#This Row],[Kohdentamaton työvoima-koulutus 2]]+Opv.kohd.[[#This Row],[Maahan-muuttajien koulutus 2]]+Opv.kohd.[[#This Row],[Lisätalousarvioiden perusteella jaetut 2]]</f>
        <v>0</v>
      </c>
      <c r="W101" s="210">
        <f>Opv.kohd.[[#This Row],[Kohdentamat-tomat 2]]-(Opv.kohd.[[#This Row],[Järjestämisluvan mukaiset 1]]+Opv.kohd.[[#This Row],[Kohdentamat-tomat 1]]+Opv.kohd.[[#This Row],[Nuorisotyöt. väh. ja osaamistarp. vast., muu kuin työvoima-koulutus 1]]+Opv.kohd.[[#This Row],[Talousarvion perusteella kohdentamattomat]])</f>
        <v>0</v>
      </c>
      <c r="X101" s="210">
        <f>Opv.kohd.[[#This Row],[Kohdentamaton työvoima-koulutus 2]]-(Opv.kohd.[[#This Row],[Työvoima-koulutus 1]]+Opv.kohd.[[#This Row],[Nuorisotyöt. väh. ja osaamistarp. vast., työvoima-koulutus 1]]+Opv.kohd.[[#This Row],[Talousarvion perusteella työvoimakoulutus 1]])</f>
        <v>0</v>
      </c>
      <c r="Y101" s="210">
        <f>Opv.kohd.[[#This Row],[Maahan-muuttajien koulutus 2]]-Opv.kohd.[[#This Row],[Maahan-muuttajien koulutus 1]]</f>
        <v>0</v>
      </c>
      <c r="Z101" s="210">
        <f>Opv.kohd.[[#This Row],[Lisätalousarvioiden perusteella jaetut 2]]-Opv.kohd.[[#This Row],[Lisätalousarvioiden perusteella]]</f>
        <v>0</v>
      </c>
      <c r="AA101" s="210">
        <f>Opv.kohd.[[#This Row],[Toteutuneet opiskelijavuodet yhteensä 2]]-Opv.kohd.[[#This Row],[Vuoden 2018 tavoitteelliset opiskelijavuodet yhteensä 1]]</f>
        <v>0</v>
      </c>
      <c r="AB101" s="207">
        <f>IFERROR(VLOOKUP(Opv.kohd.[[#This Row],[Y-tunnus]],#REF!,3,FALSE),0)</f>
        <v>0</v>
      </c>
      <c r="AC101" s="207">
        <f>IFERROR(VLOOKUP(Opv.kohd.[[#This Row],[Y-tunnus]],#REF!,4,FALSE),0)</f>
        <v>0</v>
      </c>
      <c r="AD101" s="207">
        <f>IFERROR(VLOOKUP(Opv.kohd.[[#This Row],[Y-tunnus]],#REF!,5,FALSE),0)</f>
        <v>0</v>
      </c>
      <c r="AE101" s="207">
        <f>IFERROR(VLOOKUP(Opv.kohd.[[#This Row],[Y-tunnus]],#REF!,6,FALSE),0)</f>
        <v>0</v>
      </c>
      <c r="AF101" s="207">
        <f>IFERROR(VLOOKUP(Opv.kohd.[[#This Row],[Y-tunnus]],#REF!,7,FALSE),0)</f>
        <v>0</v>
      </c>
      <c r="AG101" s="207">
        <f>IFERROR(VLOOKUP(Opv.kohd.[[#This Row],[Y-tunnus]],#REF!,8,FALSE),0)</f>
        <v>0</v>
      </c>
      <c r="AH101" s="207">
        <f>IFERROR(VLOOKUP(Opv.kohd.[[#This Row],[Y-tunnus]],#REF!,9,FALSE),0)</f>
        <v>0</v>
      </c>
      <c r="AI101" s="207">
        <f>IFERROR(VLOOKUP(Opv.kohd.[[#This Row],[Y-tunnus]],#REF!,10,FALSE),0)</f>
        <v>0</v>
      </c>
      <c r="AJ101" s="204">
        <f>Opv.kohd.[[#This Row],[Järjestämisluvan mukaiset 4]]-Opv.kohd.[[#This Row],[Järjestämisluvan mukaiset 1]]</f>
        <v>0</v>
      </c>
      <c r="AK101" s="204">
        <f>Opv.kohd.[[#This Row],[Kohdentamat-tomat 4]]-Opv.kohd.[[#This Row],[Kohdentamat-tomat 1]]</f>
        <v>0</v>
      </c>
      <c r="AL101" s="204">
        <f>Opv.kohd.[[#This Row],[Työvoima-koulutus 4]]-Opv.kohd.[[#This Row],[Työvoima-koulutus 1]]</f>
        <v>0</v>
      </c>
      <c r="AM101" s="204">
        <f>Opv.kohd.[[#This Row],[Maahan-muuttajien koulutus 4]]-Opv.kohd.[[#This Row],[Maahan-muuttajien koulutus 1]]</f>
        <v>0</v>
      </c>
      <c r="AN101" s="204">
        <f>Opv.kohd.[[#This Row],[Nuorisotyöt. väh. ja osaamistarp. vast., muu kuin työvoima-koulutus 4]]-Opv.kohd.[[#This Row],[Nuorisotyöt. väh. ja osaamistarp. vast., muu kuin työvoima-koulutus 1]]</f>
        <v>0</v>
      </c>
      <c r="AO101" s="204">
        <f>Opv.kohd.[[#This Row],[Nuorisotyöt. väh. ja osaamistarp. vast., työvoima-koulutus 4]]-Opv.kohd.[[#This Row],[Nuorisotyöt. väh. ja osaamistarp. vast., työvoima-koulutus 1]]</f>
        <v>0</v>
      </c>
      <c r="AP101" s="204">
        <f>Opv.kohd.[[#This Row],[Yhteensä 4]]-Opv.kohd.[[#This Row],[Yhteensä  1]]</f>
        <v>0</v>
      </c>
      <c r="AQ101" s="204">
        <f>Opv.kohd.[[#This Row],[Ensikertaisella suoritepäätöksellä jaetut tavoitteelliset opiskelijavuodet yhteensä 4]]-Opv.kohd.[[#This Row],[Ensikertaisella suoritepäätöksellä jaetut tavoitteelliset opiskelijavuodet yhteensä 1]]</f>
        <v>0</v>
      </c>
      <c r="AR101" s="208">
        <f>IFERROR(Opv.kohd.[[#This Row],[Järjestämisluvan mukaiset 5]]/Opv.kohd.[[#This Row],[Järjestämisluvan mukaiset 4]],0)</f>
        <v>0</v>
      </c>
      <c r="AS101" s="208">
        <f>IFERROR(Opv.kohd.[[#This Row],[Kohdentamat-tomat 5]]/Opv.kohd.[[#This Row],[Kohdentamat-tomat 4]],0)</f>
        <v>0</v>
      </c>
      <c r="AT101" s="208">
        <f>IFERROR(Opv.kohd.[[#This Row],[Työvoima-koulutus 5]]/Opv.kohd.[[#This Row],[Työvoima-koulutus 4]],0)</f>
        <v>0</v>
      </c>
      <c r="AU101" s="208">
        <f>IFERROR(Opv.kohd.[[#This Row],[Maahan-muuttajien koulutus 5]]/Opv.kohd.[[#This Row],[Maahan-muuttajien koulutus 4]],0)</f>
        <v>0</v>
      </c>
      <c r="AV101" s="208">
        <f>IFERROR(Opv.kohd.[[#This Row],[Nuorisotyöt. väh. ja osaamistarp. vast., muu kuin työvoima-koulutus 5]]/Opv.kohd.[[#This Row],[Nuorisotyöt. väh. ja osaamistarp. vast., muu kuin työvoima-koulutus 4]],0)</f>
        <v>0</v>
      </c>
      <c r="AW101" s="208">
        <f>IFERROR(Opv.kohd.[[#This Row],[Nuorisotyöt. väh. ja osaamistarp. vast., työvoima-koulutus 5]]/Opv.kohd.[[#This Row],[Nuorisotyöt. väh. ja osaamistarp. vast., työvoima-koulutus 4]],0)</f>
        <v>0</v>
      </c>
      <c r="AX101" s="208">
        <f>IFERROR(Opv.kohd.[[#This Row],[Yhteensä 5]]/Opv.kohd.[[#This Row],[Yhteensä 4]],0)</f>
        <v>0</v>
      </c>
      <c r="AY101" s="208">
        <f>IFERROR(Opv.kohd.[[#This Row],[Ensikertaisella suoritepäätöksellä jaetut tavoitteelliset opiskelijavuodet yhteensä 5]]/Opv.kohd.[[#This Row],[Ensikertaisella suoritepäätöksellä jaetut tavoitteelliset opiskelijavuodet yhteensä 4]],0)</f>
        <v>0</v>
      </c>
      <c r="AZ101" s="207">
        <f>Opv.kohd.[[#This Row],[Yhteensä 7a]]-Opv.kohd.[[#This Row],[Työvoima-koulutus 7a]]</f>
        <v>0</v>
      </c>
      <c r="BA101" s="207">
        <f>IFERROR(VLOOKUP(Opv.kohd.[[#This Row],[Y-tunnus]],#REF!,COLUMN(#REF!),FALSE),0)</f>
        <v>0</v>
      </c>
      <c r="BB101" s="207">
        <f>IFERROR(VLOOKUP(Opv.kohd.[[#This Row],[Y-tunnus]],#REF!,COLUMN(#REF!),FALSE),0)</f>
        <v>0</v>
      </c>
      <c r="BC101" s="207">
        <f>Opv.kohd.[[#This Row],[Muu kuin työvoima-koulutus 7c]]-Opv.kohd.[[#This Row],[Muu kuin työvoima-koulutus 7a]]</f>
        <v>0</v>
      </c>
      <c r="BD101" s="207">
        <f>Opv.kohd.[[#This Row],[Työvoima-koulutus 7c]]-Opv.kohd.[[#This Row],[Työvoima-koulutus 7a]]</f>
        <v>0</v>
      </c>
      <c r="BE101" s="207">
        <f>Opv.kohd.[[#This Row],[Yhteensä 7c]]-Opv.kohd.[[#This Row],[Yhteensä 7a]]</f>
        <v>0</v>
      </c>
      <c r="BF101" s="207">
        <f>Opv.kohd.[[#This Row],[Yhteensä 7c]]-Opv.kohd.[[#This Row],[Työvoima-koulutus 7c]]</f>
        <v>0</v>
      </c>
      <c r="BG101" s="207">
        <f>IFERROR(VLOOKUP(Opv.kohd.[[#This Row],[Y-tunnus]],#REF!,COLUMN(#REF!),FALSE),0)</f>
        <v>0</v>
      </c>
      <c r="BH101" s="207">
        <f>IFERROR(VLOOKUP(Opv.kohd.[[#This Row],[Y-tunnus]],#REF!,COLUMN(#REF!),FALSE),0)</f>
        <v>0</v>
      </c>
      <c r="BI101" s="207">
        <f>IFERROR(VLOOKUP(Opv.kohd.[[#This Row],[Y-tunnus]],#REF!,COLUMN(#REF!),FALSE),0)</f>
        <v>0</v>
      </c>
      <c r="BJ101" s="207">
        <f>IFERROR(VLOOKUP(Opv.kohd.[[#This Row],[Y-tunnus]],#REF!,COLUMN(#REF!),FALSE),0)</f>
        <v>0</v>
      </c>
      <c r="BK101" s="207">
        <f>Opv.kohd.[[#This Row],[Muu kuin työvoima-koulutus 7d]]+Opv.kohd.[[#This Row],[Työvoima-koulutus 7d]]</f>
        <v>0</v>
      </c>
      <c r="BL101" s="207">
        <f>Opv.kohd.[[#This Row],[Muu kuin työvoima-koulutus 7c]]-Opv.kohd.[[#This Row],[Muu kuin työvoima-koulutus 7d]]</f>
        <v>0</v>
      </c>
      <c r="BM101" s="207">
        <f>Opv.kohd.[[#This Row],[Työvoima-koulutus 7c]]-Opv.kohd.[[#This Row],[Työvoima-koulutus 7d]]</f>
        <v>0</v>
      </c>
      <c r="BN101" s="207">
        <f>Opv.kohd.[[#This Row],[Yhteensä 7c]]-Opv.kohd.[[#This Row],[Yhteensä 7d]]</f>
        <v>0</v>
      </c>
      <c r="BO101" s="207">
        <f>Opv.kohd.[[#This Row],[Muu kuin työvoima-koulutus 7e]]-(Opv.kohd.[[#This Row],[Järjestämisluvan mukaiset 4]]+Opv.kohd.[[#This Row],[Kohdentamat-tomat 4]]+Opv.kohd.[[#This Row],[Maahan-muuttajien koulutus 4]]+Opv.kohd.[[#This Row],[Nuorisotyöt. väh. ja osaamistarp. vast., muu kuin työvoima-koulutus 4]])</f>
        <v>0</v>
      </c>
      <c r="BP101" s="207">
        <f>Opv.kohd.[[#This Row],[Työvoima-koulutus 7e]]-(Opv.kohd.[[#This Row],[Työvoima-koulutus 4]]+Opv.kohd.[[#This Row],[Nuorisotyöt. väh. ja osaamistarp. vast., työvoima-koulutus 4]])</f>
        <v>0</v>
      </c>
      <c r="BQ101" s="207">
        <f>Opv.kohd.[[#This Row],[Yhteensä 7e]]-Opv.kohd.[[#This Row],[Ensikertaisella suoritepäätöksellä jaetut tavoitteelliset opiskelijavuodet yhteensä 4]]</f>
        <v>0</v>
      </c>
      <c r="BR101" s="263">
        <v>1332</v>
      </c>
      <c r="BS101" s="263">
        <v>70</v>
      </c>
      <c r="BT101" s="263">
        <v>15</v>
      </c>
      <c r="BU101" s="263">
        <v>10</v>
      </c>
      <c r="BV101" s="263">
        <v>0</v>
      </c>
      <c r="BW101" s="263">
        <v>0</v>
      </c>
      <c r="BX101" s="263">
        <v>95</v>
      </c>
      <c r="BY101" s="263">
        <v>1427</v>
      </c>
      <c r="BZ101" s="207">
        <f t="shared" si="17"/>
        <v>1332</v>
      </c>
      <c r="CA101" s="207">
        <f t="shared" si="18"/>
        <v>70</v>
      </c>
      <c r="CB101" s="207">
        <f t="shared" si="19"/>
        <v>15</v>
      </c>
      <c r="CC101" s="207">
        <f t="shared" si="20"/>
        <v>10</v>
      </c>
      <c r="CD101" s="207">
        <f t="shared" si="21"/>
        <v>0</v>
      </c>
      <c r="CE101" s="207">
        <f t="shared" si="22"/>
        <v>0</v>
      </c>
      <c r="CF101" s="207">
        <f t="shared" si="23"/>
        <v>95</v>
      </c>
      <c r="CG101" s="207">
        <f t="shared" si="24"/>
        <v>1427</v>
      </c>
      <c r="CH101" s="207">
        <f>Opv.kohd.[[#This Row],[Tavoitteelliset opiskelijavuodet yhteensä 9]]-Opv.kohd.[[#This Row],[Työvoima-koulutus 9]]-Opv.kohd.[[#This Row],[Nuorisotyöt. väh. ja osaamistarp. vast., työvoima-koulutus 9]]-Opv.kohd.[[#This Row],[Muu kuin työvoima-koulutus 7e]]</f>
        <v>1412</v>
      </c>
      <c r="CI101" s="207">
        <f>(Opv.kohd.[[#This Row],[Työvoima-koulutus 9]]+Opv.kohd.[[#This Row],[Nuorisotyöt. väh. ja osaamistarp. vast., työvoima-koulutus 9]])-Opv.kohd.[[#This Row],[Työvoima-koulutus 7e]]</f>
        <v>15</v>
      </c>
      <c r="CJ101" s="207">
        <f>Opv.kohd.[[#This Row],[Tavoitteelliset opiskelijavuodet yhteensä 9]]-Opv.kohd.[[#This Row],[Yhteensä 7e]]</f>
        <v>1427</v>
      </c>
      <c r="CK101" s="207">
        <f>Opv.kohd.[[#This Row],[Järjestämisluvan mukaiset 4]]+Opv.kohd.[[#This Row],[Järjestämisluvan mukaiset 13]]</f>
        <v>0</v>
      </c>
      <c r="CL101" s="207">
        <f>Opv.kohd.[[#This Row],[Kohdentamat-tomat 4]]+Opv.kohd.[[#This Row],[Kohdentamat-tomat 13]]</f>
        <v>0</v>
      </c>
      <c r="CM101" s="207">
        <f>Opv.kohd.[[#This Row],[Työvoima-koulutus 4]]+Opv.kohd.[[#This Row],[Työvoima-koulutus 13]]</f>
        <v>0</v>
      </c>
      <c r="CN101" s="207">
        <f>Opv.kohd.[[#This Row],[Maahan-muuttajien koulutus 4]]+Opv.kohd.[[#This Row],[Maahan-muuttajien koulutus 13]]</f>
        <v>0</v>
      </c>
      <c r="CO101" s="207">
        <f>Opv.kohd.[[#This Row],[Nuorisotyöt. väh. ja osaamistarp. vast., muu kuin työvoima-koulutus 4]]+Opv.kohd.[[#This Row],[Nuorisotyöt. väh. ja osaamistarp. vast., muu kuin työvoima-koulutus 13]]</f>
        <v>0</v>
      </c>
      <c r="CP101" s="207">
        <f>Opv.kohd.[[#This Row],[Nuorisotyöt. väh. ja osaamistarp. vast., työvoima-koulutus 4]]+Opv.kohd.[[#This Row],[Nuorisotyöt. väh. ja osaamistarp. vast., työvoima-koulutus 13]]</f>
        <v>0</v>
      </c>
      <c r="CQ101" s="207">
        <f>Opv.kohd.[[#This Row],[Yhteensä 4]]+Opv.kohd.[[#This Row],[Yhteensä 13]]</f>
        <v>0</v>
      </c>
      <c r="CR101" s="207">
        <f>Opv.kohd.[[#This Row],[Ensikertaisella suoritepäätöksellä jaetut tavoitteelliset opiskelijavuodet yhteensä 4]]+Opv.kohd.[[#This Row],[Tavoitteelliset opiskelijavuodet yhteensä 13]]</f>
        <v>0</v>
      </c>
      <c r="CS101" s="120">
        <v>0</v>
      </c>
      <c r="CT101" s="120">
        <v>0</v>
      </c>
      <c r="CU101" s="120">
        <v>0</v>
      </c>
      <c r="CV101" s="120">
        <v>0</v>
      </c>
      <c r="CW101" s="120">
        <v>0</v>
      </c>
      <c r="CX101" s="120">
        <v>0</v>
      </c>
      <c r="CY101" s="120">
        <v>0</v>
      </c>
      <c r="CZ101" s="120">
        <v>0</v>
      </c>
      <c r="DA101" s="209">
        <f>IFERROR(Opv.kohd.[[#This Row],[Järjestämisluvan mukaiset 13]]/Opv.kohd.[[#This Row],[Järjestämisluvan mukaiset 12]],0)</f>
        <v>0</v>
      </c>
      <c r="DB101" s="209">
        <f>IFERROR(Opv.kohd.[[#This Row],[Kohdentamat-tomat 13]]/Opv.kohd.[[#This Row],[Kohdentamat-tomat 12]],0)</f>
        <v>0</v>
      </c>
      <c r="DC101" s="209">
        <f>IFERROR(Opv.kohd.[[#This Row],[Työvoima-koulutus 13]]/Opv.kohd.[[#This Row],[Työvoima-koulutus 12]],0)</f>
        <v>0</v>
      </c>
      <c r="DD101" s="209">
        <f>IFERROR(Opv.kohd.[[#This Row],[Maahan-muuttajien koulutus 13]]/Opv.kohd.[[#This Row],[Maahan-muuttajien koulutus 12]],0)</f>
        <v>0</v>
      </c>
      <c r="DE101" s="209">
        <f>IFERROR(Opv.kohd.[[#This Row],[Nuorisotyöt. väh. ja osaamistarp. vast., muu kuin työvoima-koulutus 13]]/Opv.kohd.[[#This Row],[Nuorisotyöt. väh. ja osaamistarp. vast., muu kuin työvoima-koulutus 12]],0)</f>
        <v>0</v>
      </c>
      <c r="DF101" s="209">
        <f>IFERROR(Opv.kohd.[[#This Row],[Nuorisotyöt. väh. ja osaamistarp. vast., työvoima-koulutus 13]]/Opv.kohd.[[#This Row],[Nuorisotyöt. väh. ja osaamistarp. vast., työvoima-koulutus 12]],0)</f>
        <v>0</v>
      </c>
      <c r="DG101" s="209">
        <f>IFERROR(Opv.kohd.[[#This Row],[Yhteensä 13]]/Opv.kohd.[[#This Row],[Yhteensä 12]],0)</f>
        <v>0</v>
      </c>
      <c r="DH101" s="209">
        <f>IFERROR(Opv.kohd.[[#This Row],[Tavoitteelliset opiskelijavuodet yhteensä 13]]/Opv.kohd.[[#This Row],[Tavoitteelliset opiskelijavuodet yhteensä 12]],0)</f>
        <v>0</v>
      </c>
      <c r="DI101" s="207">
        <f>Opv.kohd.[[#This Row],[Järjestämisluvan mukaiset 12]]-Opv.kohd.[[#This Row],[Järjestämisluvan mukaiset 9]]</f>
        <v>-1332</v>
      </c>
      <c r="DJ101" s="207">
        <f>Opv.kohd.[[#This Row],[Kohdentamat-tomat 12]]-Opv.kohd.[[#This Row],[Kohdentamat-tomat 9]]</f>
        <v>-70</v>
      </c>
      <c r="DK101" s="207">
        <f>Opv.kohd.[[#This Row],[Työvoima-koulutus 12]]-Opv.kohd.[[#This Row],[Työvoima-koulutus 9]]</f>
        <v>-15</v>
      </c>
      <c r="DL101" s="207">
        <f>Opv.kohd.[[#This Row],[Maahan-muuttajien koulutus 12]]-Opv.kohd.[[#This Row],[Maahan-muuttajien koulutus 9]]</f>
        <v>-10</v>
      </c>
      <c r="DM101" s="207">
        <f>Opv.kohd.[[#This Row],[Nuorisotyöt. väh. ja osaamistarp. vast., muu kuin työvoima-koulutus 12]]-Opv.kohd.[[#This Row],[Nuorisotyöt. väh. ja osaamistarp. vast., muu kuin työvoima-koulutus 9]]</f>
        <v>0</v>
      </c>
      <c r="DN101" s="207">
        <f>Opv.kohd.[[#This Row],[Nuorisotyöt. väh. ja osaamistarp. vast., työvoima-koulutus 12]]-Opv.kohd.[[#This Row],[Nuorisotyöt. väh. ja osaamistarp. vast., työvoima-koulutus 9]]</f>
        <v>0</v>
      </c>
      <c r="DO101" s="207">
        <f>Opv.kohd.[[#This Row],[Yhteensä 12]]-Opv.kohd.[[#This Row],[Yhteensä 9]]</f>
        <v>-95</v>
      </c>
      <c r="DP101" s="207">
        <f>Opv.kohd.[[#This Row],[Tavoitteelliset opiskelijavuodet yhteensä 12]]-Opv.kohd.[[#This Row],[Tavoitteelliset opiskelijavuodet yhteensä 9]]</f>
        <v>-1427</v>
      </c>
      <c r="DQ101" s="209">
        <f>IFERROR(Opv.kohd.[[#This Row],[Järjestämisluvan mukaiset 15]]/Opv.kohd.[[#This Row],[Järjestämisluvan mukaiset 9]],0)</f>
        <v>-1</v>
      </c>
      <c r="DR101" s="209">
        <f t="shared" si="25"/>
        <v>0</v>
      </c>
      <c r="DS101" s="209">
        <f t="shared" si="26"/>
        <v>0</v>
      </c>
      <c r="DT101" s="209">
        <f t="shared" si="27"/>
        <v>0</v>
      </c>
      <c r="DU101" s="209">
        <f t="shared" si="28"/>
        <v>0</v>
      </c>
      <c r="DV101" s="209">
        <f t="shared" si="29"/>
        <v>0</v>
      </c>
      <c r="DW101" s="209">
        <f t="shared" si="30"/>
        <v>0</v>
      </c>
      <c r="DX101" s="209">
        <f t="shared" si="31"/>
        <v>0</v>
      </c>
    </row>
    <row r="102" spans="1:128" x14ac:dyDescent="0.25">
      <c r="A102" s="204" t="e">
        <f>IF(INDEX(#REF!,ROW(102:102)-1,1)=0,"",INDEX(#REF!,ROW(102:102)-1,1))</f>
        <v>#REF!</v>
      </c>
      <c r="B102" s="205" t="str">
        <f>IFERROR(VLOOKUP(Opv.kohd.[[#This Row],[Y-tunnus]],'0 Järjestäjätiedot'!$A:$H,2,FALSE),"")</f>
        <v/>
      </c>
      <c r="C102" s="204" t="str">
        <f>IFERROR(VLOOKUP(Opv.kohd.[[#This Row],[Y-tunnus]],'0 Järjestäjätiedot'!$A:$H,COLUMN('0 Järjestäjätiedot'!D:D),FALSE),"")</f>
        <v/>
      </c>
      <c r="D102" s="204" t="str">
        <f>IFERROR(VLOOKUP(Opv.kohd.[[#This Row],[Y-tunnus]],'0 Järjestäjätiedot'!$A:$H,COLUMN('0 Järjestäjätiedot'!H:H),FALSE),"")</f>
        <v/>
      </c>
      <c r="E102" s="204">
        <f>IFERROR(VLOOKUP(Opv.kohd.[[#This Row],[Y-tunnus]],#REF!,COLUMN(#REF!),FALSE),0)</f>
        <v>0</v>
      </c>
      <c r="F102" s="204">
        <f>IFERROR(VLOOKUP(Opv.kohd.[[#This Row],[Y-tunnus]],#REF!,COLUMN(#REF!),FALSE),0)</f>
        <v>0</v>
      </c>
      <c r="G102" s="204">
        <f>IFERROR(VLOOKUP(Opv.kohd.[[#This Row],[Y-tunnus]],#REF!,COLUMN(#REF!),FALSE),0)</f>
        <v>0</v>
      </c>
      <c r="H102" s="204">
        <f>IFERROR(VLOOKUP(Opv.kohd.[[#This Row],[Y-tunnus]],#REF!,COLUMN(#REF!),FALSE),0)</f>
        <v>0</v>
      </c>
      <c r="I102" s="204">
        <f>IFERROR(VLOOKUP(Opv.kohd.[[#This Row],[Y-tunnus]],#REF!,COLUMN(#REF!),FALSE),0)</f>
        <v>0</v>
      </c>
      <c r="J102" s="204">
        <f>IFERROR(VLOOKUP(Opv.kohd.[[#This Row],[Y-tunnus]],#REF!,COLUMN(#REF!),FALSE),0)</f>
        <v>0</v>
      </c>
      <c r="K10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02" s="204">
        <f>Opv.kohd.[[#This Row],[Järjestämisluvan mukaiset 1]]+Opv.kohd.[[#This Row],[Yhteensä  1]]</f>
        <v>0</v>
      </c>
      <c r="M102" s="204">
        <f>IFERROR(VLOOKUP(Opv.kohd.[[#This Row],[Y-tunnus]],#REF!,COLUMN(#REF!),FALSE),0)</f>
        <v>0</v>
      </c>
      <c r="N102" s="204">
        <f>IFERROR(VLOOKUP(Opv.kohd.[[#This Row],[Y-tunnus]],#REF!,COLUMN(#REF!),FALSE),0)</f>
        <v>0</v>
      </c>
      <c r="O102" s="204">
        <f>IFERROR(VLOOKUP(Opv.kohd.[[#This Row],[Y-tunnus]],#REF!,COLUMN(#REF!),FALSE)+VLOOKUP(Opv.kohd.[[#This Row],[Y-tunnus]],#REF!,COLUMN(#REF!),FALSE),0)</f>
        <v>0</v>
      </c>
      <c r="P102" s="204">
        <f>Opv.kohd.[[#This Row],[Talousarvion perusteella kohdentamattomat]]+Opv.kohd.[[#This Row],[Talousarvion perusteella työvoimakoulutus 1]]+Opv.kohd.[[#This Row],[Lisätalousarvioiden perusteella]]</f>
        <v>0</v>
      </c>
      <c r="Q102" s="204">
        <f>IFERROR(VLOOKUP(Opv.kohd.[[#This Row],[Y-tunnus]],#REF!,COLUMN(#REF!),FALSE),0)</f>
        <v>0</v>
      </c>
      <c r="R102" s="210">
        <f>IFERROR(VLOOKUP(Opv.kohd.[[#This Row],[Y-tunnus]],#REF!,COLUMN(#REF!),FALSE)-(Opv.kohd.[[#This Row],[Kohdentamaton työvoima-koulutus 2]]+Opv.kohd.[[#This Row],[Maahan-muuttajien koulutus 2]]+Opv.kohd.[[#This Row],[Lisätalousarvioiden perusteella jaetut 2]]),0)</f>
        <v>0</v>
      </c>
      <c r="S102" s="210">
        <f>IFERROR(VLOOKUP(Opv.kohd.[[#This Row],[Y-tunnus]],#REF!,COLUMN(#REF!),FALSE)+VLOOKUP(Opv.kohd.[[#This Row],[Y-tunnus]],#REF!,COLUMN(#REF!),FALSE),0)</f>
        <v>0</v>
      </c>
      <c r="T102" s="210">
        <f>IFERROR(VLOOKUP(Opv.kohd.[[#This Row],[Y-tunnus]],#REF!,COLUMN(#REF!),FALSE)+VLOOKUP(Opv.kohd.[[#This Row],[Y-tunnus]],#REF!,COLUMN(#REF!),FALSE),0)</f>
        <v>0</v>
      </c>
      <c r="U10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02" s="210">
        <f>Opv.kohd.[[#This Row],[Kohdentamat-tomat 2]]+Opv.kohd.[[#This Row],[Kohdentamaton työvoima-koulutus 2]]+Opv.kohd.[[#This Row],[Maahan-muuttajien koulutus 2]]+Opv.kohd.[[#This Row],[Lisätalousarvioiden perusteella jaetut 2]]</f>
        <v>0</v>
      </c>
      <c r="W102" s="210">
        <f>Opv.kohd.[[#This Row],[Kohdentamat-tomat 2]]-(Opv.kohd.[[#This Row],[Järjestämisluvan mukaiset 1]]+Opv.kohd.[[#This Row],[Kohdentamat-tomat 1]]+Opv.kohd.[[#This Row],[Nuorisotyöt. väh. ja osaamistarp. vast., muu kuin työvoima-koulutus 1]]+Opv.kohd.[[#This Row],[Talousarvion perusteella kohdentamattomat]])</f>
        <v>0</v>
      </c>
      <c r="X102" s="210">
        <f>Opv.kohd.[[#This Row],[Kohdentamaton työvoima-koulutus 2]]-(Opv.kohd.[[#This Row],[Työvoima-koulutus 1]]+Opv.kohd.[[#This Row],[Nuorisotyöt. väh. ja osaamistarp. vast., työvoima-koulutus 1]]+Opv.kohd.[[#This Row],[Talousarvion perusteella työvoimakoulutus 1]])</f>
        <v>0</v>
      </c>
      <c r="Y102" s="210">
        <f>Opv.kohd.[[#This Row],[Maahan-muuttajien koulutus 2]]-Opv.kohd.[[#This Row],[Maahan-muuttajien koulutus 1]]</f>
        <v>0</v>
      </c>
      <c r="Z102" s="210">
        <f>Opv.kohd.[[#This Row],[Lisätalousarvioiden perusteella jaetut 2]]-Opv.kohd.[[#This Row],[Lisätalousarvioiden perusteella]]</f>
        <v>0</v>
      </c>
      <c r="AA102" s="210">
        <f>Opv.kohd.[[#This Row],[Toteutuneet opiskelijavuodet yhteensä 2]]-Opv.kohd.[[#This Row],[Vuoden 2018 tavoitteelliset opiskelijavuodet yhteensä 1]]</f>
        <v>0</v>
      </c>
      <c r="AB102" s="207">
        <f>IFERROR(VLOOKUP(Opv.kohd.[[#This Row],[Y-tunnus]],#REF!,3,FALSE),0)</f>
        <v>0</v>
      </c>
      <c r="AC102" s="207">
        <f>IFERROR(VLOOKUP(Opv.kohd.[[#This Row],[Y-tunnus]],#REF!,4,FALSE),0)</f>
        <v>0</v>
      </c>
      <c r="AD102" s="207">
        <f>IFERROR(VLOOKUP(Opv.kohd.[[#This Row],[Y-tunnus]],#REF!,5,FALSE),0)</f>
        <v>0</v>
      </c>
      <c r="AE102" s="207">
        <f>IFERROR(VLOOKUP(Opv.kohd.[[#This Row],[Y-tunnus]],#REF!,6,FALSE),0)</f>
        <v>0</v>
      </c>
      <c r="AF102" s="207">
        <f>IFERROR(VLOOKUP(Opv.kohd.[[#This Row],[Y-tunnus]],#REF!,7,FALSE),0)</f>
        <v>0</v>
      </c>
      <c r="AG102" s="207">
        <f>IFERROR(VLOOKUP(Opv.kohd.[[#This Row],[Y-tunnus]],#REF!,8,FALSE),0)</f>
        <v>0</v>
      </c>
      <c r="AH102" s="207">
        <f>IFERROR(VLOOKUP(Opv.kohd.[[#This Row],[Y-tunnus]],#REF!,9,FALSE),0)</f>
        <v>0</v>
      </c>
      <c r="AI102" s="207">
        <f>IFERROR(VLOOKUP(Opv.kohd.[[#This Row],[Y-tunnus]],#REF!,10,FALSE),0)</f>
        <v>0</v>
      </c>
      <c r="AJ102" s="204">
        <f>Opv.kohd.[[#This Row],[Järjestämisluvan mukaiset 4]]-Opv.kohd.[[#This Row],[Järjestämisluvan mukaiset 1]]</f>
        <v>0</v>
      </c>
      <c r="AK102" s="204">
        <f>Opv.kohd.[[#This Row],[Kohdentamat-tomat 4]]-Opv.kohd.[[#This Row],[Kohdentamat-tomat 1]]</f>
        <v>0</v>
      </c>
      <c r="AL102" s="204">
        <f>Opv.kohd.[[#This Row],[Työvoima-koulutus 4]]-Opv.kohd.[[#This Row],[Työvoima-koulutus 1]]</f>
        <v>0</v>
      </c>
      <c r="AM102" s="204">
        <f>Opv.kohd.[[#This Row],[Maahan-muuttajien koulutus 4]]-Opv.kohd.[[#This Row],[Maahan-muuttajien koulutus 1]]</f>
        <v>0</v>
      </c>
      <c r="AN102" s="204">
        <f>Opv.kohd.[[#This Row],[Nuorisotyöt. väh. ja osaamistarp. vast., muu kuin työvoima-koulutus 4]]-Opv.kohd.[[#This Row],[Nuorisotyöt. väh. ja osaamistarp. vast., muu kuin työvoima-koulutus 1]]</f>
        <v>0</v>
      </c>
      <c r="AO102" s="204">
        <f>Opv.kohd.[[#This Row],[Nuorisotyöt. väh. ja osaamistarp. vast., työvoima-koulutus 4]]-Opv.kohd.[[#This Row],[Nuorisotyöt. väh. ja osaamistarp. vast., työvoima-koulutus 1]]</f>
        <v>0</v>
      </c>
      <c r="AP102" s="204">
        <f>Opv.kohd.[[#This Row],[Yhteensä 4]]-Opv.kohd.[[#This Row],[Yhteensä  1]]</f>
        <v>0</v>
      </c>
      <c r="AQ102" s="204">
        <f>Opv.kohd.[[#This Row],[Ensikertaisella suoritepäätöksellä jaetut tavoitteelliset opiskelijavuodet yhteensä 4]]-Opv.kohd.[[#This Row],[Ensikertaisella suoritepäätöksellä jaetut tavoitteelliset opiskelijavuodet yhteensä 1]]</f>
        <v>0</v>
      </c>
      <c r="AR102" s="208">
        <f>IFERROR(Opv.kohd.[[#This Row],[Järjestämisluvan mukaiset 5]]/Opv.kohd.[[#This Row],[Järjestämisluvan mukaiset 4]],0)</f>
        <v>0</v>
      </c>
      <c r="AS102" s="208">
        <f>IFERROR(Opv.kohd.[[#This Row],[Kohdentamat-tomat 5]]/Opv.kohd.[[#This Row],[Kohdentamat-tomat 4]],0)</f>
        <v>0</v>
      </c>
      <c r="AT102" s="208">
        <f>IFERROR(Opv.kohd.[[#This Row],[Työvoima-koulutus 5]]/Opv.kohd.[[#This Row],[Työvoima-koulutus 4]],0)</f>
        <v>0</v>
      </c>
      <c r="AU102" s="208">
        <f>IFERROR(Opv.kohd.[[#This Row],[Maahan-muuttajien koulutus 5]]/Opv.kohd.[[#This Row],[Maahan-muuttajien koulutus 4]],0)</f>
        <v>0</v>
      </c>
      <c r="AV102" s="208">
        <f>IFERROR(Opv.kohd.[[#This Row],[Nuorisotyöt. väh. ja osaamistarp. vast., muu kuin työvoima-koulutus 5]]/Opv.kohd.[[#This Row],[Nuorisotyöt. väh. ja osaamistarp. vast., muu kuin työvoima-koulutus 4]],0)</f>
        <v>0</v>
      </c>
      <c r="AW102" s="208">
        <f>IFERROR(Opv.kohd.[[#This Row],[Nuorisotyöt. väh. ja osaamistarp. vast., työvoima-koulutus 5]]/Opv.kohd.[[#This Row],[Nuorisotyöt. väh. ja osaamistarp. vast., työvoima-koulutus 4]],0)</f>
        <v>0</v>
      </c>
      <c r="AX102" s="208">
        <f>IFERROR(Opv.kohd.[[#This Row],[Yhteensä 5]]/Opv.kohd.[[#This Row],[Yhteensä 4]],0)</f>
        <v>0</v>
      </c>
      <c r="AY102" s="208">
        <f>IFERROR(Opv.kohd.[[#This Row],[Ensikertaisella suoritepäätöksellä jaetut tavoitteelliset opiskelijavuodet yhteensä 5]]/Opv.kohd.[[#This Row],[Ensikertaisella suoritepäätöksellä jaetut tavoitteelliset opiskelijavuodet yhteensä 4]],0)</f>
        <v>0</v>
      </c>
      <c r="AZ102" s="207">
        <f>Opv.kohd.[[#This Row],[Yhteensä 7a]]-Opv.kohd.[[#This Row],[Työvoima-koulutus 7a]]</f>
        <v>0</v>
      </c>
      <c r="BA102" s="207">
        <f>IFERROR(VLOOKUP(Opv.kohd.[[#This Row],[Y-tunnus]],#REF!,COLUMN(#REF!),FALSE),0)</f>
        <v>0</v>
      </c>
      <c r="BB102" s="207">
        <f>IFERROR(VLOOKUP(Opv.kohd.[[#This Row],[Y-tunnus]],#REF!,COLUMN(#REF!),FALSE),0)</f>
        <v>0</v>
      </c>
      <c r="BC102" s="207">
        <f>Opv.kohd.[[#This Row],[Muu kuin työvoima-koulutus 7c]]-Opv.kohd.[[#This Row],[Muu kuin työvoima-koulutus 7a]]</f>
        <v>0</v>
      </c>
      <c r="BD102" s="207">
        <f>Opv.kohd.[[#This Row],[Työvoima-koulutus 7c]]-Opv.kohd.[[#This Row],[Työvoima-koulutus 7a]]</f>
        <v>0</v>
      </c>
      <c r="BE102" s="207">
        <f>Opv.kohd.[[#This Row],[Yhteensä 7c]]-Opv.kohd.[[#This Row],[Yhteensä 7a]]</f>
        <v>0</v>
      </c>
      <c r="BF102" s="207">
        <f>Opv.kohd.[[#This Row],[Yhteensä 7c]]-Opv.kohd.[[#This Row],[Työvoima-koulutus 7c]]</f>
        <v>0</v>
      </c>
      <c r="BG102" s="207">
        <f>IFERROR(VLOOKUP(Opv.kohd.[[#This Row],[Y-tunnus]],#REF!,COLUMN(#REF!),FALSE),0)</f>
        <v>0</v>
      </c>
      <c r="BH102" s="207">
        <f>IFERROR(VLOOKUP(Opv.kohd.[[#This Row],[Y-tunnus]],#REF!,COLUMN(#REF!),FALSE),0)</f>
        <v>0</v>
      </c>
      <c r="BI102" s="207">
        <f>IFERROR(VLOOKUP(Opv.kohd.[[#This Row],[Y-tunnus]],#REF!,COLUMN(#REF!),FALSE),0)</f>
        <v>0</v>
      </c>
      <c r="BJ102" s="207">
        <f>IFERROR(VLOOKUP(Opv.kohd.[[#This Row],[Y-tunnus]],#REF!,COLUMN(#REF!),FALSE),0)</f>
        <v>0</v>
      </c>
      <c r="BK102" s="207">
        <f>Opv.kohd.[[#This Row],[Muu kuin työvoima-koulutus 7d]]+Opv.kohd.[[#This Row],[Työvoima-koulutus 7d]]</f>
        <v>0</v>
      </c>
      <c r="BL102" s="207">
        <f>Opv.kohd.[[#This Row],[Muu kuin työvoima-koulutus 7c]]-Opv.kohd.[[#This Row],[Muu kuin työvoima-koulutus 7d]]</f>
        <v>0</v>
      </c>
      <c r="BM102" s="207">
        <f>Opv.kohd.[[#This Row],[Työvoima-koulutus 7c]]-Opv.kohd.[[#This Row],[Työvoima-koulutus 7d]]</f>
        <v>0</v>
      </c>
      <c r="BN102" s="207">
        <f>Opv.kohd.[[#This Row],[Yhteensä 7c]]-Opv.kohd.[[#This Row],[Yhteensä 7d]]</f>
        <v>0</v>
      </c>
      <c r="BO102" s="207">
        <f>Opv.kohd.[[#This Row],[Muu kuin työvoima-koulutus 7e]]-(Opv.kohd.[[#This Row],[Järjestämisluvan mukaiset 4]]+Opv.kohd.[[#This Row],[Kohdentamat-tomat 4]]+Opv.kohd.[[#This Row],[Maahan-muuttajien koulutus 4]]+Opv.kohd.[[#This Row],[Nuorisotyöt. väh. ja osaamistarp. vast., muu kuin työvoima-koulutus 4]])</f>
        <v>0</v>
      </c>
      <c r="BP102" s="207">
        <f>Opv.kohd.[[#This Row],[Työvoima-koulutus 7e]]-(Opv.kohd.[[#This Row],[Työvoima-koulutus 4]]+Opv.kohd.[[#This Row],[Nuorisotyöt. väh. ja osaamistarp. vast., työvoima-koulutus 4]])</f>
        <v>0</v>
      </c>
      <c r="BQ102" s="207">
        <f>Opv.kohd.[[#This Row],[Yhteensä 7e]]-Opv.kohd.[[#This Row],[Ensikertaisella suoritepäätöksellä jaetut tavoitteelliset opiskelijavuodet yhteensä 4]]</f>
        <v>0</v>
      </c>
      <c r="BR102" s="263">
        <v>64</v>
      </c>
      <c r="BS102" s="263">
        <v>7</v>
      </c>
      <c r="BT102" s="263">
        <v>0</v>
      </c>
      <c r="BU102" s="263">
        <v>6</v>
      </c>
      <c r="BV102" s="263">
        <v>0</v>
      </c>
      <c r="BW102" s="263">
        <v>0</v>
      </c>
      <c r="BX102" s="263">
        <v>13</v>
      </c>
      <c r="BY102" s="263">
        <v>77</v>
      </c>
      <c r="BZ102" s="207">
        <f t="shared" si="17"/>
        <v>64</v>
      </c>
      <c r="CA102" s="207">
        <f t="shared" si="18"/>
        <v>7</v>
      </c>
      <c r="CB102" s="207">
        <f t="shared" si="19"/>
        <v>0</v>
      </c>
      <c r="CC102" s="207">
        <f t="shared" si="20"/>
        <v>6</v>
      </c>
      <c r="CD102" s="207">
        <f t="shared" si="21"/>
        <v>0</v>
      </c>
      <c r="CE102" s="207">
        <f t="shared" si="22"/>
        <v>0</v>
      </c>
      <c r="CF102" s="207">
        <f t="shared" si="23"/>
        <v>13</v>
      </c>
      <c r="CG102" s="207">
        <f t="shared" si="24"/>
        <v>77</v>
      </c>
      <c r="CH102" s="207">
        <f>Opv.kohd.[[#This Row],[Tavoitteelliset opiskelijavuodet yhteensä 9]]-Opv.kohd.[[#This Row],[Työvoima-koulutus 9]]-Opv.kohd.[[#This Row],[Nuorisotyöt. väh. ja osaamistarp. vast., työvoima-koulutus 9]]-Opv.kohd.[[#This Row],[Muu kuin työvoima-koulutus 7e]]</f>
        <v>77</v>
      </c>
      <c r="CI102" s="207">
        <f>(Opv.kohd.[[#This Row],[Työvoima-koulutus 9]]+Opv.kohd.[[#This Row],[Nuorisotyöt. väh. ja osaamistarp. vast., työvoima-koulutus 9]])-Opv.kohd.[[#This Row],[Työvoima-koulutus 7e]]</f>
        <v>0</v>
      </c>
      <c r="CJ102" s="207">
        <f>Opv.kohd.[[#This Row],[Tavoitteelliset opiskelijavuodet yhteensä 9]]-Opv.kohd.[[#This Row],[Yhteensä 7e]]</f>
        <v>77</v>
      </c>
      <c r="CK102" s="207">
        <f>Opv.kohd.[[#This Row],[Järjestämisluvan mukaiset 4]]+Opv.kohd.[[#This Row],[Järjestämisluvan mukaiset 13]]</f>
        <v>0</v>
      </c>
      <c r="CL102" s="207">
        <f>Opv.kohd.[[#This Row],[Kohdentamat-tomat 4]]+Opv.kohd.[[#This Row],[Kohdentamat-tomat 13]]</f>
        <v>0</v>
      </c>
      <c r="CM102" s="207">
        <f>Opv.kohd.[[#This Row],[Työvoima-koulutus 4]]+Opv.kohd.[[#This Row],[Työvoima-koulutus 13]]</f>
        <v>0</v>
      </c>
      <c r="CN102" s="207">
        <f>Opv.kohd.[[#This Row],[Maahan-muuttajien koulutus 4]]+Opv.kohd.[[#This Row],[Maahan-muuttajien koulutus 13]]</f>
        <v>0</v>
      </c>
      <c r="CO102" s="207">
        <f>Opv.kohd.[[#This Row],[Nuorisotyöt. väh. ja osaamistarp. vast., muu kuin työvoima-koulutus 4]]+Opv.kohd.[[#This Row],[Nuorisotyöt. väh. ja osaamistarp. vast., muu kuin työvoima-koulutus 13]]</f>
        <v>0</v>
      </c>
      <c r="CP102" s="207">
        <f>Opv.kohd.[[#This Row],[Nuorisotyöt. väh. ja osaamistarp. vast., työvoima-koulutus 4]]+Opv.kohd.[[#This Row],[Nuorisotyöt. väh. ja osaamistarp. vast., työvoima-koulutus 13]]</f>
        <v>0</v>
      </c>
      <c r="CQ102" s="207">
        <f>Opv.kohd.[[#This Row],[Yhteensä 4]]+Opv.kohd.[[#This Row],[Yhteensä 13]]</f>
        <v>0</v>
      </c>
      <c r="CR102" s="207">
        <f>Opv.kohd.[[#This Row],[Ensikertaisella suoritepäätöksellä jaetut tavoitteelliset opiskelijavuodet yhteensä 4]]+Opv.kohd.[[#This Row],[Tavoitteelliset opiskelijavuodet yhteensä 13]]</f>
        <v>0</v>
      </c>
      <c r="CS102" s="120">
        <v>0</v>
      </c>
      <c r="CT102" s="120">
        <v>0</v>
      </c>
      <c r="CU102" s="120">
        <v>0</v>
      </c>
      <c r="CV102" s="120">
        <v>0</v>
      </c>
      <c r="CW102" s="120">
        <v>0</v>
      </c>
      <c r="CX102" s="120">
        <v>0</v>
      </c>
      <c r="CY102" s="120">
        <v>0</v>
      </c>
      <c r="CZ102" s="120">
        <v>0</v>
      </c>
      <c r="DA102" s="209">
        <f>IFERROR(Opv.kohd.[[#This Row],[Järjestämisluvan mukaiset 13]]/Opv.kohd.[[#This Row],[Järjestämisluvan mukaiset 12]],0)</f>
        <v>0</v>
      </c>
      <c r="DB102" s="209">
        <f>IFERROR(Opv.kohd.[[#This Row],[Kohdentamat-tomat 13]]/Opv.kohd.[[#This Row],[Kohdentamat-tomat 12]],0)</f>
        <v>0</v>
      </c>
      <c r="DC102" s="209">
        <f>IFERROR(Opv.kohd.[[#This Row],[Työvoima-koulutus 13]]/Opv.kohd.[[#This Row],[Työvoima-koulutus 12]],0)</f>
        <v>0</v>
      </c>
      <c r="DD102" s="209">
        <f>IFERROR(Opv.kohd.[[#This Row],[Maahan-muuttajien koulutus 13]]/Opv.kohd.[[#This Row],[Maahan-muuttajien koulutus 12]],0)</f>
        <v>0</v>
      </c>
      <c r="DE102" s="209">
        <f>IFERROR(Opv.kohd.[[#This Row],[Nuorisotyöt. väh. ja osaamistarp. vast., muu kuin työvoima-koulutus 13]]/Opv.kohd.[[#This Row],[Nuorisotyöt. väh. ja osaamistarp. vast., muu kuin työvoima-koulutus 12]],0)</f>
        <v>0</v>
      </c>
      <c r="DF102" s="209">
        <f>IFERROR(Opv.kohd.[[#This Row],[Nuorisotyöt. väh. ja osaamistarp. vast., työvoima-koulutus 13]]/Opv.kohd.[[#This Row],[Nuorisotyöt. väh. ja osaamistarp. vast., työvoima-koulutus 12]],0)</f>
        <v>0</v>
      </c>
      <c r="DG102" s="209">
        <f>IFERROR(Opv.kohd.[[#This Row],[Yhteensä 13]]/Opv.kohd.[[#This Row],[Yhteensä 12]],0)</f>
        <v>0</v>
      </c>
      <c r="DH102" s="209">
        <f>IFERROR(Opv.kohd.[[#This Row],[Tavoitteelliset opiskelijavuodet yhteensä 13]]/Opv.kohd.[[#This Row],[Tavoitteelliset opiskelijavuodet yhteensä 12]],0)</f>
        <v>0</v>
      </c>
      <c r="DI102" s="207">
        <f>Opv.kohd.[[#This Row],[Järjestämisluvan mukaiset 12]]-Opv.kohd.[[#This Row],[Järjestämisluvan mukaiset 9]]</f>
        <v>-64</v>
      </c>
      <c r="DJ102" s="207">
        <f>Opv.kohd.[[#This Row],[Kohdentamat-tomat 12]]-Opv.kohd.[[#This Row],[Kohdentamat-tomat 9]]</f>
        <v>-7</v>
      </c>
      <c r="DK102" s="207">
        <f>Opv.kohd.[[#This Row],[Työvoima-koulutus 12]]-Opv.kohd.[[#This Row],[Työvoima-koulutus 9]]</f>
        <v>0</v>
      </c>
      <c r="DL102" s="207">
        <f>Opv.kohd.[[#This Row],[Maahan-muuttajien koulutus 12]]-Opv.kohd.[[#This Row],[Maahan-muuttajien koulutus 9]]</f>
        <v>-6</v>
      </c>
      <c r="DM102" s="207">
        <f>Opv.kohd.[[#This Row],[Nuorisotyöt. väh. ja osaamistarp. vast., muu kuin työvoima-koulutus 12]]-Opv.kohd.[[#This Row],[Nuorisotyöt. väh. ja osaamistarp. vast., muu kuin työvoima-koulutus 9]]</f>
        <v>0</v>
      </c>
      <c r="DN102" s="207">
        <f>Opv.kohd.[[#This Row],[Nuorisotyöt. väh. ja osaamistarp. vast., työvoima-koulutus 12]]-Opv.kohd.[[#This Row],[Nuorisotyöt. väh. ja osaamistarp. vast., työvoima-koulutus 9]]</f>
        <v>0</v>
      </c>
      <c r="DO102" s="207">
        <f>Opv.kohd.[[#This Row],[Yhteensä 12]]-Opv.kohd.[[#This Row],[Yhteensä 9]]</f>
        <v>-13</v>
      </c>
      <c r="DP102" s="207">
        <f>Opv.kohd.[[#This Row],[Tavoitteelliset opiskelijavuodet yhteensä 12]]-Opv.kohd.[[#This Row],[Tavoitteelliset opiskelijavuodet yhteensä 9]]</f>
        <v>-77</v>
      </c>
      <c r="DQ102" s="209">
        <f>IFERROR(Opv.kohd.[[#This Row],[Järjestämisluvan mukaiset 15]]/Opv.kohd.[[#This Row],[Järjestämisluvan mukaiset 9]],0)</f>
        <v>-1</v>
      </c>
      <c r="DR102" s="209">
        <f t="shared" si="25"/>
        <v>0</v>
      </c>
      <c r="DS102" s="209">
        <f t="shared" si="26"/>
        <v>0</v>
      </c>
      <c r="DT102" s="209">
        <f t="shared" si="27"/>
        <v>0</v>
      </c>
      <c r="DU102" s="209">
        <f t="shared" si="28"/>
        <v>0</v>
      </c>
      <c r="DV102" s="209">
        <f t="shared" si="29"/>
        <v>0</v>
      </c>
      <c r="DW102" s="209">
        <f t="shared" si="30"/>
        <v>0</v>
      </c>
      <c r="DX102" s="209">
        <f t="shared" si="31"/>
        <v>0</v>
      </c>
    </row>
    <row r="103" spans="1:128" x14ac:dyDescent="0.25">
      <c r="A103" s="204" t="e">
        <f>IF(INDEX(#REF!,ROW(103:103)-1,1)=0,"",INDEX(#REF!,ROW(103:103)-1,1))</f>
        <v>#REF!</v>
      </c>
      <c r="B103" s="205" t="str">
        <f>IFERROR(VLOOKUP(Opv.kohd.[[#This Row],[Y-tunnus]],'0 Järjestäjätiedot'!$A:$H,2,FALSE),"")</f>
        <v/>
      </c>
      <c r="C103" s="204" t="str">
        <f>IFERROR(VLOOKUP(Opv.kohd.[[#This Row],[Y-tunnus]],'0 Järjestäjätiedot'!$A:$H,COLUMN('0 Järjestäjätiedot'!D:D),FALSE),"")</f>
        <v/>
      </c>
      <c r="D103" s="204" t="str">
        <f>IFERROR(VLOOKUP(Opv.kohd.[[#This Row],[Y-tunnus]],'0 Järjestäjätiedot'!$A:$H,COLUMN('0 Järjestäjätiedot'!H:H),FALSE),"")</f>
        <v/>
      </c>
      <c r="E103" s="204">
        <f>IFERROR(VLOOKUP(Opv.kohd.[[#This Row],[Y-tunnus]],#REF!,COLUMN(#REF!),FALSE),0)</f>
        <v>0</v>
      </c>
      <c r="F103" s="204">
        <f>IFERROR(VLOOKUP(Opv.kohd.[[#This Row],[Y-tunnus]],#REF!,COLUMN(#REF!),FALSE),0)</f>
        <v>0</v>
      </c>
      <c r="G103" s="204">
        <f>IFERROR(VLOOKUP(Opv.kohd.[[#This Row],[Y-tunnus]],#REF!,COLUMN(#REF!),FALSE),0)</f>
        <v>0</v>
      </c>
      <c r="H103" s="204">
        <f>IFERROR(VLOOKUP(Opv.kohd.[[#This Row],[Y-tunnus]],#REF!,COLUMN(#REF!),FALSE),0)</f>
        <v>0</v>
      </c>
      <c r="I103" s="204">
        <f>IFERROR(VLOOKUP(Opv.kohd.[[#This Row],[Y-tunnus]],#REF!,COLUMN(#REF!),FALSE),0)</f>
        <v>0</v>
      </c>
      <c r="J103" s="204">
        <f>IFERROR(VLOOKUP(Opv.kohd.[[#This Row],[Y-tunnus]],#REF!,COLUMN(#REF!),FALSE),0)</f>
        <v>0</v>
      </c>
      <c r="K10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03" s="204">
        <f>Opv.kohd.[[#This Row],[Järjestämisluvan mukaiset 1]]+Opv.kohd.[[#This Row],[Yhteensä  1]]</f>
        <v>0</v>
      </c>
      <c r="M103" s="204">
        <f>IFERROR(VLOOKUP(Opv.kohd.[[#This Row],[Y-tunnus]],#REF!,COLUMN(#REF!),FALSE),0)</f>
        <v>0</v>
      </c>
      <c r="N103" s="204">
        <f>IFERROR(VLOOKUP(Opv.kohd.[[#This Row],[Y-tunnus]],#REF!,COLUMN(#REF!),FALSE),0)</f>
        <v>0</v>
      </c>
      <c r="O103" s="204">
        <f>IFERROR(VLOOKUP(Opv.kohd.[[#This Row],[Y-tunnus]],#REF!,COLUMN(#REF!),FALSE)+VLOOKUP(Opv.kohd.[[#This Row],[Y-tunnus]],#REF!,COLUMN(#REF!),FALSE),0)</f>
        <v>0</v>
      </c>
      <c r="P103" s="204">
        <f>Opv.kohd.[[#This Row],[Talousarvion perusteella kohdentamattomat]]+Opv.kohd.[[#This Row],[Talousarvion perusteella työvoimakoulutus 1]]+Opv.kohd.[[#This Row],[Lisätalousarvioiden perusteella]]</f>
        <v>0</v>
      </c>
      <c r="Q103" s="204">
        <f>IFERROR(VLOOKUP(Opv.kohd.[[#This Row],[Y-tunnus]],#REF!,COLUMN(#REF!),FALSE),0)</f>
        <v>0</v>
      </c>
      <c r="R103" s="210">
        <f>IFERROR(VLOOKUP(Opv.kohd.[[#This Row],[Y-tunnus]],#REF!,COLUMN(#REF!),FALSE)-(Opv.kohd.[[#This Row],[Kohdentamaton työvoima-koulutus 2]]+Opv.kohd.[[#This Row],[Maahan-muuttajien koulutus 2]]+Opv.kohd.[[#This Row],[Lisätalousarvioiden perusteella jaetut 2]]),0)</f>
        <v>0</v>
      </c>
      <c r="S103" s="210">
        <f>IFERROR(VLOOKUP(Opv.kohd.[[#This Row],[Y-tunnus]],#REF!,COLUMN(#REF!),FALSE)+VLOOKUP(Opv.kohd.[[#This Row],[Y-tunnus]],#REF!,COLUMN(#REF!),FALSE),0)</f>
        <v>0</v>
      </c>
      <c r="T103" s="210">
        <f>IFERROR(VLOOKUP(Opv.kohd.[[#This Row],[Y-tunnus]],#REF!,COLUMN(#REF!),FALSE)+VLOOKUP(Opv.kohd.[[#This Row],[Y-tunnus]],#REF!,COLUMN(#REF!),FALSE),0)</f>
        <v>0</v>
      </c>
      <c r="U10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03" s="210">
        <f>Opv.kohd.[[#This Row],[Kohdentamat-tomat 2]]+Opv.kohd.[[#This Row],[Kohdentamaton työvoima-koulutus 2]]+Opv.kohd.[[#This Row],[Maahan-muuttajien koulutus 2]]+Opv.kohd.[[#This Row],[Lisätalousarvioiden perusteella jaetut 2]]</f>
        <v>0</v>
      </c>
      <c r="W103" s="210">
        <f>Opv.kohd.[[#This Row],[Kohdentamat-tomat 2]]-(Opv.kohd.[[#This Row],[Järjestämisluvan mukaiset 1]]+Opv.kohd.[[#This Row],[Kohdentamat-tomat 1]]+Opv.kohd.[[#This Row],[Nuorisotyöt. väh. ja osaamistarp. vast., muu kuin työvoima-koulutus 1]]+Opv.kohd.[[#This Row],[Talousarvion perusteella kohdentamattomat]])</f>
        <v>0</v>
      </c>
      <c r="X103" s="210">
        <f>Opv.kohd.[[#This Row],[Kohdentamaton työvoima-koulutus 2]]-(Opv.kohd.[[#This Row],[Työvoima-koulutus 1]]+Opv.kohd.[[#This Row],[Nuorisotyöt. väh. ja osaamistarp. vast., työvoima-koulutus 1]]+Opv.kohd.[[#This Row],[Talousarvion perusteella työvoimakoulutus 1]])</f>
        <v>0</v>
      </c>
      <c r="Y103" s="210">
        <f>Opv.kohd.[[#This Row],[Maahan-muuttajien koulutus 2]]-Opv.kohd.[[#This Row],[Maahan-muuttajien koulutus 1]]</f>
        <v>0</v>
      </c>
      <c r="Z103" s="210">
        <f>Opv.kohd.[[#This Row],[Lisätalousarvioiden perusteella jaetut 2]]-Opv.kohd.[[#This Row],[Lisätalousarvioiden perusteella]]</f>
        <v>0</v>
      </c>
      <c r="AA103" s="210">
        <f>Opv.kohd.[[#This Row],[Toteutuneet opiskelijavuodet yhteensä 2]]-Opv.kohd.[[#This Row],[Vuoden 2018 tavoitteelliset opiskelijavuodet yhteensä 1]]</f>
        <v>0</v>
      </c>
      <c r="AB103" s="207">
        <f>IFERROR(VLOOKUP(Opv.kohd.[[#This Row],[Y-tunnus]],#REF!,3,FALSE),0)</f>
        <v>0</v>
      </c>
      <c r="AC103" s="207">
        <f>IFERROR(VLOOKUP(Opv.kohd.[[#This Row],[Y-tunnus]],#REF!,4,FALSE),0)</f>
        <v>0</v>
      </c>
      <c r="AD103" s="207">
        <f>IFERROR(VLOOKUP(Opv.kohd.[[#This Row],[Y-tunnus]],#REF!,5,FALSE),0)</f>
        <v>0</v>
      </c>
      <c r="AE103" s="207">
        <f>IFERROR(VLOOKUP(Opv.kohd.[[#This Row],[Y-tunnus]],#REF!,6,FALSE),0)</f>
        <v>0</v>
      </c>
      <c r="AF103" s="207">
        <f>IFERROR(VLOOKUP(Opv.kohd.[[#This Row],[Y-tunnus]],#REF!,7,FALSE),0)</f>
        <v>0</v>
      </c>
      <c r="AG103" s="207">
        <f>IFERROR(VLOOKUP(Opv.kohd.[[#This Row],[Y-tunnus]],#REF!,8,FALSE),0)</f>
        <v>0</v>
      </c>
      <c r="AH103" s="207">
        <f>IFERROR(VLOOKUP(Opv.kohd.[[#This Row],[Y-tunnus]],#REF!,9,FALSE),0)</f>
        <v>0</v>
      </c>
      <c r="AI103" s="207">
        <f>IFERROR(VLOOKUP(Opv.kohd.[[#This Row],[Y-tunnus]],#REF!,10,FALSE),0)</f>
        <v>0</v>
      </c>
      <c r="AJ103" s="204">
        <f>Opv.kohd.[[#This Row],[Järjestämisluvan mukaiset 4]]-Opv.kohd.[[#This Row],[Järjestämisluvan mukaiset 1]]</f>
        <v>0</v>
      </c>
      <c r="AK103" s="204">
        <f>Opv.kohd.[[#This Row],[Kohdentamat-tomat 4]]-Opv.kohd.[[#This Row],[Kohdentamat-tomat 1]]</f>
        <v>0</v>
      </c>
      <c r="AL103" s="204">
        <f>Opv.kohd.[[#This Row],[Työvoima-koulutus 4]]-Opv.kohd.[[#This Row],[Työvoima-koulutus 1]]</f>
        <v>0</v>
      </c>
      <c r="AM103" s="204">
        <f>Opv.kohd.[[#This Row],[Maahan-muuttajien koulutus 4]]-Opv.kohd.[[#This Row],[Maahan-muuttajien koulutus 1]]</f>
        <v>0</v>
      </c>
      <c r="AN103" s="204">
        <f>Opv.kohd.[[#This Row],[Nuorisotyöt. väh. ja osaamistarp. vast., muu kuin työvoima-koulutus 4]]-Opv.kohd.[[#This Row],[Nuorisotyöt. väh. ja osaamistarp. vast., muu kuin työvoima-koulutus 1]]</f>
        <v>0</v>
      </c>
      <c r="AO103" s="204">
        <f>Opv.kohd.[[#This Row],[Nuorisotyöt. väh. ja osaamistarp. vast., työvoima-koulutus 4]]-Opv.kohd.[[#This Row],[Nuorisotyöt. väh. ja osaamistarp. vast., työvoima-koulutus 1]]</f>
        <v>0</v>
      </c>
      <c r="AP103" s="204">
        <f>Opv.kohd.[[#This Row],[Yhteensä 4]]-Opv.kohd.[[#This Row],[Yhteensä  1]]</f>
        <v>0</v>
      </c>
      <c r="AQ103" s="204">
        <f>Opv.kohd.[[#This Row],[Ensikertaisella suoritepäätöksellä jaetut tavoitteelliset opiskelijavuodet yhteensä 4]]-Opv.kohd.[[#This Row],[Ensikertaisella suoritepäätöksellä jaetut tavoitteelliset opiskelijavuodet yhteensä 1]]</f>
        <v>0</v>
      </c>
      <c r="AR103" s="208">
        <f>IFERROR(Opv.kohd.[[#This Row],[Järjestämisluvan mukaiset 5]]/Opv.kohd.[[#This Row],[Järjestämisluvan mukaiset 4]],0)</f>
        <v>0</v>
      </c>
      <c r="AS103" s="208">
        <f>IFERROR(Opv.kohd.[[#This Row],[Kohdentamat-tomat 5]]/Opv.kohd.[[#This Row],[Kohdentamat-tomat 4]],0)</f>
        <v>0</v>
      </c>
      <c r="AT103" s="208">
        <f>IFERROR(Opv.kohd.[[#This Row],[Työvoima-koulutus 5]]/Opv.kohd.[[#This Row],[Työvoima-koulutus 4]],0)</f>
        <v>0</v>
      </c>
      <c r="AU103" s="208">
        <f>IFERROR(Opv.kohd.[[#This Row],[Maahan-muuttajien koulutus 5]]/Opv.kohd.[[#This Row],[Maahan-muuttajien koulutus 4]],0)</f>
        <v>0</v>
      </c>
      <c r="AV103" s="208">
        <f>IFERROR(Opv.kohd.[[#This Row],[Nuorisotyöt. väh. ja osaamistarp. vast., muu kuin työvoima-koulutus 5]]/Opv.kohd.[[#This Row],[Nuorisotyöt. väh. ja osaamistarp. vast., muu kuin työvoima-koulutus 4]],0)</f>
        <v>0</v>
      </c>
      <c r="AW103" s="208">
        <f>IFERROR(Opv.kohd.[[#This Row],[Nuorisotyöt. väh. ja osaamistarp. vast., työvoima-koulutus 5]]/Opv.kohd.[[#This Row],[Nuorisotyöt. väh. ja osaamistarp. vast., työvoima-koulutus 4]],0)</f>
        <v>0</v>
      </c>
      <c r="AX103" s="208">
        <f>IFERROR(Opv.kohd.[[#This Row],[Yhteensä 5]]/Opv.kohd.[[#This Row],[Yhteensä 4]],0)</f>
        <v>0</v>
      </c>
      <c r="AY103" s="208">
        <f>IFERROR(Opv.kohd.[[#This Row],[Ensikertaisella suoritepäätöksellä jaetut tavoitteelliset opiskelijavuodet yhteensä 5]]/Opv.kohd.[[#This Row],[Ensikertaisella suoritepäätöksellä jaetut tavoitteelliset opiskelijavuodet yhteensä 4]],0)</f>
        <v>0</v>
      </c>
      <c r="AZ103" s="207">
        <f>Opv.kohd.[[#This Row],[Yhteensä 7a]]-Opv.kohd.[[#This Row],[Työvoima-koulutus 7a]]</f>
        <v>0</v>
      </c>
      <c r="BA103" s="207">
        <f>IFERROR(VLOOKUP(Opv.kohd.[[#This Row],[Y-tunnus]],#REF!,COLUMN(#REF!),FALSE),0)</f>
        <v>0</v>
      </c>
      <c r="BB103" s="207">
        <f>IFERROR(VLOOKUP(Opv.kohd.[[#This Row],[Y-tunnus]],#REF!,COLUMN(#REF!),FALSE),0)</f>
        <v>0</v>
      </c>
      <c r="BC103" s="207">
        <f>Opv.kohd.[[#This Row],[Muu kuin työvoima-koulutus 7c]]-Opv.kohd.[[#This Row],[Muu kuin työvoima-koulutus 7a]]</f>
        <v>0</v>
      </c>
      <c r="BD103" s="207">
        <f>Opv.kohd.[[#This Row],[Työvoima-koulutus 7c]]-Opv.kohd.[[#This Row],[Työvoima-koulutus 7a]]</f>
        <v>0</v>
      </c>
      <c r="BE103" s="207">
        <f>Opv.kohd.[[#This Row],[Yhteensä 7c]]-Opv.kohd.[[#This Row],[Yhteensä 7a]]</f>
        <v>0</v>
      </c>
      <c r="BF103" s="207">
        <f>Opv.kohd.[[#This Row],[Yhteensä 7c]]-Opv.kohd.[[#This Row],[Työvoima-koulutus 7c]]</f>
        <v>0</v>
      </c>
      <c r="BG103" s="207">
        <f>IFERROR(VLOOKUP(Opv.kohd.[[#This Row],[Y-tunnus]],#REF!,COLUMN(#REF!),FALSE),0)</f>
        <v>0</v>
      </c>
      <c r="BH103" s="207">
        <f>IFERROR(VLOOKUP(Opv.kohd.[[#This Row],[Y-tunnus]],#REF!,COLUMN(#REF!),FALSE),0)</f>
        <v>0</v>
      </c>
      <c r="BI103" s="207">
        <f>IFERROR(VLOOKUP(Opv.kohd.[[#This Row],[Y-tunnus]],#REF!,COLUMN(#REF!),FALSE),0)</f>
        <v>0</v>
      </c>
      <c r="BJ103" s="207">
        <f>IFERROR(VLOOKUP(Opv.kohd.[[#This Row],[Y-tunnus]],#REF!,COLUMN(#REF!),FALSE),0)</f>
        <v>0</v>
      </c>
      <c r="BK103" s="207">
        <f>Opv.kohd.[[#This Row],[Muu kuin työvoima-koulutus 7d]]+Opv.kohd.[[#This Row],[Työvoima-koulutus 7d]]</f>
        <v>0</v>
      </c>
      <c r="BL103" s="207">
        <f>Opv.kohd.[[#This Row],[Muu kuin työvoima-koulutus 7c]]-Opv.kohd.[[#This Row],[Muu kuin työvoima-koulutus 7d]]</f>
        <v>0</v>
      </c>
      <c r="BM103" s="207">
        <f>Opv.kohd.[[#This Row],[Työvoima-koulutus 7c]]-Opv.kohd.[[#This Row],[Työvoima-koulutus 7d]]</f>
        <v>0</v>
      </c>
      <c r="BN103" s="207">
        <f>Opv.kohd.[[#This Row],[Yhteensä 7c]]-Opv.kohd.[[#This Row],[Yhteensä 7d]]</f>
        <v>0</v>
      </c>
      <c r="BO103" s="207">
        <f>Opv.kohd.[[#This Row],[Muu kuin työvoima-koulutus 7e]]-(Opv.kohd.[[#This Row],[Järjestämisluvan mukaiset 4]]+Opv.kohd.[[#This Row],[Kohdentamat-tomat 4]]+Opv.kohd.[[#This Row],[Maahan-muuttajien koulutus 4]]+Opv.kohd.[[#This Row],[Nuorisotyöt. väh. ja osaamistarp. vast., muu kuin työvoima-koulutus 4]])</f>
        <v>0</v>
      </c>
      <c r="BP103" s="207">
        <f>Opv.kohd.[[#This Row],[Työvoima-koulutus 7e]]-(Opv.kohd.[[#This Row],[Työvoima-koulutus 4]]+Opv.kohd.[[#This Row],[Nuorisotyöt. väh. ja osaamistarp. vast., työvoima-koulutus 4]])</f>
        <v>0</v>
      </c>
      <c r="BQ103" s="207">
        <f>Opv.kohd.[[#This Row],[Yhteensä 7e]]-Opv.kohd.[[#This Row],[Ensikertaisella suoritepäätöksellä jaetut tavoitteelliset opiskelijavuodet yhteensä 4]]</f>
        <v>0</v>
      </c>
      <c r="BR103" s="263">
        <v>4815</v>
      </c>
      <c r="BS103" s="263">
        <v>195</v>
      </c>
      <c r="BT103" s="263">
        <v>126</v>
      </c>
      <c r="BU103" s="263">
        <v>24</v>
      </c>
      <c r="BV103" s="263">
        <v>0</v>
      </c>
      <c r="BW103" s="263">
        <v>14</v>
      </c>
      <c r="BX103" s="263">
        <v>359</v>
      </c>
      <c r="BY103" s="263">
        <v>5174</v>
      </c>
      <c r="BZ103" s="207">
        <f t="shared" si="17"/>
        <v>4815</v>
      </c>
      <c r="CA103" s="207">
        <f t="shared" si="18"/>
        <v>195</v>
      </c>
      <c r="CB103" s="207">
        <f t="shared" si="19"/>
        <v>126</v>
      </c>
      <c r="CC103" s="207">
        <f t="shared" si="20"/>
        <v>24</v>
      </c>
      <c r="CD103" s="207">
        <f t="shared" si="21"/>
        <v>0</v>
      </c>
      <c r="CE103" s="207">
        <f t="shared" si="22"/>
        <v>14</v>
      </c>
      <c r="CF103" s="207">
        <f t="shared" si="23"/>
        <v>359</v>
      </c>
      <c r="CG103" s="207">
        <f t="shared" si="24"/>
        <v>5174</v>
      </c>
      <c r="CH103" s="207">
        <f>Opv.kohd.[[#This Row],[Tavoitteelliset opiskelijavuodet yhteensä 9]]-Opv.kohd.[[#This Row],[Työvoima-koulutus 9]]-Opv.kohd.[[#This Row],[Nuorisotyöt. väh. ja osaamistarp. vast., työvoima-koulutus 9]]-Opv.kohd.[[#This Row],[Muu kuin työvoima-koulutus 7e]]</f>
        <v>5034</v>
      </c>
      <c r="CI103" s="207">
        <f>(Opv.kohd.[[#This Row],[Työvoima-koulutus 9]]+Opv.kohd.[[#This Row],[Nuorisotyöt. väh. ja osaamistarp. vast., työvoima-koulutus 9]])-Opv.kohd.[[#This Row],[Työvoima-koulutus 7e]]</f>
        <v>140</v>
      </c>
      <c r="CJ103" s="207">
        <f>Opv.kohd.[[#This Row],[Tavoitteelliset opiskelijavuodet yhteensä 9]]-Opv.kohd.[[#This Row],[Yhteensä 7e]]</f>
        <v>5174</v>
      </c>
      <c r="CK103" s="207">
        <f>Opv.kohd.[[#This Row],[Järjestämisluvan mukaiset 4]]+Opv.kohd.[[#This Row],[Järjestämisluvan mukaiset 13]]</f>
        <v>0</v>
      </c>
      <c r="CL103" s="207">
        <f>Opv.kohd.[[#This Row],[Kohdentamat-tomat 4]]+Opv.kohd.[[#This Row],[Kohdentamat-tomat 13]]</f>
        <v>0</v>
      </c>
      <c r="CM103" s="207">
        <f>Opv.kohd.[[#This Row],[Työvoima-koulutus 4]]+Opv.kohd.[[#This Row],[Työvoima-koulutus 13]]</f>
        <v>0</v>
      </c>
      <c r="CN103" s="207">
        <f>Opv.kohd.[[#This Row],[Maahan-muuttajien koulutus 4]]+Opv.kohd.[[#This Row],[Maahan-muuttajien koulutus 13]]</f>
        <v>0</v>
      </c>
      <c r="CO103" s="207">
        <f>Opv.kohd.[[#This Row],[Nuorisotyöt. väh. ja osaamistarp. vast., muu kuin työvoima-koulutus 4]]+Opv.kohd.[[#This Row],[Nuorisotyöt. väh. ja osaamistarp. vast., muu kuin työvoima-koulutus 13]]</f>
        <v>0</v>
      </c>
      <c r="CP103" s="207">
        <f>Opv.kohd.[[#This Row],[Nuorisotyöt. väh. ja osaamistarp. vast., työvoima-koulutus 4]]+Opv.kohd.[[#This Row],[Nuorisotyöt. väh. ja osaamistarp. vast., työvoima-koulutus 13]]</f>
        <v>0</v>
      </c>
      <c r="CQ103" s="207">
        <f>Opv.kohd.[[#This Row],[Yhteensä 4]]+Opv.kohd.[[#This Row],[Yhteensä 13]]</f>
        <v>0</v>
      </c>
      <c r="CR103" s="207">
        <f>Opv.kohd.[[#This Row],[Ensikertaisella suoritepäätöksellä jaetut tavoitteelliset opiskelijavuodet yhteensä 4]]+Opv.kohd.[[#This Row],[Tavoitteelliset opiskelijavuodet yhteensä 13]]</f>
        <v>0</v>
      </c>
      <c r="CS103" s="120">
        <v>0</v>
      </c>
      <c r="CT103" s="120">
        <v>0</v>
      </c>
      <c r="CU103" s="120">
        <v>0</v>
      </c>
      <c r="CV103" s="120">
        <v>0</v>
      </c>
      <c r="CW103" s="120">
        <v>0</v>
      </c>
      <c r="CX103" s="120">
        <v>0</v>
      </c>
      <c r="CY103" s="120">
        <v>0</v>
      </c>
      <c r="CZ103" s="120">
        <v>0</v>
      </c>
      <c r="DA103" s="209">
        <f>IFERROR(Opv.kohd.[[#This Row],[Järjestämisluvan mukaiset 13]]/Opv.kohd.[[#This Row],[Järjestämisluvan mukaiset 12]],0)</f>
        <v>0</v>
      </c>
      <c r="DB103" s="209">
        <f>IFERROR(Opv.kohd.[[#This Row],[Kohdentamat-tomat 13]]/Opv.kohd.[[#This Row],[Kohdentamat-tomat 12]],0)</f>
        <v>0</v>
      </c>
      <c r="DC103" s="209">
        <f>IFERROR(Opv.kohd.[[#This Row],[Työvoima-koulutus 13]]/Opv.kohd.[[#This Row],[Työvoima-koulutus 12]],0)</f>
        <v>0</v>
      </c>
      <c r="DD103" s="209">
        <f>IFERROR(Opv.kohd.[[#This Row],[Maahan-muuttajien koulutus 13]]/Opv.kohd.[[#This Row],[Maahan-muuttajien koulutus 12]],0)</f>
        <v>0</v>
      </c>
      <c r="DE103" s="209">
        <f>IFERROR(Opv.kohd.[[#This Row],[Nuorisotyöt. väh. ja osaamistarp. vast., muu kuin työvoima-koulutus 13]]/Opv.kohd.[[#This Row],[Nuorisotyöt. väh. ja osaamistarp. vast., muu kuin työvoima-koulutus 12]],0)</f>
        <v>0</v>
      </c>
      <c r="DF103" s="209">
        <f>IFERROR(Opv.kohd.[[#This Row],[Nuorisotyöt. väh. ja osaamistarp. vast., työvoima-koulutus 13]]/Opv.kohd.[[#This Row],[Nuorisotyöt. väh. ja osaamistarp. vast., työvoima-koulutus 12]],0)</f>
        <v>0</v>
      </c>
      <c r="DG103" s="209">
        <f>IFERROR(Opv.kohd.[[#This Row],[Yhteensä 13]]/Opv.kohd.[[#This Row],[Yhteensä 12]],0)</f>
        <v>0</v>
      </c>
      <c r="DH103" s="209">
        <f>IFERROR(Opv.kohd.[[#This Row],[Tavoitteelliset opiskelijavuodet yhteensä 13]]/Opv.kohd.[[#This Row],[Tavoitteelliset opiskelijavuodet yhteensä 12]],0)</f>
        <v>0</v>
      </c>
      <c r="DI103" s="207">
        <f>Opv.kohd.[[#This Row],[Järjestämisluvan mukaiset 12]]-Opv.kohd.[[#This Row],[Järjestämisluvan mukaiset 9]]</f>
        <v>-4815</v>
      </c>
      <c r="DJ103" s="207">
        <f>Opv.kohd.[[#This Row],[Kohdentamat-tomat 12]]-Opv.kohd.[[#This Row],[Kohdentamat-tomat 9]]</f>
        <v>-195</v>
      </c>
      <c r="DK103" s="207">
        <f>Opv.kohd.[[#This Row],[Työvoima-koulutus 12]]-Opv.kohd.[[#This Row],[Työvoima-koulutus 9]]</f>
        <v>-126</v>
      </c>
      <c r="DL103" s="207">
        <f>Opv.kohd.[[#This Row],[Maahan-muuttajien koulutus 12]]-Opv.kohd.[[#This Row],[Maahan-muuttajien koulutus 9]]</f>
        <v>-24</v>
      </c>
      <c r="DM103" s="207">
        <f>Opv.kohd.[[#This Row],[Nuorisotyöt. väh. ja osaamistarp. vast., muu kuin työvoima-koulutus 12]]-Opv.kohd.[[#This Row],[Nuorisotyöt. väh. ja osaamistarp. vast., muu kuin työvoima-koulutus 9]]</f>
        <v>0</v>
      </c>
      <c r="DN103" s="207">
        <f>Opv.kohd.[[#This Row],[Nuorisotyöt. väh. ja osaamistarp. vast., työvoima-koulutus 12]]-Opv.kohd.[[#This Row],[Nuorisotyöt. väh. ja osaamistarp. vast., työvoima-koulutus 9]]</f>
        <v>-14</v>
      </c>
      <c r="DO103" s="207">
        <f>Opv.kohd.[[#This Row],[Yhteensä 12]]-Opv.kohd.[[#This Row],[Yhteensä 9]]</f>
        <v>-359</v>
      </c>
      <c r="DP103" s="207">
        <f>Opv.kohd.[[#This Row],[Tavoitteelliset opiskelijavuodet yhteensä 12]]-Opv.kohd.[[#This Row],[Tavoitteelliset opiskelijavuodet yhteensä 9]]</f>
        <v>-5174</v>
      </c>
      <c r="DQ103" s="209">
        <f>IFERROR(Opv.kohd.[[#This Row],[Järjestämisluvan mukaiset 15]]/Opv.kohd.[[#This Row],[Järjestämisluvan mukaiset 9]],0)</f>
        <v>-1</v>
      </c>
      <c r="DR103" s="209">
        <f t="shared" si="25"/>
        <v>0</v>
      </c>
      <c r="DS103" s="209">
        <f t="shared" si="26"/>
        <v>0</v>
      </c>
      <c r="DT103" s="209">
        <f t="shared" si="27"/>
        <v>0</v>
      </c>
      <c r="DU103" s="209">
        <f t="shared" si="28"/>
        <v>0</v>
      </c>
      <c r="DV103" s="209">
        <f t="shared" si="29"/>
        <v>0</v>
      </c>
      <c r="DW103" s="209">
        <f t="shared" si="30"/>
        <v>0</v>
      </c>
      <c r="DX103" s="209">
        <f t="shared" si="31"/>
        <v>0</v>
      </c>
    </row>
    <row r="104" spans="1:128" x14ac:dyDescent="0.25">
      <c r="A104" s="204" t="e">
        <f>IF(INDEX(#REF!,ROW(104:104)-1,1)=0,"",INDEX(#REF!,ROW(104:104)-1,1))</f>
        <v>#REF!</v>
      </c>
      <c r="B104" s="205" t="str">
        <f>IFERROR(VLOOKUP(Opv.kohd.[[#This Row],[Y-tunnus]],'0 Järjestäjätiedot'!$A:$H,2,FALSE),"")</f>
        <v/>
      </c>
      <c r="C104" s="204" t="str">
        <f>IFERROR(VLOOKUP(Opv.kohd.[[#This Row],[Y-tunnus]],'0 Järjestäjätiedot'!$A:$H,COLUMN('0 Järjestäjätiedot'!D:D),FALSE),"")</f>
        <v/>
      </c>
      <c r="D104" s="204" t="str">
        <f>IFERROR(VLOOKUP(Opv.kohd.[[#This Row],[Y-tunnus]],'0 Järjestäjätiedot'!$A:$H,COLUMN('0 Järjestäjätiedot'!H:H),FALSE),"")</f>
        <v/>
      </c>
      <c r="E104" s="204">
        <f>IFERROR(VLOOKUP(Opv.kohd.[[#This Row],[Y-tunnus]],#REF!,COLUMN(#REF!),FALSE),0)</f>
        <v>0</v>
      </c>
      <c r="F104" s="204">
        <f>IFERROR(VLOOKUP(Opv.kohd.[[#This Row],[Y-tunnus]],#REF!,COLUMN(#REF!),FALSE),0)</f>
        <v>0</v>
      </c>
      <c r="G104" s="204">
        <f>IFERROR(VLOOKUP(Opv.kohd.[[#This Row],[Y-tunnus]],#REF!,COLUMN(#REF!),FALSE),0)</f>
        <v>0</v>
      </c>
      <c r="H104" s="204">
        <f>IFERROR(VLOOKUP(Opv.kohd.[[#This Row],[Y-tunnus]],#REF!,COLUMN(#REF!),FALSE),0)</f>
        <v>0</v>
      </c>
      <c r="I104" s="204">
        <f>IFERROR(VLOOKUP(Opv.kohd.[[#This Row],[Y-tunnus]],#REF!,COLUMN(#REF!),FALSE),0)</f>
        <v>0</v>
      </c>
      <c r="J104" s="204">
        <f>IFERROR(VLOOKUP(Opv.kohd.[[#This Row],[Y-tunnus]],#REF!,COLUMN(#REF!),FALSE),0)</f>
        <v>0</v>
      </c>
      <c r="K10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04" s="204">
        <f>Opv.kohd.[[#This Row],[Järjestämisluvan mukaiset 1]]+Opv.kohd.[[#This Row],[Yhteensä  1]]</f>
        <v>0</v>
      </c>
      <c r="M104" s="204">
        <f>IFERROR(VLOOKUP(Opv.kohd.[[#This Row],[Y-tunnus]],#REF!,COLUMN(#REF!),FALSE),0)</f>
        <v>0</v>
      </c>
      <c r="N104" s="204">
        <f>IFERROR(VLOOKUP(Opv.kohd.[[#This Row],[Y-tunnus]],#REF!,COLUMN(#REF!),FALSE),0)</f>
        <v>0</v>
      </c>
      <c r="O104" s="204">
        <f>IFERROR(VLOOKUP(Opv.kohd.[[#This Row],[Y-tunnus]],#REF!,COLUMN(#REF!),FALSE)+VLOOKUP(Opv.kohd.[[#This Row],[Y-tunnus]],#REF!,COLUMN(#REF!),FALSE),0)</f>
        <v>0</v>
      </c>
      <c r="P104" s="204">
        <f>Opv.kohd.[[#This Row],[Talousarvion perusteella kohdentamattomat]]+Opv.kohd.[[#This Row],[Talousarvion perusteella työvoimakoulutus 1]]+Opv.kohd.[[#This Row],[Lisätalousarvioiden perusteella]]</f>
        <v>0</v>
      </c>
      <c r="Q104" s="204">
        <f>IFERROR(VLOOKUP(Opv.kohd.[[#This Row],[Y-tunnus]],#REF!,COLUMN(#REF!),FALSE),0)</f>
        <v>0</v>
      </c>
      <c r="R104" s="210">
        <f>IFERROR(VLOOKUP(Opv.kohd.[[#This Row],[Y-tunnus]],#REF!,COLUMN(#REF!),FALSE)-(Opv.kohd.[[#This Row],[Kohdentamaton työvoima-koulutus 2]]+Opv.kohd.[[#This Row],[Maahan-muuttajien koulutus 2]]+Opv.kohd.[[#This Row],[Lisätalousarvioiden perusteella jaetut 2]]),0)</f>
        <v>0</v>
      </c>
      <c r="S104" s="210">
        <f>IFERROR(VLOOKUP(Opv.kohd.[[#This Row],[Y-tunnus]],#REF!,COLUMN(#REF!),FALSE)+VLOOKUP(Opv.kohd.[[#This Row],[Y-tunnus]],#REF!,COLUMN(#REF!),FALSE),0)</f>
        <v>0</v>
      </c>
      <c r="T104" s="210">
        <f>IFERROR(VLOOKUP(Opv.kohd.[[#This Row],[Y-tunnus]],#REF!,COLUMN(#REF!),FALSE)+VLOOKUP(Opv.kohd.[[#This Row],[Y-tunnus]],#REF!,COLUMN(#REF!),FALSE),0)</f>
        <v>0</v>
      </c>
      <c r="U10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04" s="210">
        <f>Opv.kohd.[[#This Row],[Kohdentamat-tomat 2]]+Opv.kohd.[[#This Row],[Kohdentamaton työvoima-koulutus 2]]+Opv.kohd.[[#This Row],[Maahan-muuttajien koulutus 2]]+Opv.kohd.[[#This Row],[Lisätalousarvioiden perusteella jaetut 2]]</f>
        <v>0</v>
      </c>
      <c r="W104" s="210">
        <f>Opv.kohd.[[#This Row],[Kohdentamat-tomat 2]]-(Opv.kohd.[[#This Row],[Järjestämisluvan mukaiset 1]]+Opv.kohd.[[#This Row],[Kohdentamat-tomat 1]]+Opv.kohd.[[#This Row],[Nuorisotyöt. väh. ja osaamistarp. vast., muu kuin työvoima-koulutus 1]]+Opv.kohd.[[#This Row],[Talousarvion perusteella kohdentamattomat]])</f>
        <v>0</v>
      </c>
      <c r="X104" s="210">
        <f>Opv.kohd.[[#This Row],[Kohdentamaton työvoima-koulutus 2]]-(Opv.kohd.[[#This Row],[Työvoima-koulutus 1]]+Opv.kohd.[[#This Row],[Nuorisotyöt. väh. ja osaamistarp. vast., työvoima-koulutus 1]]+Opv.kohd.[[#This Row],[Talousarvion perusteella työvoimakoulutus 1]])</f>
        <v>0</v>
      </c>
      <c r="Y104" s="210">
        <f>Opv.kohd.[[#This Row],[Maahan-muuttajien koulutus 2]]-Opv.kohd.[[#This Row],[Maahan-muuttajien koulutus 1]]</f>
        <v>0</v>
      </c>
      <c r="Z104" s="210">
        <f>Opv.kohd.[[#This Row],[Lisätalousarvioiden perusteella jaetut 2]]-Opv.kohd.[[#This Row],[Lisätalousarvioiden perusteella]]</f>
        <v>0</v>
      </c>
      <c r="AA104" s="210">
        <f>Opv.kohd.[[#This Row],[Toteutuneet opiskelijavuodet yhteensä 2]]-Opv.kohd.[[#This Row],[Vuoden 2018 tavoitteelliset opiskelijavuodet yhteensä 1]]</f>
        <v>0</v>
      </c>
      <c r="AB104" s="207">
        <f>IFERROR(VLOOKUP(Opv.kohd.[[#This Row],[Y-tunnus]],#REF!,3,FALSE),0)</f>
        <v>0</v>
      </c>
      <c r="AC104" s="207">
        <f>IFERROR(VLOOKUP(Opv.kohd.[[#This Row],[Y-tunnus]],#REF!,4,FALSE),0)</f>
        <v>0</v>
      </c>
      <c r="AD104" s="207">
        <f>IFERROR(VLOOKUP(Opv.kohd.[[#This Row],[Y-tunnus]],#REF!,5,FALSE),0)</f>
        <v>0</v>
      </c>
      <c r="AE104" s="207">
        <f>IFERROR(VLOOKUP(Opv.kohd.[[#This Row],[Y-tunnus]],#REF!,6,FALSE),0)</f>
        <v>0</v>
      </c>
      <c r="AF104" s="207">
        <f>IFERROR(VLOOKUP(Opv.kohd.[[#This Row],[Y-tunnus]],#REF!,7,FALSE),0)</f>
        <v>0</v>
      </c>
      <c r="AG104" s="207">
        <f>IFERROR(VLOOKUP(Opv.kohd.[[#This Row],[Y-tunnus]],#REF!,8,FALSE),0)</f>
        <v>0</v>
      </c>
      <c r="AH104" s="207">
        <f>IFERROR(VLOOKUP(Opv.kohd.[[#This Row],[Y-tunnus]],#REF!,9,FALSE),0)</f>
        <v>0</v>
      </c>
      <c r="AI104" s="207">
        <f>IFERROR(VLOOKUP(Opv.kohd.[[#This Row],[Y-tunnus]],#REF!,10,FALSE),0)</f>
        <v>0</v>
      </c>
      <c r="AJ104" s="204">
        <f>Opv.kohd.[[#This Row],[Järjestämisluvan mukaiset 4]]-Opv.kohd.[[#This Row],[Järjestämisluvan mukaiset 1]]</f>
        <v>0</v>
      </c>
      <c r="AK104" s="204">
        <f>Opv.kohd.[[#This Row],[Kohdentamat-tomat 4]]-Opv.kohd.[[#This Row],[Kohdentamat-tomat 1]]</f>
        <v>0</v>
      </c>
      <c r="AL104" s="204">
        <f>Opv.kohd.[[#This Row],[Työvoima-koulutus 4]]-Opv.kohd.[[#This Row],[Työvoima-koulutus 1]]</f>
        <v>0</v>
      </c>
      <c r="AM104" s="204">
        <f>Opv.kohd.[[#This Row],[Maahan-muuttajien koulutus 4]]-Opv.kohd.[[#This Row],[Maahan-muuttajien koulutus 1]]</f>
        <v>0</v>
      </c>
      <c r="AN104" s="204">
        <f>Opv.kohd.[[#This Row],[Nuorisotyöt. väh. ja osaamistarp. vast., muu kuin työvoima-koulutus 4]]-Opv.kohd.[[#This Row],[Nuorisotyöt. väh. ja osaamistarp. vast., muu kuin työvoima-koulutus 1]]</f>
        <v>0</v>
      </c>
      <c r="AO104" s="204">
        <f>Opv.kohd.[[#This Row],[Nuorisotyöt. väh. ja osaamistarp. vast., työvoima-koulutus 4]]-Opv.kohd.[[#This Row],[Nuorisotyöt. väh. ja osaamistarp. vast., työvoima-koulutus 1]]</f>
        <v>0</v>
      </c>
      <c r="AP104" s="204">
        <f>Opv.kohd.[[#This Row],[Yhteensä 4]]-Opv.kohd.[[#This Row],[Yhteensä  1]]</f>
        <v>0</v>
      </c>
      <c r="AQ104" s="204">
        <f>Opv.kohd.[[#This Row],[Ensikertaisella suoritepäätöksellä jaetut tavoitteelliset opiskelijavuodet yhteensä 4]]-Opv.kohd.[[#This Row],[Ensikertaisella suoritepäätöksellä jaetut tavoitteelliset opiskelijavuodet yhteensä 1]]</f>
        <v>0</v>
      </c>
      <c r="AR104" s="208">
        <f>IFERROR(Opv.kohd.[[#This Row],[Järjestämisluvan mukaiset 5]]/Opv.kohd.[[#This Row],[Järjestämisluvan mukaiset 4]],0)</f>
        <v>0</v>
      </c>
      <c r="AS104" s="208">
        <f>IFERROR(Opv.kohd.[[#This Row],[Kohdentamat-tomat 5]]/Opv.kohd.[[#This Row],[Kohdentamat-tomat 4]],0)</f>
        <v>0</v>
      </c>
      <c r="AT104" s="208">
        <f>IFERROR(Opv.kohd.[[#This Row],[Työvoima-koulutus 5]]/Opv.kohd.[[#This Row],[Työvoima-koulutus 4]],0)</f>
        <v>0</v>
      </c>
      <c r="AU104" s="208">
        <f>IFERROR(Opv.kohd.[[#This Row],[Maahan-muuttajien koulutus 5]]/Opv.kohd.[[#This Row],[Maahan-muuttajien koulutus 4]],0)</f>
        <v>0</v>
      </c>
      <c r="AV104" s="208">
        <f>IFERROR(Opv.kohd.[[#This Row],[Nuorisotyöt. väh. ja osaamistarp. vast., muu kuin työvoima-koulutus 5]]/Opv.kohd.[[#This Row],[Nuorisotyöt. väh. ja osaamistarp. vast., muu kuin työvoima-koulutus 4]],0)</f>
        <v>0</v>
      </c>
      <c r="AW104" s="208">
        <f>IFERROR(Opv.kohd.[[#This Row],[Nuorisotyöt. väh. ja osaamistarp. vast., työvoima-koulutus 5]]/Opv.kohd.[[#This Row],[Nuorisotyöt. väh. ja osaamistarp. vast., työvoima-koulutus 4]],0)</f>
        <v>0</v>
      </c>
      <c r="AX104" s="208">
        <f>IFERROR(Opv.kohd.[[#This Row],[Yhteensä 5]]/Opv.kohd.[[#This Row],[Yhteensä 4]],0)</f>
        <v>0</v>
      </c>
      <c r="AY104" s="208">
        <f>IFERROR(Opv.kohd.[[#This Row],[Ensikertaisella suoritepäätöksellä jaetut tavoitteelliset opiskelijavuodet yhteensä 5]]/Opv.kohd.[[#This Row],[Ensikertaisella suoritepäätöksellä jaetut tavoitteelliset opiskelijavuodet yhteensä 4]],0)</f>
        <v>0</v>
      </c>
      <c r="AZ104" s="207">
        <f>Opv.kohd.[[#This Row],[Yhteensä 7a]]-Opv.kohd.[[#This Row],[Työvoima-koulutus 7a]]</f>
        <v>0</v>
      </c>
      <c r="BA104" s="207">
        <f>IFERROR(VLOOKUP(Opv.kohd.[[#This Row],[Y-tunnus]],#REF!,COLUMN(#REF!),FALSE),0)</f>
        <v>0</v>
      </c>
      <c r="BB104" s="207">
        <f>IFERROR(VLOOKUP(Opv.kohd.[[#This Row],[Y-tunnus]],#REF!,COLUMN(#REF!),FALSE),0)</f>
        <v>0</v>
      </c>
      <c r="BC104" s="207">
        <f>Opv.kohd.[[#This Row],[Muu kuin työvoima-koulutus 7c]]-Opv.kohd.[[#This Row],[Muu kuin työvoima-koulutus 7a]]</f>
        <v>0</v>
      </c>
      <c r="BD104" s="207">
        <f>Opv.kohd.[[#This Row],[Työvoima-koulutus 7c]]-Opv.kohd.[[#This Row],[Työvoima-koulutus 7a]]</f>
        <v>0</v>
      </c>
      <c r="BE104" s="207">
        <f>Opv.kohd.[[#This Row],[Yhteensä 7c]]-Opv.kohd.[[#This Row],[Yhteensä 7a]]</f>
        <v>0</v>
      </c>
      <c r="BF104" s="207">
        <f>Opv.kohd.[[#This Row],[Yhteensä 7c]]-Opv.kohd.[[#This Row],[Työvoima-koulutus 7c]]</f>
        <v>0</v>
      </c>
      <c r="BG104" s="207">
        <f>IFERROR(VLOOKUP(Opv.kohd.[[#This Row],[Y-tunnus]],#REF!,COLUMN(#REF!),FALSE),0)</f>
        <v>0</v>
      </c>
      <c r="BH104" s="207">
        <f>IFERROR(VLOOKUP(Opv.kohd.[[#This Row],[Y-tunnus]],#REF!,COLUMN(#REF!),FALSE),0)</f>
        <v>0</v>
      </c>
      <c r="BI104" s="207">
        <f>IFERROR(VLOOKUP(Opv.kohd.[[#This Row],[Y-tunnus]],#REF!,COLUMN(#REF!),FALSE),0)</f>
        <v>0</v>
      </c>
      <c r="BJ104" s="207">
        <f>IFERROR(VLOOKUP(Opv.kohd.[[#This Row],[Y-tunnus]],#REF!,COLUMN(#REF!),FALSE),0)</f>
        <v>0</v>
      </c>
      <c r="BK104" s="207">
        <f>Opv.kohd.[[#This Row],[Muu kuin työvoima-koulutus 7d]]+Opv.kohd.[[#This Row],[Työvoima-koulutus 7d]]</f>
        <v>0</v>
      </c>
      <c r="BL104" s="207">
        <f>Opv.kohd.[[#This Row],[Muu kuin työvoima-koulutus 7c]]-Opv.kohd.[[#This Row],[Muu kuin työvoima-koulutus 7d]]</f>
        <v>0</v>
      </c>
      <c r="BM104" s="207">
        <f>Opv.kohd.[[#This Row],[Työvoima-koulutus 7c]]-Opv.kohd.[[#This Row],[Työvoima-koulutus 7d]]</f>
        <v>0</v>
      </c>
      <c r="BN104" s="207">
        <f>Opv.kohd.[[#This Row],[Yhteensä 7c]]-Opv.kohd.[[#This Row],[Yhteensä 7d]]</f>
        <v>0</v>
      </c>
      <c r="BO104" s="207">
        <f>Opv.kohd.[[#This Row],[Muu kuin työvoima-koulutus 7e]]-(Opv.kohd.[[#This Row],[Järjestämisluvan mukaiset 4]]+Opv.kohd.[[#This Row],[Kohdentamat-tomat 4]]+Opv.kohd.[[#This Row],[Maahan-muuttajien koulutus 4]]+Opv.kohd.[[#This Row],[Nuorisotyöt. väh. ja osaamistarp. vast., muu kuin työvoima-koulutus 4]])</f>
        <v>0</v>
      </c>
      <c r="BP104" s="207">
        <f>Opv.kohd.[[#This Row],[Työvoima-koulutus 7e]]-(Opv.kohd.[[#This Row],[Työvoima-koulutus 4]]+Opv.kohd.[[#This Row],[Nuorisotyöt. väh. ja osaamistarp. vast., työvoima-koulutus 4]])</f>
        <v>0</v>
      </c>
      <c r="BQ104" s="207">
        <f>Opv.kohd.[[#This Row],[Yhteensä 7e]]-Opv.kohd.[[#This Row],[Ensikertaisella suoritepäätöksellä jaetut tavoitteelliset opiskelijavuodet yhteensä 4]]</f>
        <v>0</v>
      </c>
      <c r="BR104" s="263">
        <v>117</v>
      </c>
      <c r="BS104" s="263">
        <v>20</v>
      </c>
      <c r="BT104" s="263">
        <v>0</v>
      </c>
      <c r="BU104" s="263">
        <v>0</v>
      </c>
      <c r="BV104" s="263">
        <v>0</v>
      </c>
      <c r="BW104" s="263">
        <v>0</v>
      </c>
      <c r="BX104" s="263">
        <v>20</v>
      </c>
      <c r="BY104" s="263">
        <v>137</v>
      </c>
      <c r="BZ104" s="207">
        <f t="shared" si="17"/>
        <v>117</v>
      </c>
      <c r="CA104" s="207">
        <f t="shared" si="18"/>
        <v>20</v>
      </c>
      <c r="CB104" s="207">
        <f t="shared" si="19"/>
        <v>0</v>
      </c>
      <c r="CC104" s="207">
        <f t="shared" si="20"/>
        <v>0</v>
      </c>
      <c r="CD104" s="207">
        <f t="shared" si="21"/>
        <v>0</v>
      </c>
      <c r="CE104" s="207">
        <f t="shared" si="22"/>
        <v>0</v>
      </c>
      <c r="CF104" s="207">
        <f t="shared" si="23"/>
        <v>20</v>
      </c>
      <c r="CG104" s="207">
        <f t="shared" si="24"/>
        <v>137</v>
      </c>
      <c r="CH104" s="207">
        <f>Opv.kohd.[[#This Row],[Tavoitteelliset opiskelijavuodet yhteensä 9]]-Opv.kohd.[[#This Row],[Työvoima-koulutus 9]]-Opv.kohd.[[#This Row],[Nuorisotyöt. väh. ja osaamistarp. vast., työvoima-koulutus 9]]-Opv.kohd.[[#This Row],[Muu kuin työvoima-koulutus 7e]]</f>
        <v>137</v>
      </c>
      <c r="CI104" s="207">
        <f>(Opv.kohd.[[#This Row],[Työvoima-koulutus 9]]+Opv.kohd.[[#This Row],[Nuorisotyöt. väh. ja osaamistarp. vast., työvoima-koulutus 9]])-Opv.kohd.[[#This Row],[Työvoima-koulutus 7e]]</f>
        <v>0</v>
      </c>
      <c r="CJ104" s="207">
        <f>Opv.kohd.[[#This Row],[Tavoitteelliset opiskelijavuodet yhteensä 9]]-Opv.kohd.[[#This Row],[Yhteensä 7e]]</f>
        <v>137</v>
      </c>
      <c r="CK104" s="207">
        <f>Opv.kohd.[[#This Row],[Järjestämisluvan mukaiset 4]]+Opv.kohd.[[#This Row],[Järjestämisluvan mukaiset 13]]</f>
        <v>0</v>
      </c>
      <c r="CL104" s="207">
        <f>Opv.kohd.[[#This Row],[Kohdentamat-tomat 4]]+Opv.kohd.[[#This Row],[Kohdentamat-tomat 13]]</f>
        <v>0</v>
      </c>
      <c r="CM104" s="207">
        <f>Opv.kohd.[[#This Row],[Työvoima-koulutus 4]]+Opv.kohd.[[#This Row],[Työvoima-koulutus 13]]</f>
        <v>0</v>
      </c>
      <c r="CN104" s="207">
        <f>Opv.kohd.[[#This Row],[Maahan-muuttajien koulutus 4]]+Opv.kohd.[[#This Row],[Maahan-muuttajien koulutus 13]]</f>
        <v>0</v>
      </c>
      <c r="CO104" s="207">
        <f>Opv.kohd.[[#This Row],[Nuorisotyöt. väh. ja osaamistarp. vast., muu kuin työvoima-koulutus 4]]+Opv.kohd.[[#This Row],[Nuorisotyöt. väh. ja osaamistarp. vast., muu kuin työvoima-koulutus 13]]</f>
        <v>0</v>
      </c>
      <c r="CP104" s="207">
        <f>Opv.kohd.[[#This Row],[Nuorisotyöt. väh. ja osaamistarp. vast., työvoima-koulutus 4]]+Opv.kohd.[[#This Row],[Nuorisotyöt. väh. ja osaamistarp. vast., työvoima-koulutus 13]]</f>
        <v>0</v>
      </c>
      <c r="CQ104" s="207">
        <f>Opv.kohd.[[#This Row],[Yhteensä 4]]+Opv.kohd.[[#This Row],[Yhteensä 13]]</f>
        <v>0</v>
      </c>
      <c r="CR104" s="207">
        <f>Opv.kohd.[[#This Row],[Ensikertaisella suoritepäätöksellä jaetut tavoitteelliset opiskelijavuodet yhteensä 4]]+Opv.kohd.[[#This Row],[Tavoitteelliset opiskelijavuodet yhteensä 13]]</f>
        <v>0</v>
      </c>
      <c r="CS104" s="120">
        <v>0</v>
      </c>
      <c r="CT104" s="120">
        <v>0</v>
      </c>
      <c r="CU104" s="120">
        <v>0</v>
      </c>
      <c r="CV104" s="120">
        <v>0</v>
      </c>
      <c r="CW104" s="120">
        <v>0</v>
      </c>
      <c r="CX104" s="120">
        <v>0</v>
      </c>
      <c r="CY104" s="120">
        <v>0</v>
      </c>
      <c r="CZ104" s="120">
        <v>0</v>
      </c>
      <c r="DA104" s="209">
        <f>IFERROR(Opv.kohd.[[#This Row],[Järjestämisluvan mukaiset 13]]/Opv.kohd.[[#This Row],[Järjestämisluvan mukaiset 12]],0)</f>
        <v>0</v>
      </c>
      <c r="DB104" s="209">
        <f>IFERROR(Opv.kohd.[[#This Row],[Kohdentamat-tomat 13]]/Opv.kohd.[[#This Row],[Kohdentamat-tomat 12]],0)</f>
        <v>0</v>
      </c>
      <c r="DC104" s="209">
        <f>IFERROR(Opv.kohd.[[#This Row],[Työvoima-koulutus 13]]/Opv.kohd.[[#This Row],[Työvoima-koulutus 12]],0)</f>
        <v>0</v>
      </c>
      <c r="DD104" s="209">
        <f>IFERROR(Opv.kohd.[[#This Row],[Maahan-muuttajien koulutus 13]]/Opv.kohd.[[#This Row],[Maahan-muuttajien koulutus 12]],0)</f>
        <v>0</v>
      </c>
      <c r="DE104" s="209">
        <f>IFERROR(Opv.kohd.[[#This Row],[Nuorisotyöt. väh. ja osaamistarp. vast., muu kuin työvoima-koulutus 13]]/Opv.kohd.[[#This Row],[Nuorisotyöt. väh. ja osaamistarp. vast., muu kuin työvoima-koulutus 12]],0)</f>
        <v>0</v>
      </c>
      <c r="DF104" s="209">
        <f>IFERROR(Opv.kohd.[[#This Row],[Nuorisotyöt. väh. ja osaamistarp. vast., työvoima-koulutus 13]]/Opv.kohd.[[#This Row],[Nuorisotyöt. väh. ja osaamistarp. vast., työvoima-koulutus 12]],0)</f>
        <v>0</v>
      </c>
      <c r="DG104" s="209">
        <f>IFERROR(Opv.kohd.[[#This Row],[Yhteensä 13]]/Opv.kohd.[[#This Row],[Yhteensä 12]],0)</f>
        <v>0</v>
      </c>
      <c r="DH104" s="209">
        <f>IFERROR(Opv.kohd.[[#This Row],[Tavoitteelliset opiskelijavuodet yhteensä 13]]/Opv.kohd.[[#This Row],[Tavoitteelliset opiskelijavuodet yhteensä 12]],0)</f>
        <v>0</v>
      </c>
      <c r="DI104" s="207">
        <f>Opv.kohd.[[#This Row],[Järjestämisluvan mukaiset 12]]-Opv.kohd.[[#This Row],[Järjestämisluvan mukaiset 9]]</f>
        <v>-117</v>
      </c>
      <c r="DJ104" s="207">
        <f>Opv.kohd.[[#This Row],[Kohdentamat-tomat 12]]-Opv.kohd.[[#This Row],[Kohdentamat-tomat 9]]</f>
        <v>-20</v>
      </c>
      <c r="DK104" s="207">
        <f>Opv.kohd.[[#This Row],[Työvoima-koulutus 12]]-Opv.kohd.[[#This Row],[Työvoima-koulutus 9]]</f>
        <v>0</v>
      </c>
      <c r="DL104" s="207">
        <f>Opv.kohd.[[#This Row],[Maahan-muuttajien koulutus 12]]-Opv.kohd.[[#This Row],[Maahan-muuttajien koulutus 9]]</f>
        <v>0</v>
      </c>
      <c r="DM104" s="207">
        <f>Opv.kohd.[[#This Row],[Nuorisotyöt. väh. ja osaamistarp. vast., muu kuin työvoima-koulutus 12]]-Opv.kohd.[[#This Row],[Nuorisotyöt. väh. ja osaamistarp. vast., muu kuin työvoima-koulutus 9]]</f>
        <v>0</v>
      </c>
      <c r="DN104" s="207">
        <f>Opv.kohd.[[#This Row],[Nuorisotyöt. väh. ja osaamistarp. vast., työvoima-koulutus 12]]-Opv.kohd.[[#This Row],[Nuorisotyöt. väh. ja osaamistarp. vast., työvoima-koulutus 9]]</f>
        <v>0</v>
      </c>
      <c r="DO104" s="207">
        <f>Opv.kohd.[[#This Row],[Yhteensä 12]]-Opv.kohd.[[#This Row],[Yhteensä 9]]</f>
        <v>-20</v>
      </c>
      <c r="DP104" s="207">
        <f>Opv.kohd.[[#This Row],[Tavoitteelliset opiskelijavuodet yhteensä 12]]-Opv.kohd.[[#This Row],[Tavoitteelliset opiskelijavuodet yhteensä 9]]</f>
        <v>-137</v>
      </c>
      <c r="DQ104" s="209">
        <f>IFERROR(Opv.kohd.[[#This Row],[Järjestämisluvan mukaiset 15]]/Opv.kohd.[[#This Row],[Järjestämisluvan mukaiset 9]],0)</f>
        <v>-1</v>
      </c>
      <c r="DR104" s="209">
        <f t="shared" si="25"/>
        <v>0</v>
      </c>
      <c r="DS104" s="209">
        <f t="shared" si="26"/>
        <v>0</v>
      </c>
      <c r="DT104" s="209">
        <f t="shared" si="27"/>
        <v>0</v>
      </c>
      <c r="DU104" s="209">
        <f t="shared" si="28"/>
        <v>0</v>
      </c>
      <c r="DV104" s="209">
        <f t="shared" si="29"/>
        <v>0</v>
      </c>
      <c r="DW104" s="209">
        <f t="shared" si="30"/>
        <v>0</v>
      </c>
      <c r="DX104" s="209">
        <f t="shared" si="31"/>
        <v>0</v>
      </c>
    </row>
    <row r="105" spans="1:128" x14ac:dyDescent="0.25">
      <c r="A105" s="204" t="e">
        <f>IF(INDEX(#REF!,ROW(105:105)-1,1)=0,"",INDEX(#REF!,ROW(105:105)-1,1))</f>
        <v>#REF!</v>
      </c>
      <c r="B105" s="205" t="str">
        <f>IFERROR(VLOOKUP(Opv.kohd.[[#This Row],[Y-tunnus]],'0 Järjestäjätiedot'!$A:$H,2,FALSE),"")</f>
        <v/>
      </c>
      <c r="C105" s="204" t="str">
        <f>IFERROR(VLOOKUP(Opv.kohd.[[#This Row],[Y-tunnus]],'0 Järjestäjätiedot'!$A:$H,COLUMN('0 Järjestäjätiedot'!D:D),FALSE),"")</f>
        <v/>
      </c>
      <c r="D105" s="204" t="str">
        <f>IFERROR(VLOOKUP(Opv.kohd.[[#This Row],[Y-tunnus]],'0 Järjestäjätiedot'!$A:$H,COLUMN('0 Järjestäjätiedot'!H:H),FALSE),"")</f>
        <v/>
      </c>
      <c r="E105" s="204">
        <f>IFERROR(VLOOKUP(Opv.kohd.[[#This Row],[Y-tunnus]],#REF!,COLUMN(#REF!),FALSE),0)</f>
        <v>0</v>
      </c>
      <c r="F105" s="204">
        <f>IFERROR(VLOOKUP(Opv.kohd.[[#This Row],[Y-tunnus]],#REF!,COLUMN(#REF!),FALSE),0)</f>
        <v>0</v>
      </c>
      <c r="G105" s="204">
        <f>IFERROR(VLOOKUP(Opv.kohd.[[#This Row],[Y-tunnus]],#REF!,COLUMN(#REF!),FALSE),0)</f>
        <v>0</v>
      </c>
      <c r="H105" s="204">
        <f>IFERROR(VLOOKUP(Opv.kohd.[[#This Row],[Y-tunnus]],#REF!,COLUMN(#REF!),FALSE),0)</f>
        <v>0</v>
      </c>
      <c r="I105" s="204">
        <f>IFERROR(VLOOKUP(Opv.kohd.[[#This Row],[Y-tunnus]],#REF!,COLUMN(#REF!),FALSE),0)</f>
        <v>0</v>
      </c>
      <c r="J105" s="204">
        <f>IFERROR(VLOOKUP(Opv.kohd.[[#This Row],[Y-tunnus]],#REF!,COLUMN(#REF!),FALSE),0)</f>
        <v>0</v>
      </c>
      <c r="K10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05" s="204">
        <f>Opv.kohd.[[#This Row],[Järjestämisluvan mukaiset 1]]+Opv.kohd.[[#This Row],[Yhteensä  1]]</f>
        <v>0</v>
      </c>
      <c r="M105" s="204">
        <f>IFERROR(VLOOKUP(Opv.kohd.[[#This Row],[Y-tunnus]],#REF!,COLUMN(#REF!),FALSE),0)</f>
        <v>0</v>
      </c>
      <c r="N105" s="204">
        <f>IFERROR(VLOOKUP(Opv.kohd.[[#This Row],[Y-tunnus]],#REF!,COLUMN(#REF!),FALSE),0)</f>
        <v>0</v>
      </c>
      <c r="O105" s="204">
        <f>IFERROR(VLOOKUP(Opv.kohd.[[#This Row],[Y-tunnus]],#REF!,COLUMN(#REF!),FALSE)+VLOOKUP(Opv.kohd.[[#This Row],[Y-tunnus]],#REF!,COLUMN(#REF!),FALSE),0)</f>
        <v>0</v>
      </c>
      <c r="P105" s="204">
        <f>Opv.kohd.[[#This Row],[Talousarvion perusteella kohdentamattomat]]+Opv.kohd.[[#This Row],[Talousarvion perusteella työvoimakoulutus 1]]+Opv.kohd.[[#This Row],[Lisätalousarvioiden perusteella]]</f>
        <v>0</v>
      </c>
      <c r="Q105" s="204">
        <f>IFERROR(VLOOKUP(Opv.kohd.[[#This Row],[Y-tunnus]],#REF!,COLUMN(#REF!),FALSE),0)</f>
        <v>0</v>
      </c>
      <c r="R105" s="210">
        <f>IFERROR(VLOOKUP(Opv.kohd.[[#This Row],[Y-tunnus]],#REF!,COLUMN(#REF!),FALSE)-(Opv.kohd.[[#This Row],[Kohdentamaton työvoima-koulutus 2]]+Opv.kohd.[[#This Row],[Maahan-muuttajien koulutus 2]]+Opv.kohd.[[#This Row],[Lisätalousarvioiden perusteella jaetut 2]]),0)</f>
        <v>0</v>
      </c>
      <c r="S105" s="210">
        <f>IFERROR(VLOOKUP(Opv.kohd.[[#This Row],[Y-tunnus]],#REF!,COLUMN(#REF!),FALSE)+VLOOKUP(Opv.kohd.[[#This Row],[Y-tunnus]],#REF!,COLUMN(#REF!),FALSE),0)</f>
        <v>0</v>
      </c>
      <c r="T105" s="210">
        <f>IFERROR(VLOOKUP(Opv.kohd.[[#This Row],[Y-tunnus]],#REF!,COLUMN(#REF!),FALSE)+VLOOKUP(Opv.kohd.[[#This Row],[Y-tunnus]],#REF!,COLUMN(#REF!),FALSE),0)</f>
        <v>0</v>
      </c>
      <c r="U10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05" s="210">
        <f>Opv.kohd.[[#This Row],[Kohdentamat-tomat 2]]+Opv.kohd.[[#This Row],[Kohdentamaton työvoima-koulutus 2]]+Opv.kohd.[[#This Row],[Maahan-muuttajien koulutus 2]]+Opv.kohd.[[#This Row],[Lisätalousarvioiden perusteella jaetut 2]]</f>
        <v>0</v>
      </c>
      <c r="W105" s="210">
        <f>Opv.kohd.[[#This Row],[Kohdentamat-tomat 2]]-(Opv.kohd.[[#This Row],[Järjestämisluvan mukaiset 1]]+Opv.kohd.[[#This Row],[Kohdentamat-tomat 1]]+Opv.kohd.[[#This Row],[Nuorisotyöt. väh. ja osaamistarp. vast., muu kuin työvoima-koulutus 1]]+Opv.kohd.[[#This Row],[Talousarvion perusteella kohdentamattomat]])</f>
        <v>0</v>
      </c>
      <c r="X105" s="210">
        <f>Opv.kohd.[[#This Row],[Kohdentamaton työvoima-koulutus 2]]-(Opv.kohd.[[#This Row],[Työvoima-koulutus 1]]+Opv.kohd.[[#This Row],[Nuorisotyöt. väh. ja osaamistarp. vast., työvoima-koulutus 1]]+Opv.kohd.[[#This Row],[Talousarvion perusteella työvoimakoulutus 1]])</f>
        <v>0</v>
      </c>
      <c r="Y105" s="210">
        <f>Opv.kohd.[[#This Row],[Maahan-muuttajien koulutus 2]]-Opv.kohd.[[#This Row],[Maahan-muuttajien koulutus 1]]</f>
        <v>0</v>
      </c>
      <c r="Z105" s="210">
        <f>Opv.kohd.[[#This Row],[Lisätalousarvioiden perusteella jaetut 2]]-Opv.kohd.[[#This Row],[Lisätalousarvioiden perusteella]]</f>
        <v>0</v>
      </c>
      <c r="AA105" s="210">
        <f>Opv.kohd.[[#This Row],[Toteutuneet opiskelijavuodet yhteensä 2]]-Opv.kohd.[[#This Row],[Vuoden 2018 tavoitteelliset opiskelijavuodet yhteensä 1]]</f>
        <v>0</v>
      </c>
      <c r="AB105" s="207">
        <f>IFERROR(VLOOKUP(Opv.kohd.[[#This Row],[Y-tunnus]],#REF!,3,FALSE),0)</f>
        <v>0</v>
      </c>
      <c r="AC105" s="207">
        <f>IFERROR(VLOOKUP(Opv.kohd.[[#This Row],[Y-tunnus]],#REF!,4,FALSE),0)</f>
        <v>0</v>
      </c>
      <c r="AD105" s="207">
        <f>IFERROR(VLOOKUP(Opv.kohd.[[#This Row],[Y-tunnus]],#REF!,5,FALSE),0)</f>
        <v>0</v>
      </c>
      <c r="AE105" s="207">
        <f>IFERROR(VLOOKUP(Opv.kohd.[[#This Row],[Y-tunnus]],#REF!,6,FALSE),0)</f>
        <v>0</v>
      </c>
      <c r="AF105" s="207">
        <f>IFERROR(VLOOKUP(Opv.kohd.[[#This Row],[Y-tunnus]],#REF!,7,FALSE),0)</f>
        <v>0</v>
      </c>
      <c r="AG105" s="207">
        <f>IFERROR(VLOOKUP(Opv.kohd.[[#This Row],[Y-tunnus]],#REF!,8,FALSE),0)</f>
        <v>0</v>
      </c>
      <c r="AH105" s="207">
        <f>IFERROR(VLOOKUP(Opv.kohd.[[#This Row],[Y-tunnus]],#REF!,9,FALSE),0)</f>
        <v>0</v>
      </c>
      <c r="AI105" s="207">
        <f>IFERROR(VLOOKUP(Opv.kohd.[[#This Row],[Y-tunnus]],#REF!,10,FALSE),0)</f>
        <v>0</v>
      </c>
      <c r="AJ105" s="204">
        <f>Opv.kohd.[[#This Row],[Järjestämisluvan mukaiset 4]]-Opv.kohd.[[#This Row],[Järjestämisluvan mukaiset 1]]</f>
        <v>0</v>
      </c>
      <c r="AK105" s="204">
        <f>Opv.kohd.[[#This Row],[Kohdentamat-tomat 4]]-Opv.kohd.[[#This Row],[Kohdentamat-tomat 1]]</f>
        <v>0</v>
      </c>
      <c r="AL105" s="204">
        <f>Opv.kohd.[[#This Row],[Työvoima-koulutus 4]]-Opv.kohd.[[#This Row],[Työvoima-koulutus 1]]</f>
        <v>0</v>
      </c>
      <c r="AM105" s="204">
        <f>Opv.kohd.[[#This Row],[Maahan-muuttajien koulutus 4]]-Opv.kohd.[[#This Row],[Maahan-muuttajien koulutus 1]]</f>
        <v>0</v>
      </c>
      <c r="AN105" s="204">
        <f>Opv.kohd.[[#This Row],[Nuorisotyöt. väh. ja osaamistarp. vast., muu kuin työvoima-koulutus 4]]-Opv.kohd.[[#This Row],[Nuorisotyöt. väh. ja osaamistarp. vast., muu kuin työvoima-koulutus 1]]</f>
        <v>0</v>
      </c>
      <c r="AO105" s="204">
        <f>Opv.kohd.[[#This Row],[Nuorisotyöt. väh. ja osaamistarp. vast., työvoima-koulutus 4]]-Opv.kohd.[[#This Row],[Nuorisotyöt. väh. ja osaamistarp. vast., työvoima-koulutus 1]]</f>
        <v>0</v>
      </c>
      <c r="AP105" s="204">
        <f>Opv.kohd.[[#This Row],[Yhteensä 4]]-Opv.kohd.[[#This Row],[Yhteensä  1]]</f>
        <v>0</v>
      </c>
      <c r="AQ105" s="204">
        <f>Opv.kohd.[[#This Row],[Ensikertaisella suoritepäätöksellä jaetut tavoitteelliset opiskelijavuodet yhteensä 4]]-Opv.kohd.[[#This Row],[Ensikertaisella suoritepäätöksellä jaetut tavoitteelliset opiskelijavuodet yhteensä 1]]</f>
        <v>0</v>
      </c>
      <c r="AR105" s="208">
        <f>IFERROR(Opv.kohd.[[#This Row],[Järjestämisluvan mukaiset 5]]/Opv.kohd.[[#This Row],[Järjestämisluvan mukaiset 4]],0)</f>
        <v>0</v>
      </c>
      <c r="AS105" s="208">
        <f>IFERROR(Opv.kohd.[[#This Row],[Kohdentamat-tomat 5]]/Opv.kohd.[[#This Row],[Kohdentamat-tomat 4]],0)</f>
        <v>0</v>
      </c>
      <c r="AT105" s="208">
        <f>IFERROR(Opv.kohd.[[#This Row],[Työvoima-koulutus 5]]/Opv.kohd.[[#This Row],[Työvoima-koulutus 4]],0)</f>
        <v>0</v>
      </c>
      <c r="AU105" s="208">
        <f>IFERROR(Opv.kohd.[[#This Row],[Maahan-muuttajien koulutus 5]]/Opv.kohd.[[#This Row],[Maahan-muuttajien koulutus 4]],0)</f>
        <v>0</v>
      </c>
      <c r="AV105" s="208">
        <f>IFERROR(Opv.kohd.[[#This Row],[Nuorisotyöt. väh. ja osaamistarp. vast., muu kuin työvoima-koulutus 5]]/Opv.kohd.[[#This Row],[Nuorisotyöt. väh. ja osaamistarp. vast., muu kuin työvoima-koulutus 4]],0)</f>
        <v>0</v>
      </c>
      <c r="AW105" s="208">
        <f>IFERROR(Opv.kohd.[[#This Row],[Nuorisotyöt. väh. ja osaamistarp. vast., työvoima-koulutus 5]]/Opv.kohd.[[#This Row],[Nuorisotyöt. väh. ja osaamistarp. vast., työvoima-koulutus 4]],0)</f>
        <v>0</v>
      </c>
      <c r="AX105" s="208">
        <f>IFERROR(Opv.kohd.[[#This Row],[Yhteensä 5]]/Opv.kohd.[[#This Row],[Yhteensä 4]],0)</f>
        <v>0</v>
      </c>
      <c r="AY105" s="208">
        <f>IFERROR(Opv.kohd.[[#This Row],[Ensikertaisella suoritepäätöksellä jaetut tavoitteelliset opiskelijavuodet yhteensä 5]]/Opv.kohd.[[#This Row],[Ensikertaisella suoritepäätöksellä jaetut tavoitteelliset opiskelijavuodet yhteensä 4]],0)</f>
        <v>0</v>
      </c>
      <c r="AZ105" s="207">
        <f>Opv.kohd.[[#This Row],[Yhteensä 7a]]-Opv.kohd.[[#This Row],[Työvoima-koulutus 7a]]</f>
        <v>0</v>
      </c>
      <c r="BA105" s="207">
        <f>IFERROR(VLOOKUP(Opv.kohd.[[#This Row],[Y-tunnus]],#REF!,COLUMN(#REF!),FALSE),0)</f>
        <v>0</v>
      </c>
      <c r="BB105" s="207">
        <f>IFERROR(VLOOKUP(Opv.kohd.[[#This Row],[Y-tunnus]],#REF!,COLUMN(#REF!),FALSE),0)</f>
        <v>0</v>
      </c>
      <c r="BC105" s="207">
        <f>Opv.kohd.[[#This Row],[Muu kuin työvoima-koulutus 7c]]-Opv.kohd.[[#This Row],[Muu kuin työvoima-koulutus 7a]]</f>
        <v>0</v>
      </c>
      <c r="BD105" s="207">
        <f>Opv.kohd.[[#This Row],[Työvoima-koulutus 7c]]-Opv.kohd.[[#This Row],[Työvoima-koulutus 7a]]</f>
        <v>0</v>
      </c>
      <c r="BE105" s="207">
        <f>Opv.kohd.[[#This Row],[Yhteensä 7c]]-Opv.kohd.[[#This Row],[Yhteensä 7a]]</f>
        <v>0</v>
      </c>
      <c r="BF105" s="207">
        <f>Opv.kohd.[[#This Row],[Yhteensä 7c]]-Opv.kohd.[[#This Row],[Työvoima-koulutus 7c]]</f>
        <v>0</v>
      </c>
      <c r="BG105" s="207">
        <f>IFERROR(VLOOKUP(Opv.kohd.[[#This Row],[Y-tunnus]],#REF!,COLUMN(#REF!),FALSE),0)</f>
        <v>0</v>
      </c>
      <c r="BH105" s="207">
        <f>IFERROR(VLOOKUP(Opv.kohd.[[#This Row],[Y-tunnus]],#REF!,COLUMN(#REF!),FALSE),0)</f>
        <v>0</v>
      </c>
      <c r="BI105" s="207">
        <f>IFERROR(VLOOKUP(Opv.kohd.[[#This Row],[Y-tunnus]],#REF!,COLUMN(#REF!),FALSE),0)</f>
        <v>0</v>
      </c>
      <c r="BJ105" s="207">
        <f>IFERROR(VLOOKUP(Opv.kohd.[[#This Row],[Y-tunnus]],#REF!,COLUMN(#REF!),FALSE),0)</f>
        <v>0</v>
      </c>
      <c r="BK105" s="207">
        <f>Opv.kohd.[[#This Row],[Muu kuin työvoima-koulutus 7d]]+Opv.kohd.[[#This Row],[Työvoima-koulutus 7d]]</f>
        <v>0</v>
      </c>
      <c r="BL105" s="207">
        <f>Opv.kohd.[[#This Row],[Muu kuin työvoima-koulutus 7c]]-Opv.kohd.[[#This Row],[Muu kuin työvoima-koulutus 7d]]</f>
        <v>0</v>
      </c>
      <c r="BM105" s="207">
        <f>Opv.kohd.[[#This Row],[Työvoima-koulutus 7c]]-Opv.kohd.[[#This Row],[Työvoima-koulutus 7d]]</f>
        <v>0</v>
      </c>
      <c r="BN105" s="207">
        <f>Opv.kohd.[[#This Row],[Yhteensä 7c]]-Opv.kohd.[[#This Row],[Yhteensä 7d]]</f>
        <v>0</v>
      </c>
      <c r="BO105" s="207">
        <f>Opv.kohd.[[#This Row],[Muu kuin työvoima-koulutus 7e]]-(Opv.kohd.[[#This Row],[Järjestämisluvan mukaiset 4]]+Opv.kohd.[[#This Row],[Kohdentamat-tomat 4]]+Opv.kohd.[[#This Row],[Maahan-muuttajien koulutus 4]]+Opv.kohd.[[#This Row],[Nuorisotyöt. väh. ja osaamistarp. vast., muu kuin työvoima-koulutus 4]])</f>
        <v>0</v>
      </c>
      <c r="BP105" s="207">
        <f>Opv.kohd.[[#This Row],[Työvoima-koulutus 7e]]-(Opv.kohd.[[#This Row],[Työvoima-koulutus 4]]+Opv.kohd.[[#This Row],[Nuorisotyöt. väh. ja osaamistarp. vast., työvoima-koulutus 4]])</f>
        <v>0</v>
      </c>
      <c r="BQ105" s="207">
        <f>Opv.kohd.[[#This Row],[Yhteensä 7e]]-Opv.kohd.[[#This Row],[Ensikertaisella suoritepäätöksellä jaetut tavoitteelliset opiskelijavuodet yhteensä 4]]</f>
        <v>0</v>
      </c>
      <c r="BR105" s="263">
        <v>50</v>
      </c>
      <c r="BS105" s="263">
        <v>6</v>
      </c>
      <c r="BT105" s="263">
        <v>0</v>
      </c>
      <c r="BU105" s="263">
        <v>0</v>
      </c>
      <c r="BV105" s="263">
        <v>0</v>
      </c>
      <c r="BW105" s="263">
        <v>0</v>
      </c>
      <c r="BX105" s="263">
        <v>6</v>
      </c>
      <c r="BY105" s="263">
        <v>56</v>
      </c>
      <c r="BZ105" s="207">
        <f t="shared" si="17"/>
        <v>50</v>
      </c>
      <c r="CA105" s="207">
        <f t="shared" si="18"/>
        <v>6</v>
      </c>
      <c r="CB105" s="207">
        <f t="shared" si="19"/>
        <v>0</v>
      </c>
      <c r="CC105" s="207">
        <f t="shared" si="20"/>
        <v>0</v>
      </c>
      <c r="CD105" s="207">
        <f t="shared" si="21"/>
        <v>0</v>
      </c>
      <c r="CE105" s="207">
        <f t="shared" si="22"/>
        <v>0</v>
      </c>
      <c r="CF105" s="207">
        <f t="shared" si="23"/>
        <v>6</v>
      </c>
      <c r="CG105" s="207">
        <f t="shared" si="24"/>
        <v>56</v>
      </c>
      <c r="CH105" s="207">
        <f>Opv.kohd.[[#This Row],[Tavoitteelliset opiskelijavuodet yhteensä 9]]-Opv.kohd.[[#This Row],[Työvoima-koulutus 9]]-Opv.kohd.[[#This Row],[Nuorisotyöt. väh. ja osaamistarp. vast., työvoima-koulutus 9]]-Opv.kohd.[[#This Row],[Muu kuin työvoima-koulutus 7e]]</f>
        <v>56</v>
      </c>
      <c r="CI105" s="207">
        <f>(Opv.kohd.[[#This Row],[Työvoima-koulutus 9]]+Opv.kohd.[[#This Row],[Nuorisotyöt. väh. ja osaamistarp. vast., työvoima-koulutus 9]])-Opv.kohd.[[#This Row],[Työvoima-koulutus 7e]]</f>
        <v>0</v>
      </c>
      <c r="CJ105" s="207">
        <f>Opv.kohd.[[#This Row],[Tavoitteelliset opiskelijavuodet yhteensä 9]]-Opv.kohd.[[#This Row],[Yhteensä 7e]]</f>
        <v>56</v>
      </c>
      <c r="CK105" s="207">
        <f>Opv.kohd.[[#This Row],[Järjestämisluvan mukaiset 4]]+Opv.kohd.[[#This Row],[Järjestämisluvan mukaiset 13]]</f>
        <v>0</v>
      </c>
      <c r="CL105" s="207">
        <f>Opv.kohd.[[#This Row],[Kohdentamat-tomat 4]]+Opv.kohd.[[#This Row],[Kohdentamat-tomat 13]]</f>
        <v>0</v>
      </c>
      <c r="CM105" s="207">
        <f>Opv.kohd.[[#This Row],[Työvoima-koulutus 4]]+Opv.kohd.[[#This Row],[Työvoima-koulutus 13]]</f>
        <v>0</v>
      </c>
      <c r="CN105" s="207">
        <f>Opv.kohd.[[#This Row],[Maahan-muuttajien koulutus 4]]+Opv.kohd.[[#This Row],[Maahan-muuttajien koulutus 13]]</f>
        <v>0</v>
      </c>
      <c r="CO105" s="207">
        <f>Opv.kohd.[[#This Row],[Nuorisotyöt. väh. ja osaamistarp. vast., muu kuin työvoima-koulutus 4]]+Opv.kohd.[[#This Row],[Nuorisotyöt. väh. ja osaamistarp. vast., muu kuin työvoima-koulutus 13]]</f>
        <v>0</v>
      </c>
      <c r="CP105" s="207">
        <f>Opv.kohd.[[#This Row],[Nuorisotyöt. väh. ja osaamistarp. vast., työvoima-koulutus 4]]+Opv.kohd.[[#This Row],[Nuorisotyöt. väh. ja osaamistarp. vast., työvoima-koulutus 13]]</f>
        <v>0</v>
      </c>
      <c r="CQ105" s="207">
        <f>Opv.kohd.[[#This Row],[Yhteensä 4]]+Opv.kohd.[[#This Row],[Yhteensä 13]]</f>
        <v>0</v>
      </c>
      <c r="CR105" s="207">
        <f>Opv.kohd.[[#This Row],[Ensikertaisella suoritepäätöksellä jaetut tavoitteelliset opiskelijavuodet yhteensä 4]]+Opv.kohd.[[#This Row],[Tavoitteelliset opiskelijavuodet yhteensä 13]]</f>
        <v>0</v>
      </c>
      <c r="CS105" s="120">
        <v>0</v>
      </c>
      <c r="CT105" s="120">
        <v>0</v>
      </c>
      <c r="CU105" s="120">
        <v>0</v>
      </c>
      <c r="CV105" s="120">
        <v>0</v>
      </c>
      <c r="CW105" s="120">
        <v>0</v>
      </c>
      <c r="CX105" s="120">
        <v>0</v>
      </c>
      <c r="CY105" s="120">
        <v>0</v>
      </c>
      <c r="CZ105" s="120">
        <v>0</v>
      </c>
      <c r="DA105" s="209">
        <f>IFERROR(Opv.kohd.[[#This Row],[Järjestämisluvan mukaiset 13]]/Opv.kohd.[[#This Row],[Järjestämisluvan mukaiset 12]],0)</f>
        <v>0</v>
      </c>
      <c r="DB105" s="209">
        <f>IFERROR(Opv.kohd.[[#This Row],[Kohdentamat-tomat 13]]/Opv.kohd.[[#This Row],[Kohdentamat-tomat 12]],0)</f>
        <v>0</v>
      </c>
      <c r="DC105" s="209">
        <f>IFERROR(Opv.kohd.[[#This Row],[Työvoima-koulutus 13]]/Opv.kohd.[[#This Row],[Työvoima-koulutus 12]],0)</f>
        <v>0</v>
      </c>
      <c r="DD105" s="209">
        <f>IFERROR(Opv.kohd.[[#This Row],[Maahan-muuttajien koulutus 13]]/Opv.kohd.[[#This Row],[Maahan-muuttajien koulutus 12]],0)</f>
        <v>0</v>
      </c>
      <c r="DE105" s="209">
        <f>IFERROR(Opv.kohd.[[#This Row],[Nuorisotyöt. väh. ja osaamistarp. vast., muu kuin työvoima-koulutus 13]]/Opv.kohd.[[#This Row],[Nuorisotyöt. väh. ja osaamistarp. vast., muu kuin työvoima-koulutus 12]],0)</f>
        <v>0</v>
      </c>
      <c r="DF105" s="209">
        <f>IFERROR(Opv.kohd.[[#This Row],[Nuorisotyöt. väh. ja osaamistarp. vast., työvoima-koulutus 13]]/Opv.kohd.[[#This Row],[Nuorisotyöt. väh. ja osaamistarp. vast., työvoima-koulutus 12]],0)</f>
        <v>0</v>
      </c>
      <c r="DG105" s="209">
        <f>IFERROR(Opv.kohd.[[#This Row],[Yhteensä 13]]/Opv.kohd.[[#This Row],[Yhteensä 12]],0)</f>
        <v>0</v>
      </c>
      <c r="DH105" s="209">
        <f>IFERROR(Opv.kohd.[[#This Row],[Tavoitteelliset opiskelijavuodet yhteensä 13]]/Opv.kohd.[[#This Row],[Tavoitteelliset opiskelijavuodet yhteensä 12]],0)</f>
        <v>0</v>
      </c>
      <c r="DI105" s="207">
        <f>Opv.kohd.[[#This Row],[Järjestämisluvan mukaiset 12]]-Opv.kohd.[[#This Row],[Järjestämisluvan mukaiset 9]]</f>
        <v>-50</v>
      </c>
      <c r="DJ105" s="207">
        <f>Opv.kohd.[[#This Row],[Kohdentamat-tomat 12]]-Opv.kohd.[[#This Row],[Kohdentamat-tomat 9]]</f>
        <v>-6</v>
      </c>
      <c r="DK105" s="207">
        <f>Opv.kohd.[[#This Row],[Työvoima-koulutus 12]]-Opv.kohd.[[#This Row],[Työvoima-koulutus 9]]</f>
        <v>0</v>
      </c>
      <c r="DL105" s="207">
        <f>Opv.kohd.[[#This Row],[Maahan-muuttajien koulutus 12]]-Opv.kohd.[[#This Row],[Maahan-muuttajien koulutus 9]]</f>
        <v>0</v>
      </c>
      <c r="DM105" s="207">
        <f>Opv.kohd.[[#This Row],[Nuorisotyöt. väh. ja osaamistarp. vast., muu kuin työvoima-koulutus 12]]-Opv.kohd.[[#This Row],[Nuorisotyöt. väh. ja osaamistarp. vast., muu kuin työvoima-koulutus 9]]</f>
        <v>0</v>
      </c>
      <c r="DN105" s="207">
        <f>Opv.kohd.[[#This Row],[Nuorisotyöt. väh. ja osaamistarp. vast., työvoima-koulutus 12]]-Opv.kohd.[[#This Row],[Nuorisotyöt. väh. ja osaamistarp. vast., työvoima-koulutus 9]]</f>
        <v>0</v>
      </c>
      <c r="DO105" s="207">
        <f>Opv.kohd.[[#This Row],[Yhteensä 12]]-Opv.kohd.[[#This Row],[Yhteensä 9]]</f>
        <v>-6</v>
      </c>
      <c r="DP105" s="207">
        <f>Opv.kohd.[[#This Row],[Tavoitteelliset opiskelijavuodet yhteensä 12]]-Opv.kohd.[[#This Row],[Tavoitteelliset opiskelijavuodet yhteensä 9]]</f>
        <v>-56</v>
      </c>
      <c r="DQ105" s="209">
        <f>IFERROR(Opv.kohd.[[#This Row],[Järjestämisluvan mukaiset 15]]/Opv.kohd.[[#This Row],[Järjestämisluvan mukaiset 9]],0)</f>
        <v>-1</v>
      </c>
      <c r="DR105" s="209">
        <f t="shared" si="25"/>
        <v>0</v>
      </c>
      <c r="DS105" s="209">
        <f t="shared" si="26"/>
        <v>0</v>
      </c>
      <c r="DT105" s="209">
        <f t="shared" si="27"/>
        <v>0</v>
      </c>
      <c r="DU105" s="209">
        <f t="shared" si="28"/>
        <v>0</v>
      </c>
      <c r="DV105" s="209">
        <f t="shared" si="29"/>
        <v>0</v>
      </c>
      <c r="DW105" s="209">
        <f t="shared" si="30"/>
        <v>0</v>
      </c>
      <c r="DX105" s="209">
        <f t="shared" si="31"/>
        <v>0</v>
      </c>
    </row>
    <row r="106" spans="1:128" x14ac:dyDescent="0.25">
      <c r="A106" s="204" t="e">
        <f>IF(INDEX(#REF!,ROW(106:106)-1,1)=0,"",INDEX(#REF!,ROW(106:106)-1,1))</f>
        <v>#REF!</v>
      </c>
      <c r="B106" s="205" t="str">
        <f>IFERROR(VLOOKUP(Opv.kohd.[[#This Row],[Y-tunnus]],'0 Järjestäjätiedot'!$A:$H,2,FALSE),"")</f>
        <v/>
      </c>
      <c r="C106" s="204" t="str">
        <f>IFERROR(VLOOKUP(Opv.kohd.[[#This Row],[Y-tunnus]],'0 Järjestäjätiedot'!$A:$H,COLUMN('0 Järjestäjätiedot'!D:D),FALSE),"")</f>
        <v/>
      </c>
      <c r="D106" s="204" t="str">
        <f>IFERROR(VLOOKUP(Opv.kohd.[[#This Row],[Y-tunnus]],'0 Järjestäjätiedot'!$A:$H,COLUMN('0 Järjestäjätiedot'!H:H),FALSE),"")</f>
        <v/>
      </c>
      <c r="E106" s="204">
        <f>IFERROR(VLOOKUP(Opv.kohd.[[#This Row],[Y-tunnus]],#REF!,COLUMN(#REF!),FALSE),0)</f>
        <v>0</v>
      </c>
      <c r="F106" s="204">
        <f>IFERROR(VLOOKUP(Opv.kohd.[[#This Row],[Y-tunnus]],#REF!,COLUMN(#REF!),FALSE),0)</f>
        <v>0</v>
      </c>
      <c r="G106" s="204">
        <f>IFERROR(VLOOKUP(Opv.kohd.[[#This Row],[Y-tunnus]],#REF!,COLUMN(#REF!),FALSE),0)</f>
        <v>0</v>
      </c>
      <c r="H106" s="204">
        <f>IFERROR(VLOOKUP(Opv.kohd.[[#This Row],[Y-tunnus]],#REF!,COLUMN(#REF!),FALSE),0)</f>
        <v>0</v>
      </c>
      <c r="I106" s="204">
        <f>IFERROR(VLOOKUP(Opv.kohd.[[#This Row],[Y-tunnus]],#REF!,COLUMN(#REF!),FALSE),0)</f>
        <v>0</v>
      </c>
      <c r="J106" s="204">
        <f>IFERROR(VLOOKUP(Opv.kohd.[[#This Row],[Y-tunnus]],#REF!,COLUMN(#REF!),FALSE),0)</f>
        <v>0</v>
      </c>
      <c r="K10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06" s="204">
        <f>Opv.kohd.[[#This Row],[Järjestämisluvan mukaiset 1]]+Opv.kohd.[[#This Row],[Yhteensä  1]]</f>
        <v>0</v>
      </c>
      <c r="M106" s="204">
        <f>IFERROR(VLOOKUP(Opv.kohd.[[#This Row],[Y-tunnus]],#REF!,COLUMN(#REF!),FALSE),0)</f>
        <v>0</v>
      </c>
      <c r="N106" s="204">
        <f>IFERROR(VLOOKUP(Opv.kohd.[[#This Row],[Y-tunnus]],#REF!,COLUMN(#REF!),FALSE),0)</f>
        <v>0</v>
      </c>
      <c r="O106" s="204">
        <f>IFERROR(VLOOKUP(Opv.kohd.[[#This Row],[Y-tunnus]],#REF!,COLUMN(#REF!),FALSE)+VLOOKUP(Opv.kohd.[[#This Row],[Y-tunnus]],#REF!,COLUMN(#REF!),FALSE),0)</f>
        <v>0</v>
      </c>
      <c r="P106" s="204">
        <f>Opv.kohd.[[#This Row],[Talousarvion perusteella kohdentamattomat]]+Opv.kohd.[[#This Row],[Talousarvion perusteella työvoimakoulutus 1]]+Opv.kohd.[[#This Row],[Lisätalousarvioiden perusteella]]</f>
        <v>0</v>
      </c>
      <c r="Q106" s="204">
        <f>IFERROR(VLOOKUP(Opv.kohd.[[#This Row],[Y-tunnus]],#REF!,COLUMN(#REF!),FALSE),0)</f>
        <v>0</v>
      </c>
      <c r="R106" s="210">
        <f>IFERROR(VLOOKUP(Opv.kohd.[[#This Row],[Y-tunnus]],#REF!,COLUMN(#REF!),FALSE)-(Opv.kohd.[[#This Row],[Kohdentamaton työvoima-koulutus 2]]+Opv.kohd.[[#This Row],[Maahan-muuttajien koulutus 2]]+Opv.kohd.[[#This Row],[Lisätalousarvioiden perusteella jaetut 2]]),0)</f>
        <v>0</v>
      </c>
      <c r="S106" s="210">
        <f>IFERROR(VLOOKUP(Opv.kohd.[[#This Row],[Y-tunnus]],#REF!,COLUMN(#REF!),FALSE)+VLOOKUP(Opv.kohd.[[#This Row],[Y-tunnus]],#REF!,COLUMN(#REF!),FALSE),0)</f>
        <v>0</v>
      </c>
      <c r="T106" s="210">
        <f>IFERROR(VLOOKUP(Opv.kohd.[[#This Row],[Y-tunnus]],#REF!,COLUMN(#REF!),FALSE)+VLOOKUP(Opv.kohd.[[#This Row],[Y-tunnus]],#REF!,COLUMN(#REF!),FALSE),0)</f>
        <v>0</v>
      </c>
      <c r="U10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06" s="210">
        <f>Opv.kohd.[[#This Row],[Kohdentamat-tomat 2]]+Opv.kohd.[[#This Row],[Kohdentamaton työvoima-koulutus 2]]+Opv.kohd.[[#This Row],[Maahan-muuttajien koulutus 2]]+Opv.kohd.[[#This Row],[Lisätalousarvioiden perusteella jaetut 2]]</f>
        <v>0</v>
      </c>
      <c r="W106" s="210">
        <f>Opv.kohd.[[#This Row],[Kohdentamat-tomat 2]]-(Opv.kohd.[[#This Row],[Järjestämisluvan mukaiset 1]]+Opv.kohd.[[#This Row],[Kohdentamat-tomat 1]]+Opv.kohd.[[#This Row],[Nuorisotyöt. väh. ja osaamistarp. vast., muu kuin työvoima-koulutus 1]]+Opv.kohd.[[#This Row],[Talousarvion perusteella kohdentamattomat]])</f>
        <v>0</v>
      </c>
      <c r="X106" s="210">
        <f>Opv.kohd.[[#This Row],[Kohdentamaton työvoima-koulutus 2]]-(Opv.kohd.[[#This Row],[Työvoima-koulutus 1]]+Opv.kohd.[[#This Row],[Nuorisotyöt. väh. ja osaamistarp. vast., työvoima-koulutus 1]]+Opv.kohd.[[#This Row],[Talousarvion perusteella työvoimakoulutus 1]])</f>
        <v>0</v>
      </c>
      <c r="Y106" s="210">
        <f>Opv.kohd.[[#This Row],[Maahan-muuttajien koulutus 2]]-Opv.kohd.[[#This Row],[Maahan-muuttajien koulutus 1]]</f>
        <v>0</v>
      </c>
      <c r="Z106" s="210">
        <f>Opv.kohd.[[#This Row],[Lisätalousarvioiden perusteella jaetut 2]]-Opv.kohd.[[#This Row],[Lisätalousarvioiden perusteella]]</f>
        <v>0</v>
      </c>
      <c r="AA106" s="210">
        <f>Opv.kohd.[[#This Row],[Toteutuneet opiskelijavuodet yhteensä 2]]-Opv.kohd.[[#This Row],[Vuoden 2018 tavoitteelliset opiskelijavuodet yhteensä 1]]</f>
        <v>0</v>
      </c>
      <c r="AB106" s="207">
        <f>IFERROR(VLOOKUP(Opv.kohd.[[#This Row],[Y-tunnus]],#REF!,3,FALSE),0)</f>
        <v>0</v>
      </c>
      <c r="AC106" s="207">
        <f>IFERROR(VLOOKUP(Opv.kohd.[[#This Row],[Y-tunnus]],#REF!,4,FALSE),0)</f>
        <v>0</v>
      </c>
      <c r="AD106" s="207">
        <f>IFERROR(VLOOKUP(Opv.kohd.[[#This Row],[Y-tunnus]],#REF!,5,FALSE),0)</f>
        <v>0</v>
      </c>
      <c r="AE106" s="207">
        <f>IFERROR(VLOOKUP(Opv.kohd.[[#This Row],[Y-tunnus]],#REF!,6,FALSE),0)</f>
        <v>0</v>
      </c>
      <c r="AF106" s="207">
        <f>IFERROR(VLOOKUP(Opv.kohd.[[#This Row],[Y-tunnus]],#REF!,7,FALSE),0)</f>
        <v>0</v>
      </c>
      <c r="AG106" s="207">
        <f>IFERROR(VLOOKUP(Opv.kohd.[[#This Row],[Y-tunnus]],#REF!,8,FALSE),0)</f>
        <v>0</v>
      </c>
      <c r="AH106" s="207">
        <f>IFERROR(VLOOKUP(Opv.kohd.[[#This Row],[Y-tunnus]],#REF!,9,FALSE),0)</f>
        <v>0</v>
      </c>
      <c r="AI106" s="207">
        <f>IFERROR(VLOOKUP(Opv.kohd.[[#This Row],[Y-tunnus]],#REF!,10,FALSE),0)</f>
        <v>0</v>
      </c>
      <c r="AJ106" s="204">
        <f>Opv.kohd.[[#This Row],[Järjestämisluvan mukaiset 4]]-Opv.kohd.[[#This Row],[Järjestämisluvan mukaiset 1]]</f>
        <v>0</v>
      </c>
      <c r="AK106" s="204">
        <f>Opv.kohd.[[#This Row],[Kohdentamat-tomat 4]]-Opv.kohd.[[#This Row],[Kohdentamat-tomat 1]]</f>
        <v>0</v>
      </c>
      <c r="AL106" s="204">
        <f>Opv.kohd.[[#This Row],[Työvoima-koulutus 4]]-Opv.kohd.[[#This Row],[Työvoima-koulutus 1]]</f>
        <v>0</v>
      </c>
      <c r="AM106" s="204">
        <f>Opv.kohd.[[#This Row],[Maahan-muuttajien koulutus 4]]-Opv.kohd.[[#This Row],[Maahan-muuttajien koulutus 1]]</f>
        <v>0</v>
      </c>
      <c r="AN106" s="204">
        <f>Opv.kohd.[[#This Row],[Nuorisotyöt. väh. ja osaamistarp. vast., muu kuin työvoima-koulutus 4]]-Opv.kohd.[[#This Row],[Nuorisotyöt. väh. ja osaamistarp. vast., muu kuin työvoima-koulutus 1]]</f>
        <v>0</v>
      </c>
      <c r="AO106" s="204">
        <f>Opv.kohd.[[#This Row],[Nuorisotyöt. väh. ja osaamistarp. vast., työvoima-koulutus 4]]-Opv.kohd.[[#This Row],[Nuorisotyöt. väh. ja osaamistarp. vast., työvoima-koulutus 1]]</f>
        <v>0</v>
      </c>
      <c r="AP106" s="204">
        <f>Opv.kohd.[[#This Row],[Yhteensä 4]]-Opv.kohd.[[#This Row],[Yhteensä  1]]</f>
        <v>0</v>
      </c>
      <c r="AQ106" s="204">
        <f>Opv.kohd.[[#This Row],[Ensikertaisella suoritepäätöksellä jaetut tavoitteelliset opiskelijavuodet yhteensä 4]]-Opv.kohd.[[#This Row],[Ensikertaisella suoritepäätöksellä jaetut tavoitteelliset opiskelijavuodet yhteensä 1]]</f>
        <v>0</v>
      </c>
      <c r="AR106" s="208">
        <f>IFERROR(Opv.kohd.[[#This Row],[Järjestämisluvan mukaiset 5]]/Opv.kohd.[[#This Row],[Järjestämisluvan mukaiset 4]],0)</f>
        <v>0</v>
      </c>
      <c r="AS106" s="208">
        <f>IFERROR(Opv.kohd.[[#This Row],[Kohdentamat-tomat 5]]/Opv.kohd.[[#This Row],[Kohdentamat-tomat 4]],0)</f>
        <v>0</v>
      </c>
      <c r="AT106" s="208">
        <f>IFERROR(Opv.kohd.[[#This Row],[Työvoima-koulutus 5]]/Opv.kohd.[[#This Row],[Työvoima-koulutus 4]],0)</f>
        <v>0</v>
      </c>
      <c r="AU106" s="208">
        <f>IFERROR(Opv.kohd.[[#This Row],[Maahan-muuttajien koulutus 5]]/Opv.kohd.[[#This Row],[Maahan-muuttajien koulutus 4]],0)</f>
        <v>0</v>
      </c>
      <c r="AV106" s="208">
        <f>IFERROR(Opv.kohd.[[#This Row],[Nuorisotyöt. väh. ja osaamistarp. vast., muu kuin työvoima-koulutus 5]]/Opv.kohd.[[#This Row],[Nuorisotyöt. väh. ja osaamistarp. vast., muu kuin työvoima-koulutus 4]],0)</f>
        <v>0</v>
      </c>
      <c r="AW106" s="208">
        <f>IFERROR(Opv.kohd.[[#This Row],[Nuorisotyöt. väh. ja osaamistarp. vast., työvoima-koulutus 5]]/Opv.kohd.[[#This Row],[Nuorisotyöt. väh. ja osaamistarp. vast., työvoima-koulutus 4]],0)</f>
        <v>0</v>
      </c>
      <c r="AX106" s="208">
        <f>IFERROR(Opv.kohd.[[#This Row],[Yhteensä 5]]/Opv.kohd.[[#This Row],[Yhteensä 4]],0)</f>
        <v>0</v>
      </c>
      <c r="AY106" s="208">
        <f>IFERROR(Opv.kohd.[[#This Row],[Ensikertaisella suoritepäätöksellä jaetut tavoitteelliset opiskelijavuodet yhteensä 5]]/Opv.kohd.[[#This Row],[Ensikertaisella suoritepäätöksellä jaetut tavoitteelliset opiskelijavuodet yhteensä 4]],0)</f>
        <v>0</v>
      </c>
      <c r="AZ106" s="207">
        <f>Opv.kohd.[[#This Row],[Yhteensä 7a]]-Opv.kohd.[[#This Row],[Työvoima-koulutus 7a]]</f>
        <v>0</v>
      </c>
      <c r="BA106" s="207">
        <f>IFERROR(VLOOKUP(Opv.kohd.[[#This Row],[Y-tunnus]],#REF!,COLUMN(#REF!),FALSE),0)</f>
        <v>0</v>
      </c>
      <c r="BB106" s="207">
        <f>IFERROR(VLOOKUP(Opv.kohd.[[#This Row],[Y-tunnus]],#REF!,COLUMN(#REF!),FALSE),0)</f>
        <v>0</v>
      </c>
      <c r="BC106" s="207">
        <f>Opv.kohd.[[#This Row],[Muu kuin työvoima-koulutus 7c]]-Opv.kohd.[[#This Row],[Muu kuin työvoima-koulutus 7a]]</f>
        <v>0</v>
      </c>
      <c r="BD106" s="207">
        <f>Opv.kohd.[[#This Row],[Työvoima-koulutus 7c]]-Opv.kohd.[[#This Row],[Työvoima-koulutus 7a]]</f>
        <v>0</v>
      </c>
      <c r="BE106" s="207">
        <f>Opv.kohd.[[#This Row],[Yhteensä 7c]]-Opv.kohd.[[#This Row],[Yhteensä 7a]]</f>
        <v>0</v>
      </c>
      <c r="BF106" s="207">
        <f>Opv.kohd.[[#This Row],[Yhteensä 7c]]-Opv.kohd.[[#This Row],[Työvoima-koulutus 7c]]</f>
        <v>0</v>
      </c>
      <c r="BG106" s="207">
        <f>IFERROR(VLOOKUP(Opv.kohd.[[#This Row],[Y-tunnus]],#REF!,COLUMN(#REF!),FALSE),0)</f>
        <v>0</v>
      </c>
      <c r="BH106" s="207">
        <f>IFERROR(VLOOKUP(Opv.kohd.[[#This Row],[Y-tunnus]],#REF!,COLUMN(#REF!),FALSE),0)</f>
        <v>0</v>
      </c>
      <c r="BI106" s="207">
        <f>IFERROR(VLOOKUP(Opv.kohd.[[#This Row],[Y-tunnus]],#REF!,COLUMN(#REF!),FALSE),0)</f>
        <v>0</v>
      </c>
      <c r="BJ106" s="207">
        <f>IFERROR(VLOOKUP(Opv.kohd.[[#This Row],[Y-tunnus]],#REF!,COLUMN(#REF!),FALSE),0)</f>
        <v>0</v>
      </c>
      <c r="BK106" s="207">
        <f>Opv.kohd.[[#This Row],[Muu kuin työvoima-koulutus 7d]]+Opv.kohd.[[#This Row],[Työvoima-koulutus 7d]]</f>
        <v>0</v>
      </c>
      <c r="BL106" s="207">
        <f>Opv.kohd.[[#This Row],[Muu kuin työvoima-koulutus 7c]]-Opv.kohd.[[#This Row],[Muu kuin työvoima-koulutus 7d]]</f>
        <v>0</v>
      </c>
      <c r="BM106" s="207">
        <f>Opv.kohd.[[#This Row],[Työvoima-koulutus 7c]]-Opv.kohd.[[#This Row],[Työvoima-koulutus 7d]]</f>
        <v>0</v>
      </c>
      <c r="BN106" s="207">
        <f>Opv.kohd.[[#This Row],[Yhteensä 7c]]-Opv.kohd.[[#This Row],[Yhteensä 7d]]</f>
        <v>0</v>
      </c>
      <c r="BO106" s="207">
        <f>Opv.kohd.[[#This Row],[Muu kuin työvoima-koulutus 7e]]-(Opv.kohd.[[#This Row],[Järjestämisluvan mukaiset 4]]+Opv.kohd.[[#This Row],[Kohdentamat-tomat 4]]+Opv.kohd.[[#This Row],[Maahan-muuttajien koulutus 4]]+Opv.kohd.[[#This Row],[Nuorisotyöt. väh. ja osaamistarp. vast., muu kuin työvoima-koulutus 4]])</f>
        <v>0</v>
      </c>
      <c r="BP106" s="207">
        <f>Opv.kohd.[[#This Row],[Työvoima-koulutus 7e]]-(Opv.kohd.[[#This Row],[Työvoima-koulutus 4]]+Opv.kohd.[[#This Row],[Nuorisotyöt. väh. ja osaamistarp. vast., työvoima-koulutus 4]])</f>
        <v>0</v>
      </c>
      <c r="BQ106" s="207">
        <f>Opv.kohd.[[#This Row],[Yhteensä 7e]]-Opv.kohd.[[#This Row],[Ensikertaisella suoritepäätöksellä jaetut tavoitteelliset opiskelijavuodet yhteensä 4]]</f>
        <v>0</v>
      </c>
      <c r="BR106" s="263">
        <v>194</v>
      </c>
      <c r="BS106" s="263">
        <v>10</v>
      </c>
      <c r="BT106" s="263">
        <v>95</v>
      </c>
      <c r="BU106" s="263">
        <v>5</v>
      </c>
      <c r="BV106" s="263">
        <v>5</v>
      </c>
      <c r="BW106" s="263">
        <v>0</v>
      </c>
      <c r="BX106" s="263">
        <v>115</v>
      </c>
      <c r="BY106" s="263">
        <v>309</v>
      </c>
      <c r="BZ106" s="207">
        <f t="shared" si="17"/>
        <v>194</v>
      </c>
      <c r="CA106" s="207">
        <f t="shared" si="18"/>
        <v>10</v>
      </c>
      <c r="CB106" s="207">
        <f t="shared" si="19"/>
        <v>95</v>
      </c>
      <c r="CC106" s="207">
        <f t="shared" si="20"/>
        <v>5</v>
      </c>
      <c r="CD106" s="207">
        <f t="shared" si="21"/>
        <v>5</v>
      </c>
      <c r="CE106" s="207">
        <f t="shared" si="22"/>
        <v>0</v>
      </c>
      <c r="CF106" s="207">
        <f t="shared" si="23"/>
        <v>115</v>
      </c>
      <c r="CG106" s="207">
        <f t="shared" si="24"/>
        <v>309</v>
      </c>
      <c r="CH106" s="207">
        <f>Opv.kohd.[[#This Row],[Tavoitteelliset opiskelijavuodet yhteensä 9]]-Opv.kohd.[[#This Row],[Työvoima-koulutus 9]]-Opv.kohd.[[#This Row],[Nuorisotyöt. väh. ja osaamistarp. vast., työvoima-koulutus 9]]-Opv.kohd.[[#This Row],[Muu kuin työvoima-koulutus 7e]]</f>
        <v>214</v>
      </c>
      <c r="CI106" s="207">
        <f>(Opv.kohd.[[#This Row],[Työvoima-koulutus 9]]+Opv.kohd.[[#This Row],[Nuorisotyöt. väh. ja osaamistarp. vast., työvoima-koulutus 9]])-Opv.kohd.[[#This Row],[Työvoima-koulutus 7e]]</f>
        <v>95</v>
      </c>
      <c r="CJ106" s="207">
        <f>Opv.kohd.[[#This Row],[Tavoitteelliset opiskelijavuodet yhteensä 9]]-Opv.kohd.[[#This Row],[Yhteensä 7e]]</f>
        <v>309</v>
      </c>
      <c r="CK106" s="207">
        <f>Opv.kohd.[[#This Row],[Järjestämisluvan mukaiset 4]]+Opv.kohd.[[#This Row],[Järjestämisluvan mukaiset 13]]</f>
        <v>0</v>
      </c>
      <c r="CL106" s="207">
        <f>Opv.kohd.[[#This Row],[Kohdentamat-tomat 4]]+Opv.kohd.[[#This Row],[Kohdentamat-tomat 13]]</f>
        <v>0</v>
      </c>
      <c r="CM106" s="207">
        <f>Opv.kohd.[[#This Row],[Työvoima-koulutus 4]]+Opv.kohd.[[#This Row],[Työvoima-koulutus 13]]</f>
        <v>0</v>
      </c>
      <c r="CN106" s="207">
        <f>Opv.kohd.[[#This Row],[Maahan-muuttajien koulutus 4]]+Opv.kohd.[[#This Row],[Maahan-muuttajien koulutus 13]]</f>
        <v>0</v>
      </c>
      <c r="CO106" s="207">
        <f>Opv.kohd.[[#This Row],[Nuorisotyöt. väh. ja osaamistarp. vast., muu kuin työvoima-koulutus 4]]+Opv.kohd.[[#This Row],[Nuorisotyöt. väh. ja osaamistarp. vast., muu kuin työvoima-koulutus 13]]</f>
        <v>0</v>
      </c>
      <c r="CP106" s="207">
        <f>Opv.kohd.[[#This Row],[Nuorisotyöt. väh. ja osaamistarp. vast., työvoima-koulutus 4]]+Opv.kohd.[[#This Row],[Nuorisotyöt. väh. ja osaamistarp. vast., työvoima-koulutus 13]]</f>
        <v>0</v>
      </c>
      <c r="CQ106" s="207">
        <f>Opv.kohd.[[#This Row],[Yhteensä 4]]+Opv.kohd.[[#This Row],[Yhteensä 13]]</f>
        <v>0</v>
      </c>
      <c r="CR106" s="207">
        <f>Opv.kohd.[[#This Row],[Ensikertaisella suoritepäätöksellä jaetut tavoitteelliset opiskelijavuodet yhteensä 4]]+Opv.kohd.[[#This Row],[Tavoitteelliset opiskelijavuodet yhteensä 13]]</f>
        <v>0</v>
      </c>
      <c r="CS106" s="120">
        <v>0</v>
      </c>
      <c r="CT106" s="120">
        <v>0</v>
      </c>
      <c r="CU106" s="120">
        <v>0</v>
      </c>
      <c r="CV106" s="120">
        <v>0</v>
      </c>
      <c r="CW106" s="120">
        <v>0</v>
      </c>
      <c r="CX106" s="120">
        <v>0</v>
      </c>
      <c r="CY106" s="120">
        <v>0</v>
      </c>
      <c r="CZ106" s="120">
        <v>0</v>
      </c>
      <c r="DA106" s="209">
        <f>IFERROR(Opv.kohd.[[#This Row],[Järjestämisluvan mukaiset 13]]/Opv.kohd.[[#This Row],[Järjestämisluvan mukaiset 12]],0)</f>
        <v>0</v>
      </c>
      <c r="DB106" s="209">
        <f>IFERROR(Opv.kohd.[[#This Row],[Kohdentamat-tomat 13]]/Opv.kohd.[[#This Row],[Kohdentamat-tomat 12]],0)</f>
        <v>0</v>
      </c>
      <c r="DC106" s="209">
        <f>IFERROR(Opv.kohd.[[#This Row],[Työvoima-koulutus 13]]/Opv.kohd.[[#This Row],[Työvoima-koulutus 12]],0)</f>
        <v>0</v>
      </c>
      <c r="DD106" s="209">
        <f>IFERROR(Opv.kohd.[[#This Row],[Maahan-muuttajien koulutus 13]]/Opv.kohd.[[#This Row],[Maahan-muuttajien koulutus 12]],0)</f>
        <v>0</v>
      </c>
      <c r="DE106" s="209">
        <f>IFERROR(Opv.kohd.[[#This Row],[Nuorisotyöt. väh. ja osaamistarp. vast., muu kuin työvoima-koulutus 13]]/Opv.kohd.[[#This Row],[Nuorisotyöt. väh. ja osaamistarp. vast., muu kuin työvoima-koulutus 12]],0)</f>
        <v>0</v>
      </c>
      <c r="DF106" s="209">
        <f>IFERROR(Opv.kohd.[[#This Row],[Nuorisotyöt. väh. ja osaamistarp. vast., työvoima-koulutus 13]]/Opv.kohd.[[#This Row],[Nuorisotyöt. väh. ja osaamistarp. vast., työvoima-koulutus 12]],0)</f>
        <v>0</v>
      </c>
      <c r="DG106" s="209">
        <f>IFERROR(Opv.kohd.[[#This Row],[Yhteensä 13]]/Opv.kohd.[[#This Row],[Yhteensä 12]],0)</f>
        <v>0</v>
      </c>
      <c r="DH106" s="209">
        <f>IFERROR(Opv.kohd.[[#This Row],[Tavoitteelliset opiskelijavuodet yhteensä 13]]/Opv.kohd.[[#This Row],[Tavoitteelliset opiskelijavuodet yhteensä 12]],0)</f>
        <v>0</v>
      </c>
      <c r="DI106" s="207">
        <f>Opv.kohd.[[#This Row],[Järjestämisluvan mukaiset 12]]-Opv.kohd.[[#This Row],[Järjestämisluvan mukaiset 9]]</f>
        <v>-194</v>
      </c>
      <c r="DJ106" s="207">
        <f>Opv.kohd.[[#This Row],[Kohdentamat-tomat 12]]-Opv.kohd.[[#This Row],[Kohdentamat-tomat 9]]</f>
        <v>-10</v>
      </c>
      <c r="DK106" s="207">
        <f>Opv.kohd.[[#This Row],[Työvoima-koulutus 12]]-Opv.kohd.[[#This Row],[Työvoima-koulutus 9]]</f>
        <v>-95</v>
      </c>
      <c r="DL106" s="207">
        <f>Opv.kohd.[[#This Row],[Maahan-muuttajien koulutus 12]]-Opv.kohd.[[#This Row],[Maahan-muuttajien koulutus 9]]</f>
        <v>-5</v>
      </c>
      <c r="DM106" s="207">
        <f>Opv.kohd.[[#This Row],[Nuorisotyöt. väh. ja osaamistarp. vast., muu kuin työvoima-koulutus 12]]-Opv.kohd.[[#This Row],[Nuorisotyöt. väh. ja osaamistarp. vast., muu kuin työvoima-koulutus 9]]</f>
        <v>-5</v>
      </c>
      <c r="DN106" s="207">
        <f>Opv.kohd.[[#This Row],[Nuorisotyöt. väh. ja osaamistarp. vast., työvoima-koulutus 12]]-Opv.kohd.[[#This Row],[Nuorisotyöt. väh. ja osaamistarp. vast., työvoima-koulutus 9]]</f>
        <v>0</v>
      </c>
      <c r="DO106" s="207">
        <f>Opv.kohd.[[#This Row],[Yhteensä 12]]-Opv.kohd.[[#This Row],[Yhteensä 9]]</f>
        <v>-115</v>
      </c>
      <c r="DP106" s="207">
        <f>Opv.kohd.[[#This Row],[Tavoitteelliset opiskelijavuodet yhteensä 12]]-Opv.kohd.[[#This Row],[Tavoitteelliset opiskelijavuodet yhteensä 9]]</f>
        <v>-309</v>
      </c>
      <c r="DQ106" s="209">
        <f>IFERROR(Opv.kohd.[[#This Row],[Järjestämisluvan mukaiset 15]]/Opv.kohd.[[#This Row],[Järjestämisluvan mukaiset 9]],0)</f>
        <v>-1</v>
      </c>
      <c r="DR106" s="209">
        <f t="shared" si="25"/>
        <v>0</v>
      </c>
      <c r="DS106" s="209">
        <f t="shared" si="26"/>
        <v>0</v>
      </c>
      <c r="DT106" s="209">
        <f t="shared" si="27"/>
        <v>0</v>
      </c>
      <c r="DU106" s="209">
        <f t="shared" si="28"/>
        <v>0</v>
      </c>
      <c r="DV106" s="209">
        <f t="shared" si="29"/>
        <v>0</v>
      </c>
      <c r="DW106" s="209">
        <f t="shared" si="30"/>
        <v>0</v>
      </c>
      <c r="DX106" s="209">
        <f t="shared" si="31"/>
        <v>0</v>
      </c>
    </row>
    <row r="107" spans="1:128" x14ac:dyDescent="0.25">
      <c r="A107" s="204" t="e">
        <f>IF(INDEX(#REF!,ROW(107:107)-1,1)=0,"",INDEX(#REF!,ROW(107:107)-1,1))</f>
        <v>#REF!</v>
      </c>
      <c r="B107" s="205" t="str">
        <f>IFERROR(VLOOKUP(Opv.kohd.[[#This Row],[Y-tunnus]],'0 Järjestäjätiedot'!$A:$H,2,FALSE),"")</f>
        <v/>
      </c>
      <c r="C107" s="204" t="str">
        <f>IFERROR(VLOOKUP(Opv.kohd.[[#This Row],[Y-tunnus]],'0 Järjestäjätiedot'!$A:$H,COLUMN('0 Järjestäjätiedot'!D:D),FALSE),"")</f>
        <v/>
      </c>
      <c r="D107" s="204" t="str">
        <f>IFERROR(VLOOKUP(Opv.kohd.[[#This Row],[Y-tunnus]],'0 Järjestäjätiedot'!$A:$H,COLUMN('0 Järjestäjätiedot'!H:H),FALSE),"")</f>
        <v/>
      </c>
      <c r="E107" s="204">
        <f>IFERROR(VLOOKUP(Opv.kohd.[[#This Row],[Y-tunnus]],#REF!,COLUMN(#REF!),FALSE),0)</f>
        <v>0</v>
      </c>
      <c r="F107" s="204">
        <f>IFERROR(VLOOKUP(Opv.kohd.[[#This Row],[Y-tunnus]],#REF!,COLUMN(#REF!),FALSE),0)</f>
        <v>0</v>
      </c>
      <c r="G107" s="204">
        <f>IFERROR(VLOOKUP(Opv.kohd.[[#This Row],[Y-tunnus]],#REF!,COLUMN(#REF!),FALSE),0)</f>
        <v>0</v>
      </c>
      <c r="H107" s="204">
        <f>IFERROR(VLOOKUP(Opv.kohd.[[#This Row],[Y-tunnus]],#REF!,COLUMN(#REF!),FALSE),0)</f>
        <v>0</v>
      </c>
      <c r="I107" s="204">
        <f>IFERROR(VLOOKUP(Opv.kohd.[[#This Row],[Y-tunnus]],#REF!,COLUMN(#REF!),FALSE),0)</f>
        <v>0</v>
      </c>
      <c r="J107" s="204">
        <f>IFERROR(VLOOKUP(Opv.kohd.[[#This Row],[Y-tunnus]],#REF!,COLUMN(#REF!),FALSE),0)</f>
        <v>0</v>
      </c>
      <c r="K10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07" s="204">
        <f>Opv.kohd.[[#This Row],[Järjestämisluvan mukaiset 1]]+Opv.kohd.[[#This Row],[Yhteensä  1]]</f>
        <v>0</v>
      </c>
      <c r="M107" s="204">
        <f>IFERROR(VLOOKUP(Opv.kohd.[[#This Row],[Y-tunnus]],#REF!,COLUMN(#REF!),FALSE),0)</f>
        <v>0</v>
      </c>
      <c r="N107" s="204">
        <f>IFERROR(VLOOKUP(Opv.kohd.[[#This Row],[Y-tunnus]],#REF!,COLUMN(#REF!),FALSE),0)</f>
        <v>0</v>
      </c>
      <c r="O107" s="204">
        <f>IFERROR(VLOOKUP(Opv.kohd.[[#This Row],[Y-tunnus]],#REF!,COLUMN(#REF!),FALSE)+VLOOKUP(Opv.kohd.[[#This Row],[Y-tunnus]],#REF!,COLUMN(#REF!),FALSE),0)</f>
        <v>0</v>
      </c>
      <c r="P107" s="204">
        <f>Opv.kohd.[[#This Row],[Talousarvion perusteella kohdentamattomat]]+Opv.kohd.[[#This Row],[Talousarvion perusteella työvoimakoulutus 1]]+Opv.kohd.[[#This Row],[Lisätalousarvioiden perusteella]]</f>
        <v>0</v>
      </c>
      <c r="Q107" s="204">
        <f>IFERROR(VLOOKUP(Opv.kohd.[[#This Row],[Y-tunnus]],#REF!,COLUMN(#REF!),FALSE),0)</f>
        <v>0</v>
      </c>
      <c r="R107" s="210">
        <f>IFERROR(VLOOKUP(Opv.kohd.[[#This Row],[Y-tunnus]],#REF!,COLUMN(#REF!),FALSE)-(Opv.kohd.[[#This Row],[Kohdentamaton työvoima-koulutus 2]]+Opv.kohd.[[#This Row],[Maahan-muuttajien koulutus 2]]+Opv.kohd.[[#This Row],[Lisätalousarvioiden perusteella jaetut 2]]),0)</f>
        <v>0</v>
      </c>
      <c r="S107" s="210">
        <f>IFERROR(VLOOKUP(Opv.kohd.[[#This Row],[Y-tunnus]],#REF!,COLUMN(#REF!),FALSE)+VLOOKUP(Opv.kohd.[[#This Row],[Y-tunnus]],#REF!,COLUMN(#REF!),FALSE),0)</f>
        <v>0</v>
      </c>
      <c r="T107" s="210">
        <f>IFERROR(VLOOKUP(Opv.kohd.[[#This Row],[Y-tunnus]],#REF!,COLUMN(#REF!),FALSE)+VLOOKUP(Opv.kohd.[[#This Row],[Y-tunnus]],#REF!,COLUMN(#REF!),FALSE),0)</f>
        <v>0</v>
      </c>
      <c r="U10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07" s="210">
        <f>Opv.kohd.[[#This Row],[Kohdentamat-tomat 2]]+Opv.kohd.[[#This Row],[Kohdentamaton työvoima-koulutus 2]]+Opv.kohd.[[#This Row],[Maahan-muuttajien koulutus 2]]+Opv.kohd.[[#This Row],[Lisätalousarvioiden perusteella jaetut 2]]</f>
        <v>0</v>
      </c>
      <c r="W107" s="210">
        <f>Opv.kohd.[[#This Row],[Kohdentamat-tomat 2]]-(Opv.kohd.[[#This Row],[Järjestämisluvan mukaiset 1]]+Opv.kohd.[[#This Row],[Kohdentamat-tomat 1]]+Opv.kohd.[[#This Row],[Nuorisotyöt. väh. ja osaamistarp. vast., muu kuin työvoima-koulutus 1]]+Opv.kohd.[[#This Row],[Talousarvion perusteella kohdentamattomat]])</f>
        <v>0</v>
      </c>
      <c r="X107" s="210">
        <f>Opv.kohd.[[#This Row],[Kohdentamaton työvoima-koulutus 2]]-(Opv.kohd.[[#This Row],[Työvoima-koulutus 1]]+Opv.kohd.[[#This Row],[Nuorisotyöt. väh. ja osaamistarp. vast., työvoima-koulutus 1]]+Opv.kohd.[[#This Row],[Talousarvion perusteella työvoimakoulutus 1]])</f>
        <v>0</v>
      </c>
      <c r="Y107" s="210">
        <f>Opv.kohd.[[#This Row],[Maahan-muuttajien koulutus 2]]-Opv.kohd.[[#This Row],[Maahan-muuttajien koulutus 1]]</f>
        <v>0</v>
      </c>
      <c r="Z107" s="210">
        <f>Opv.kohd.[[#This Row],[Lisätalousarvioiden perusteella jaetut 2]]-Opv.kohd.[[#This Row],[Lisätalousarvioiden perusteella]]</f>
        <v>0</v>
      </c>
      <c r="AA107" s="210">
        <f>Opv.kohd.[[#This Row],[Toteutuneet opiskelijavuodet yhteensä 2]]-Opv.kohd.[[#This Row],[Vuoden 2018 tavoitteelliset opiskelijavuodet yhteensä 1]]</f>
        <v>0</v>
      </c>
      <c r="AB107" s="207">
        <f>IFERROR(VLOOKUP(Opv.kohd.[[#This Row],[Y-tunnus]],#REF!,3,FALSE),0)</f>
        <v>0</v>
      </c>
      <c r="AC107" s="207">
        <f>IFERROR(VLOOKUP(Opv.kohd.[[#This Row],[Y-tunnus]],#REF!,4,FALSE),0)</f>
        <v>0</v>
      </c>
      <c r="AD107" s="207">
        <f>IFERROR(VLOOKUP(Opv.kohd.[[#This Row],[Y-tunnus]],#REF!,5,FALSE),0)</f>
        <v>0</v>
      </c>
      <c r="AE107" s="207">
        <f>IFERROR(VLOOKUP(Opv.kohd.[[#This Row],[Y-tunnus]],#REF!,6,FALSE),0)</f>
        <v>0</v>
      </c>
      <c r="AF107" s="207">
        <f>IFERROR(VLOOKUP(Opv.kohd.[[#This Row],[Y-tunnus]],#REF!,7,FALSE),0)</f>
        <v>0</v>
      </c>
      <c r="AG107" s="207">
        <f>IFERROR(VLOOKUP(Opv.kohd.[[#This Row],[Y-tunnus]],#REF!,8,FALSE),0)</f>
        <v>0</v>
      </c>
      <c r="AH107" s="207">
        <f>IFERROR(VLOOKUP(Opv.kohd.[[#This Row],[Y-tunnus]],#REF!,9,FALSE),0)</f>
        <v>0</v>
      </c>
      <c r="AI107" s="207">
        <f>IFERROR(VLOOKUP(Opv.kohd.[[#This Row],[Y-tunnus]],#REF!,10,FALSE),0)</f>
        <v>0</v>
      </c>
      <c r="AJ107" s="204">
        <f>Opv.kohd.[[#This Row],[Järjestämisluvan mukaiset 4]]-Opv.kohd.[[#This Row],[Järjestämisluvan mukaiset 1]]</f>
        <v>0</v>
      </c>
      <c r="AK107" s="204">
        <f>Opv.kohd.[[#This Row],[Kohdentamat-tomat 4]]-Opv.kohd.[[#This Row],[Kohdentamat-tomat 1]]</f>
        <v>0</v>
      </c>
      <c r="AL107" s="204">
        <f>Opv.kohd.[[#This Row],[Työvoima-koulutus 4]]-Opv.kohd.[[#This Row],[Työvoima-koulutus 1]]</f>
        <v>0</v>
      </c>
      <c r="AM107" s="204">
        <f>Opv.kohd.[[#This Row],[Maahan-muuttajien koulutus 4]]-Opv.kohd.[[#This Row],[Maahan-muuttajien koulutus 1]]</f>
        <v>0</v>
      </c>
      <c r="AN107" s="204">
        <f>Opv.kohd.[[#This Row],[Nuorisotyöt. väh. ja osaamistarp. vast., muu kuin työvoima-koulutus 4]]-Opv.kohd.[[#This Row],[Nuorisotyöt. väh. ja osaamistarp. vast., muu kuin työvoima-koulutus 1]]</f>
        <v>0</v>
      </c>
      <c r="AO107" s="204">
        <f>Opv.kohd.[[#This Row],[Nuorisotyöt. väh. ja osaamistarp. vast., työvoima-koulutus 4]]-Opv.kohd.[[#This Row],[Nuorisotyöt. väh. ja osaamistarp. vast., työvoima-koulutus 1]]</f>
        <v>0</v>
      </c>
      <c r="AP107" s="204">
        <f>Opv.kohd.[[#This Row],[Yhteensä 4]]-Opv.kohd.[[#This Row],[Yhteensä  1]]</f>
        <v>0</v>
      </c>
      <c r="AQ107" s="204">
        <f>Opv.kohd.[[#This Row],[Ensikertaisella suoritepäätöksellä jaetut tavoitteelliset opiskelijavuodet yhteensä 4]]-Opv.kohd.[[#This Row],[Ensikertaisella suoritepäätöksellä jaetut tavoitteelliset opiskelijavuodet yhteensä 1]]</f>
        <v>0</v>
      </c>
      <c r="AR107" s="208">
        <f>IFERROR(Opv.kohd.[[#This Row],[Järjestämisluvan mukaiset 5]]/Opv.kohd.[[#This Row],[Järjestämisluvan mukaiset 4]],0)</f>
        <v>0</v>
      </c>
      <c r="AS107" s="208">
        <f>IFERROR(Opv.kohd.[[#This Row],[Kohdentamat-tomat 5]]/Opv.kohd.[[#This Row],[Kohdentamat-tomat 4]],0)</f>
        <v>0</v>
      </c>
      <c r="AT107" s="208">
        <f>IFERROR(Opv.kohd.[[#This Row],[Työvoima-koulutus 5]]/Opv.kohd.[[#This Row],[Työvoima-koulutus 4]],0)</f>
        <v>0</v>
      </c>
      <c r="AU107" s="208">
        <f>IFERROR(Opv.kohd.[[#This Row],[Maahan-muuttajien koulutus 5]]/Opv.kohd.[[#This Row],[Maahan-muuttajien koulutus 4]],0)</f>
        <v>0</v>
      </c>
      <c r="AV107" s="208">
        <f>IFERROR(Opv.kohd.[[#This Row],[Nuorisotyöt. väh. ja osaamistarp. vast., muu kuin työvoima-koulutus 5]]/Opv.kohd.[[#This Row],[Nuorisotyöt. väh. ja osaamistarp. vast., muu kuin työvoima-koulutus 4]],0)</f>
        <v>0</v>
      </c>
      <c r="AW107" s="208">
        <f>IFERROR(Opv.kohd.[[#This Row],[Nuorisotyöt. väh. ja osaamistarp. vast., työvoima-koulutus 5]]/Opv.kohd.[[#This Row],[Nuorisotyöt. väh. ja osaamistarp. vast., työvoima-koulutus 4]],0)</f>
        <v>0</v>
      </c>
      <c r="AX107" s="208">
        <f>IFERROR(Opv.kohd.[[#This Row],[Yhteensä 5]]/Opv.kohd.[[#This Row],[Yhteensä 4]],0)</f>
        <v>0</v>
      </c>
      <c r="AY107" s="208">
        <f>IFERROR(Opv.kohd.[[#This Row],[Ensikertaisella suoritepäätöksellä jaetut tavoitteelliset opiskelijavuodet yhteensä 5]]/Opv.kohd.[[#This Row],[Ensikertaisella suoritepäätöksellä jaetut tavoitteelliset opiskelijavuodet yhteensä 4]],0)</f>
        <v>0</v>
      </c>
      <c r="AZ107" s="207">
        <f>Opv.kohd.[[#This Row],[Yhteensä 7a]]-Opv.kohd.[[#This Row],[Työvoima-koulutus 7a]]</f>
        <v>0</v>
      </c>
      <c r="BA107" s="207">
        <f>IFERROR(VLOOKUP(Opv.kohd.[[#This Row],[Y-tunnus]],#REF!,COLUMN(#REF!),FALSE),0)</f>
        <v>0</v>
      </c>
      <c r="BB107" s="207">
        <f>IFERROR(VLOOKUP(Opv.kohd.[[#This Row],[Y-tunnus]],#REF!,COLUMN(#REF!),FALSE),0)</f>
        <v>0</v>
      </c>
      <c r="BC107" s="207">
        <f>Opv.kohd.[[#This Row],[Muu kuin työvoima-koulutus 7c]]-Opv.kohd.[[#This Row],[Muu kuin työvoima-koulutus 7a]]</f>
        <v>0</v>
      </c>
      <c r="BD107" s="207">
        <f>Opv.kohd.[[#This Row],[Työvoima-koulutus 7c]]-Opv.kohd.[[#This Row],[Työvoima-koulutus 7a]]</f>
        <v>0</v>
      </c>
      <c r="BE107" s="207">
        <f>Opv.kohd.[[#This Row],[Yhteensä 7c]]-Opv.kohd.[[#This Row],[Yhteensä 7a]]</f>
        <v>0</v>
      </c>
      <c r="BF107" s="207">
        <f>Opv.kohd.[[#This Row],[Yhteensä 7c]]-Opv.kohd.[[#This Row],[Työvoima-koulutus 7c]]</f>
        <v>0</v>
      </c>
      <c r="BG107" s="207">
        <f>IFERROR(VLOOKUP(Opv.kohd.[[#This Row],[Y-tunnus]],#REF!,COLUMN(#REF!),FALSE),0)</f>
        <v>0</v>
      </c>
      <c r="BH107" s="207">
        <f>IFERROR(VLOOKUP(Opv.kohd.[[#This Row],[Y-tunnus]],#REF!,COLUMN(#REF!),FALSE),0)</f>
        <v>0</v>
      </c>
      <c r="BI107" s="207">
        <f>IFERROR(VLOOKUP(Opv.kohd.[[#This Row],[Y-tunnus]],#REF!,COLUMN(#REF!),FALSE),0)</f>
        <v>0</v>
      </c>
      <c r="BJ107" s="207">
        <f>IFERROR(VLOOKUP(Opv.kohd.[[#This Row],[Y-tunnus]],#REF!,COLUMN(#REF!),FALSE),0)</f>
        <v>0</v>
      </c>
      <c r="BK107" s="207">
        <f>Opv.kohd.[[#This Row],[Muu kuin työvoima-koulutus 7d]]+Opv.kohd.[[#This Row],[Työvoima-koulutus 7d]]</f>
        <v>0</v>
      </c>
      <c r="BL107" s="207">
        <f>Opv.kohd.[[#This Row],[Muu kuin työvoima-koulutus 7c]]-Opv.kohd.[[#This Row],[Muu kuin työvoima-koulutus 7d]]</f>
        <v>0</v>
      </c>
      <c r="BM107" s="207">
        <f>Opv.kohd.[[#This Row],[Työvoima-koulutus 7c]]-Opv.kohd.[[#This Row],[Työvoima-koulutus 7d]]</f>
        <v>0</v>
      </c>
      <c r="BN107" s="207">
        <f>Opv.kohd.[[#This Row],[Yhteensä 7c]]-Opv.kohd.[[#This Row],[Yhteensä 7d]]</f>
        <v>0</v>
      </c>
      <c r="BO107" s="207">
        <f>Opv.kohd.[[#This Row],[Muu kuin työvoima-koulutus 7e]]-(Opv.kohd.[[#This Row],[Järjestämisluvan mukaiset 4]]+Opv.kohd.[[#This Row],[Kohdentamat-tomat 4]]+Opv.kohd.[[#This Row],[Maahan-muuttajien koulutus 4]]+Opv.kohd.[[#This Row],[Nuorisotyöt. väh. ja osaamistarp. vast., muu kuin työvoima-koulutus 4]])</f>
        <v>0</v>
      </c>
      <c r="BP107" s="207">
        <f>Opv.kohd.[[#This Row],[Työvoima-koulutus 7e]]-(Opv.kohd.[[#This Row],[Työvoima-koulutus 4]]+Opv.kohd.[[#This Row],[Nuorisotyöt. väh. ja osaamistarp. vast., työvoima-koulutus 4]])</f>
        <v>0</v>
      </c>
      <c r="BQ107" s="207">
        <f>Opv.kohd.[[#This Row],[Yhteensä 7e]]-Opv.kohd.[[#This Row],[Ensikertaisella suoritepäätöksellä jaetut tavoitteelliset opiskelijavuodet yhteensä 4]]</f>
        <v>0</v>
      </c>
      <c r="BR107" s="263">
        <v>105</v>
      </c>
      <c r="BS107" s="263">
        <v>8</v>
      </c>
      <c r="BT107" s="263">
        <v>0</v>
      </c>
      <c r="BU107" s="263">
        <v>0</v>
      </c>
      <c r="BV107" s="263">
        <v>0</v>
      </c>
      <c r="BW107" s="263">
        <v>0</v>
      </c>
      <c r="BX107" s="263">
        <v>8</v>
      </c>
      <c r="BY107" s="263">
        <v>113</v>
      </c>
      <c r="BZ107" s="207">
        <f t="shared" si="17"/>
        <v>105</v>
      </c>
      <c r="CA107" s="207">
        <f t="shared" si="18"/>
        <v>8</v>
      </c>
      <c r="CB107" s="207">
        <f t="shared" si="19"/>
        <v>0</v>
      </c>
      <c r="CC107" s="207">
        <f t="shared" si="20"/>
        <v>0</v>
      </c>
      <c r="CD107" s="207">
        <f t="shared" si="21"/>
        <v>0</v>
      </c>
      <c r="CE107" s="207">
        <f t="shared" si="22"/>
        <v>0</v>
      </c>
      <c r="CF107" s="207">
        <f t="shared" si="23"/>
        <v>8</v>
      </c>
      <c r="CG107" s="207">
        <f t="shared" si="24"/>
        <v>113</v>
      </c>
      <c r="CH107" s="207">
        <f>Opv.kohd.[[#This Row],[Tavoitteelliset opiskelijavuodet yhteensä 9]]-Opv.kohd.[[#This Row],[Työvoima-koulutus 9]]-Opv.kohd.[[#This Row],[Nuorisotyöt. väh. ja osaamistarp. vast., työvoima-koulutus 9]]-Opv.kohd.[[#This Row],[Muu kuin työvoima-koulutus 7e]]</f>
        <v>113</v>
      </c>
      <c r="CI107" s="207">
        <f>(Opv.kohd.[[#This Row],[Työvoima-koulutus 9]]+Opv.kohd.[[#This Row],[Nuorisotyöt. väh. ja osaamistarp. vast., työvoima-koulutus 9]])-Opv.kohd.[[#This Row],[Työvoima-koulutus 7e]]</f>
        <v>0</v>
      </c>
      <c r="CJ107" s="207">
        <f>Opv.kohd.[[#This Row],[Tavoitteelliset opiskelijavuodet yhteensä 9]]-Opv.kohd.[[#This Row],[Yhteensä 7e]]</f>
        <v>113</v>
      </c>
      <c r="CK107" s="207">
        <f>Opv.kohd.[[#This Row],[Järjestämisluvan mukaiset 4]]+Opv.kohd.[[#This Row],[Järjestämisluvan mukaiset 13]]</f>
        <v>0</v>
      </c>
      <c r="CL107" s="207">
        <f>Opv.kohd.[[#This Row],[Kohdentamat-tomat 4]]+Opv.kohd.[[#This Row],[Kohdentamat-tomat 13]]</f>
        <v>0</v>
      </c>
      <c r="CM107" s="207">
        <f>Opv.kohd.[[#This Row],[Työvoima-koulutus 4]]+Opv.kohd.[[#This Row],[Työvoima-koulutus 13]]</f>
        <v>0</v>
      </c>
      <c r="CN107" s="207">
        <f>Opv.kohd.[[#This Row],[Maahan-muuttajien koulutus 4]]+Opv.kohd.[[#This Row],[Maahan-muuttajien koulutus 13]]</f>
        <v>0</v>
      </c>
      <c r="CO107" s="207">
        <f>Opv.kohd.[[#This Row],[Nuorisotyöt. väh. ja osaamistarp. vast., muu kuin työvoima-koulutus 4]]+Opv.kohd.[[#This Row],[Nuorisotyöt. väh. ja osaamistarp. vast., muu kuin työvoima-koulutus 13]]</f>
        <v>0</v>
      </c>
      <c r="CP107" s="207">
        <f>Opv.kohd.[[#This Row],[Nuorisotyöt. väh. ja osaamistarp. vast., työvoima-koulutus 4]]+Opv.kohd.[[#This Row],[Nuorisotyöt. väh. ja osaamistarp. vast., työvoima-koulutus 13]]</f>
        <v>0</v>
      </c>
      <c r="CQ107" s="207">
        <f>Opv.kohd.[[#This Row],[Yhteensä 4]]+Opv.kohd.[[#This Row],[Yhteensä 13]]</f>
        <v>0</v>
      </c>
      <c r="CR107" s="207">
        <f>Opv.kohd.[[#This Row],[Ensikertaisella suoritepäätöksellä jaetut tavoitteelliset opiskelijavuodet yhteensä 4]]+Opv.kohd.[[#This Row],[Tavoitteelliset opiskelijavuodet yhteensä 13]]</f>
        <v>0</v>
      </c>
      <c r="CS107" s="120">
        <v>0</v>
      </c>
      <c r="CT107" s="120">
        <v>0</v>
      </c>
      <c r="CU107" s="120">
        <v>0</v>
      </c>
      <c r="CV107" s="120">
        <v>0</v>
      </c>
      <c r="CW107" s="120">
        <v>0</v>
      </c>
      <c r="CX107" s="120">
        <v>0</v>
      </c>
      <c r="CY107" s="120">
        <v>0</v>
      </c>
      <c r="CZ107" s="120">
        <v>0</v>
      </c>
      <c r="DA107" s="209">
        <f>IFERROR(Opv.kohd.[[#This Row],[Järjestämisluvan mukaiset 13]]/Opv.kohd.[[#This Row],[Järjestämisluvan mukaiset 12]],0)</f>
        <v>0</v>
      </c>
      <c r="DB107" s="209">
        <f>IFERROR(Opv.kohd.[[#This Row],[Kohdentamat-tomat 13]]/Opv.kohd.[[#This Row],[Kohdentamat-tomat 12]],0)</f>
        <v>0</v>
      </c>
      <c r="DC107" s="209">
        <f>IFERROR(Opv.kohd.[[#This Row],[Työvoima-koulutus 13]]/Opv.kohd.[[#This Row],[Työvoima-koulutus 12]],0)</f>
        <v>0</v>
      </c>
      <c r="DD107" s="209">
        <f>IFERROR(Opv.kohd.[[#This Row],[Maahan-muuttajien koulutus 13]]/Opv.kohd.[[#This Row],[Maahan-muuttajien koulutus 12]],0)</f>
        <v>0</v>
      </c>
      <c r="DE107" s="209">
        <f>IFERROR(Opv.kohd.[[#This Row],[Nuorisotyöt. väh. ja osaamistarp. vast., muu kuin työvoima-koulutus 13]]/Opv.kohd.[[#This Row],[Nuorisotyöt. väh. ja osaamistarp. vast., muu kuin työvoima-koulutus 12]],0)</f>
        <v>0</v>
      </c>
      <c r="DF107" s="209">
        <f>IFERROR(Opv.kohd.[[#This Row],[Nuorisotyöt. väh. ja osaamistarp. vast., työvoima-koulutus 13]]/Opv.kohd.[[#This Row],[Nuorisotyöt. väh. ja osaamistarp. vast., työvoima-koulutus 12]],0)</f>
        <v>0</v>
      </c>
      <c r="DG107" s="209">
        <f>IFERROR(Opv.kohd.[[#This Row],[Yhteensä 13]]/Opv.kohd.[[#This Row],[Yhteensä 12]],0)</f>
        <v>0</v>
      </c>
      <c r="DH107" s="209">
        <f>IFERROR(Opv.kohd.[[#This Row],[Tavoitteelliset opiskelijavuodet yhteensä 13]]/Opv.kohd.[[#This Row],[Tavoitteelliset opiskelijavuodet yhteensä 12]],0)</f>
        <v>0</v>
      </c>
      <c r="DI107" s="207">
        <f>Opv.kohd.[[#This Row],[Järjestämisluvan mukaiset 12]]-Opv.kohd.[[#This Row],[Järjestämisluvan mukaiset 9]]</f>
        <v>-105</v>
      </c>
      <c r="DJ107" s="207">
        <f>Opv.kohd.[[#This Row],[Kohdentamat-tomat 12]]-Opv.kohd.[[#This Row],[Kohdentamat-tomat 9]]</f>
        <v>-8</v>
      </c>
      <c r="DK107" s="207">
        <f>Opv.kohd.[[#This Row],[Työvoima-koulutus 12]]-Opv.kohd.[[#This Row],[Työvoima-koulutus 9]]</f>
        <v>0</v>
      </c>
      <c r="DL107" s="207">
        <f>Opv.kohd.[[#This Row],[Maahan-muuttajien koulutus 12]]-Opv.kohd.[[#This Row],[Maahan-muuttajien koulutus 9]]</f>
        <v>0</v>
      </c>
      <c r="DM107" s="207">
        <f>Opv.kohd.[[#This Row],[Nuorisotyöt. väh. ja osaamistarp. vast., muu kuin työvoima-koulutus 12]]-Opv.kohd.[[#This Row],[Nuorisotyöt. väh. ja osaamistarp. vast., muu kuin työvoima-koulutus 9]]</f>
        <v>0</v>
      </c>
      <c r="DN107" s="207">
        <f>Opv.kohd.[[#This Row],[Nuorisotyöt. väh. ja osaamistarp. vast., työvoima-koulutus 12]]-Opv.kohd.[[#This Row],[Nuorisotyöt. väh. ja osaamistarp. vast., työvoima-koulutus 9]]</f>
        <v>0</v>
      </c>
      <c r="DO107" s="207">
        <f>Opv.kohd.[[#This Row],[Yhteensä 12]]-Opv.kohd.[[#This Row],[Yhteensä 9]]</f>
        <v>-8</v>
      </c>
      <c r="DP107" s="207">
        <f>Opv.kohd.[[#This Row],[Tavoitteelliset opiskelijavuodet yhteensä 12]]-Opv.kohd.[[#This Row],[Tavoitteelliset opiskelijavuodet yhteensä 9]]</f>
        <v>-113</v>
      </c>
      <c r="DQ107" s="209">
        <f>IFERROR(Opv.kohd.[[#This Row],[Järjestämisluvan mukaiset 15]]/Opv.kohd.[[#This Row],[Järjestämisluvan mukaiset 9]],0)</f>
        <v>-1</v>
      </c>
      <c r="DR107" s="209">
        <f t="shared" si="25"/>
        <v>0</v>
      </c>
      <c r="DS107" s="209">
        <f t="shared" si="26"/>
        <v>0</v>
      </c>
      <c r="DT107" s="209">
        <f t="shared" si="27"/>
        <v>0</v>
      </c>
      <c r="DU107" s="209">
        <f t="shared" si="28"/>
        <v>0</v>
      </c>
      <c r="DV107" s="209">
        <f t="shared" si="29"/>
        <v>0</v>
      </c>
      <c r="DW107" s="209">
        <f t="shared" si="30"/>
        <v>0</v>
      </c>
      <c r="DX107" s="209">
        <f t="shared" si="31"/>
        <v>0</v>
      </c>
    </row>
    <row r="108" spans="1:128" x14ac:dyDescent="0.25">
      <c r="A108" s="204" t="e">
        <f>IF(INDEX(#REF!,ROW(108:108)-1,1)=0,"",INDEX(#REF!,ROW(108:108)-1,1))</f>
        <v>#REF!</v>
      </c>
      <c r="B108" s="205" t="str">
        <f>IFERROR(VLOOKUP(Opv.kohd.[[#This Row],[Y-tunnus]],'0 Järjestäjätiedot'!$A:$H,2,FALSE),"")</f>
        <v/>
      </c>
      <c r="C108" s="204" t="str">
        <f>IFERROR(VLOOKUP(Opv.kohd.[[#This Row],[Y-tunnus]],'0 Järjestäjätiedot'!$A:$H,COLUMN('0 Järjestäjätiedot'!D:D),FALSE),"")</f>
        <v/>
      </c>
      <c r="D108" s="204" t="str">
        <f>IFERROR(VLOOKUP(Opv.kohd.[[#This Row],[Y-tunnus]],'0 Järjestäjätiedot'!$A:$H,COLUMN('0 Järjestäjätiedot'!H:H),FALSE),"")</f>
        <v/>
      </c>
      <c r="E108" s="204">
        <f>IFERROR(VLOOKUP(Opv.kohd.[[#This Row],[Y-tunnus]],#REF!,COLUMN(#REF!),FALSE),0)</f>
        <v>0</v>
      </c>
      <c r="F108" s="204">
        <f>IFERROR(VLOOKUP(Opv.kohd.[[#This Row],[Y-tunnus]],#REF!,COLUMN(#REF!),FALSE),0)</f>
        <v>0</v>
      </c>
      <c r="G108" s="204">
        <f>IFERROR(VLOOKUP(Opv.kohd.[[#This Row],[Y-tunnus]],#REF!,COLUMN(#REF!),FALSE),0)</f>
        <v>0</v>
      </c>
      <c r="H108" s="204">
        <f>IFERROR(VLOOKUP(Opv.kohd.[[#This Row],[Y-tunnus]],#REF!,COLUMN(#REF!),FALSE),0)</f>
        <v>0</v>
      </c>
      <c r="I108" s="204">
        <f>IFERROR(VLOOKUP(Opv.kohd.[[#This Row],[Y-tunnus]],#REF!,COLUMN(#REF!),FALSE),0)</f>
        <v>0</v>
      </c>
      <c r="J108" s="204">
        <f>IFERROR(VLOOKUP(Opv.kohd.[[#This Row],[Y-tunnus]],#REF!,COLUMN(#REF!),FALSE),0)</f>
        <v>0</v>
      </c>
      <c r="K10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08" s="204">
        <f>Opv.kohd.[[#This Row],[Järjestämisluvan mukaiset 1]]+Opv.kohd.[[#This Row],[Yhteensä  1]]</f>
        <v>0</v>
      </c>
      <c r="M108" s="204">
        <f>IFERROR(VLOOKUP(Opv.kohd.[[#This Row],[Y-tunnus]],#REF!,COLUMN(#REF!),FALSE),0)</f>
        <v>0</v>
      </c>
      <c r="N108" s="204">
        <f>IFERROR(VLOOKUP(Opv.kohd.[[#This Row],[Y-tunnus]],#REF!,COLUMN(#REF!),FALSE),0)</f>
        <v>0</v>
      </c>
      <c r="O108" s="204">
        <f>IFERROR(VLOOKUP(Opv.kohd.[[#This Row],[Y-tunnus]],#REF!,COLUMN(#REF!),FALSE)+VLOOKUP(Opv.kohd.[[#This Row],[Y-tunnus]],#REF!,COLUMN(#REF!),FALSE),0)</f>
        <v>0</v>
      </c>
      <c r="P108" s="204">
        <f>Opv.kohd.[[#This Row],[Talousarvion perusteella kohdentamattomat]]+Opv.kohd.[[#This Row],[Talousarvion perusteella työvoimakoulutus 1]]+Opv.kohd.[[#This Row],[Lisätalousarvioiden perusteella]]</f>
        <v>0</v>
      </c>
      <c r="Q108" s="204">
        <f>IFERROR(VLOOKUP(Opv.kohd.[[#This Row],[Y-tunnus]],#REF!,COLUMN(#REF!),FALSE),0)</f>
        <v>0</v>
      </c>
      <c r="R108" s="210">
        <f>IFERROR(VLOOKUP(Opv.kohd.[[#This Row],[Y-tunnus]],#REF!,COLUMN(#REF!),FALSE)-(Opv.kohd.[[#This Row],[Kohdentamaton työvoima-koulutus 2]]+Opv.kohd.[[#This Row],[Maahan-muuttajien koulutus 2]]+Opv.kohd.[[#This Row],[Lisätalousarvioiden perusteella jaetut 2]]),0)</f>
        <v>0</v>
      </c>
      <c r="S108" s="210">
        <f>IFERROR(VLOOKUP(Opv.kohd.[[#This Row],[Y-tunnus]],#REF!,COLUMN(#REF!),FALSE)+VLOOKUP(Opv.kohd.[[#This Row],[Y-tunnus]],#REF!,COLUMN(#REF!),FALSE),0)</f>
        <v>0</v>
      </c>
      <c r="T108" s="210">
        <f>IFERROR(VLOOKUP(Opv.kohd.[[#This Row],[Y-tunnus]],#REF!,COLUMN(#REF!),FALSE)+VLOOKUP(Opv.kohd.[[#This Row],[Y-tunnus]],#REF!,COLUMN(#REF!),FALSE),0)</f>
        <v>0</v>
      </c>
      <c r="U10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08" s="210">
        <f>Opv.kohd.[[#This Row],[Kohdentamat-tomat 2]]+Opv.kohd.[[#This Row],[Kohdentamaton työvoima-koulutus 2]]+Opv.kohd.[[#This Row],[Maahan-muuttajien koulutus 2]]+Opv.kohd.[[#This Row],[Lisätalousarvioiden perusteella jaetut 2]]</f>
        <v>0</v>
      </c>
      <c r="W108" s="210">
        <f>Opv.kohd.[[#This Row],[Kohdentamat-tomat 2]]-(Opv.kohd.[[#This Row],[Järjestämisluvan mukaiset 1]]+Opv.kohd.[[#This Row],[Kohdentamat-tomat 1]]+Opv.kohd.[[#This Row],[Nuorisotyöt. väh. ja osaamistarp. vast., muu kuin työvoima-koulutus 1]]+Opv.kohd.[[#This Row],[Talousarvion perusteella kohdentamattomat]])</f>
        <v>0</v>
      </c>
      <c r="X108" s="210">
        <f>Opv.kohd.[[#This Row],[Kohdentamaton työvoima-koulutus 2]]-(Opv.kohd.[[#This Row],[Työvoima-koulutus 1]]+Opv.kohd.[[#This Row],[Nuorisotyöt. väh. ja osaamistarp. vast., työvoima-koulutus 1]]+Opv.kohd.[[#This Row],[Talousarvion perusteella työvoimakoulutus 1]])</f>
        <v>0</v>
      </c>
      <c r="Y108" s="210">
        <f>Opv.kohd.[[#This Row],[Maahan-muuttajien koulutus 2]]-Opv.kohd.[[#This Row],[Maahan-muuttajien koulutus 1]]</f>
        <v>0</v>
      </c>
      <c r="Z108" s="210">
        <f>Opv.kohd.[[#This Row],[Lisätalousarvioiden perusteella jaetut 2]]-Opv.kohd.[[#This Row],[Lisätalousarvioiden perusteella]]</f>
        <v>0</v>
      </c>
      <c r="AA108" s="210">
        <f>Opv.kohd.[[#This Row],[Toteutuneet opiskelijavuodet yhteensä 2]]-Opv.kohd.[[#This Row],[Vuoden 2018 tavoitteelliset opiskelijavuodet yhteensä 1]]</f>
        <v>0</v>
      </c>
      <c r="AB108" s="207">
        <f>IFERROR(VLOOKUP(Opv.kohd.[[#This Row],[Y-tunnus]],#REF!,3,FALSE),0)</f>
        <v>0</v>
      </c>
      <c r="AC108" s="207">
        <f>IFERROR(VLOOKUP(Opv.kohd.[[#This Row],[Y-tunnus]],#REF!,4,FALSE),0)</f>
        <v>0</v>
      </c>
      <c r="AD108" s="207">
        <f>IFERROR(VLOOKUP(Opv.kohd.[[#This Row],[Y-tunnus]],#REF!,5,FALSE),0)</f>
        <v>0</v>
      </c>
      <c r="AE108" s="207">
        <f>IFERROR(VLOOKUP(Opv.kohd.[[#This Row],[Y-tunnus]],#REF!,6,FALSE),0)</f>
        <v>0</v>
      </c>
      <c r="AF108" s="207">
        <f>IFERROR(VLOOKUP(Opv.kohd.[[#This Row],[Y-tunnus]],#REF!,7,FALSE),0)</f>
        <v>0</v>
      </c>
      <c r="AG108" s="207">
        <f>IFERROR(VLOOKUP(Opv.kohd.[[#This Row],[Y-tunnus]],#REF!,8,FALSE),0)</f>
        <v>0</v>
      </c>
      <c r="AH108" s="207">
        <f>IFERROR(VLOOKUP(Opv.kohd.[[#This Row],[Y-tunnus]],#REF!,9,FALSE),0)</f>
        <v>0</v>
      </c>
      <c r="AI108" s="207">
        <f>IFERROR(VLOOKUP(Opv.kohd.[[#This Row],[Y-tunnus]],#REF!,10,FALSE),0)</f>
        <v>0</v>
      </c>
      <c r="AJ108" s="204">
        <f>Opv.kohd.[[#This Row],[Järjestämisluvan mukaiset 4]]-Opv.kohd.[[#This Row],[Järjestämisluvan mukaiset 1]]</f>
        <v>0</v>
      </c>
      <c r="AK108" s="204">
        <f>Opv.kohd.[[#This Row],[Kohdentamat-tomat 4]]-Opv.kohd.[[#This Row],[Kohdentamat-tomat 1]]</f>
        <v>0</v>
      </c>
      <c r="AL108" s="204">
        <f>Opv.kohd.[[#This Row],[Työvoima-koulutus 4]]-Opv.kohd.[[#This Row],[Työvoima-koulutus 1]]</f>
        <v>0</v>
      </c>
      <c r="AM108" s="204">
        <f>Opv.kohd.[[#This Row],[Maahan-muuttajien koulutus 4]]-Opv.kohd.[[#This Row],[Maahan-muuttajien koulutus 1]]</f>
        <v>0</v>
      </c>
      <c r="AN108" s="204">
        <f>Opv.kohd.[[#This Row],[Nuorisotyöt. väh. ja osaamistarp. vast., muu kuin työvoima-koulutus 4]]-Opv.kohd.[[#This Row],[Nuorisotyöt. väh. ja osaamistarp. vast., muu kuin työvoima-koulutus 1]]</f>
        <v>0</v>
      </c>
      <c r="AO108" s="204">
        <f>Opv.kohd.[[#This Row],[Nuorisotyöt. väh. ja osaamistarp. vast., työvoima-koulutus 4]]-Opv.kohd.[[#This Row],[Nuorisotyöt. väh. ja osaamistarp. vast., työvoima-koulutus 1]]</f>
        <v>0</v>
      </c>
      <c r="AP108" s="204">
        <f>Opv.kohd.[[#This Row],[Yhteensä 4]]-Opv.kohd.[[#This Row],[Yhteensä  1]]</f>
        <v>0</v>
      </c>
      <c r="AQ108" s="204">
        <f>Opv.kohd.[[#This Row],[Ensikertaisella suoritepäätöksellä jaetut tavoitteelliset opiskelijavuodet yhteensä 4]]-Opv.kohd.[[#This Row],[Ensikertaisella suoritepäätöksellä jaetut tavoitteelliset opiskelijavuodet yhteensä 1]]</f>
        <v>0</v>
      </c>
      <c r="AR108" s="208">
        <f>IFERROR(Opv.kohd.[[#This Row],[Järjestämisluvan mukaiset 5]]/Opv.kohd.[[#This Row],[Järjestämisluvan mukaiset 4]],0)</f>
        <v>0</v>
      </c>
      <c r="AS108" s="208">
        <f>IFERROR(Opv.kohd.[[#This Row],[Kohdentamat-tomat 5]]/Opv.kohd.[[#This Row],[Kohdentamat-tomat 4]],0)</f>
        <v>0</v>
      </c>
      <c r="AT108" s="208">
        <f>IFERROR(Opv.kohd.[[#This Row],[Työvoima-koulutus 5]]/Opv.kohd.[[#This Row],[Työvoima-koulutus 4]],0)</f>
        <v>0</v>
      </c>
      <c r="AU108" s="208">
        <f>IFERROR(Opv.kohd.[[#This Row],[Maahan-muuttajien koulutus 5]]/Opv.kohd.[[#This Row],[Maahan-muuttajien koulutus 4]],0)</f>
        <v>0</v>
      </c>
      <c r="AV108" s="208">
        <f>IFERROR(Opv.kohd.[[#This Row],[Nuorisotyöt. väh. ja osaamistarp. vast., muu kuin työvoima-koulutus 5]]/Opv.kohd.[[#This Row],[Nuorisotyöt. väh. ja osaamistarp. vast., muu kuin työvoima-koulutus 4]],0)</f>
        <v>0</v>
      </c>
      <c r="AW108" s="208">
        <f>IFERROR(Opv.kohd.[[#This Row],[Nuorisotyöt. väh. ja osaamistarp. vast., työvoima-koulutus 5]]/Opv.kohd.[[#This Row],[Nuorisotyöt. väh. ja osaamistarp. vast., työvoima-koulutus 4]],0)</f>
        <v>0</v>
      </c>
      <c r="AX108" s="208">
        <f>IFERROR(Opv.kohd.[[#This Row],[Yhteensä 5]]/Opv.kohd.[[#This Row],[Yhteensä 4]],0)</f>
        <v>0</v>
      </c>
      <c r="AY108" s="208">
        <f>IFERROR(Opv.kohd.[[#This Row],[Ensikertaisella suoritepäätöksellä jaetut tavoitteelliset opiskelijavuodet yhteensä 5]]/Opv.kohd.[[#This Row],[Ensikertaisella suoritepäätöksellä jaetut tavoitteelliset opiskelijavuodet yhteensä 4]],0)</f>
        <v>0</v>
      </c>
      <c r="AZ108" s="207">
        <f>Opv.kohd.[[#This Row],[Yhteensä 7a]]-Opv.kohd.[[#This Row],[Työvoima-koulutus 7a]]</f>
        <v>0</v>
      </c>
      <c r="BA108" s="207">
        <f>IFERROR(VLOOKUP(Opv.kohd.[[#This Row],[Y-tunnus]],#REF!,COLUMN(#REF!),FALSE),0)</f>
        <v>0</v>
      </c>
      <c r="BB108" s="207">
        <f>IFERROR(VLOOKUP(Opv.kohd.[[#This Row],[Y-tunnus]],#REF!,COLUMN(#REF!),FALSE),0)</f>
        <v>0</v>
      </c>
      <c r="BC108" s="207">
        <f>Opv.kohd.[[#This Row],[Muu kuin työvoima-koulutus 7c]]-Opv.kohd.[[#This Row],[Muu kuin työvoima-koulutus 7a]]</f>
        <v>0</v>
      </c>
      <c r="BD108" s="207">
        <f>Opv.kohd.[[#This Row],[Työvoima-koulutus 7c]]-Opv.kohd.[[#This Row],[Työvoima-koulutus 7a]]</f>
        <v>0</v>
      </c>
      <c r="BE108" s="207">
        <f>Opv.kohd.[[#This Row],[Yhteensä 7c]]-Opv.kohd.[[#This Row],[Yhteensä 7a]]</f>
        <v>0</v>
      </c>
      <c r="BF108" s="207">
        <f>Opv.kohd.[[#This Row],[Yhteensä 7c]]-Opv.kohd.[[#This Row],[Työvoima-koulutus 7c]]</f>
        <v>0</v>
      </c>
      <c r="BG108" s="207">
        <f>IFERROR(VLOOKUP(Opv.kohd.[[#This Row],[Y-tunnus]],#REF!,COLUMN(#REF!),FALSE),0)</f>
        <v>0</v>
      </c>
      <c r="BH108" s="207">
        <f>IFERROR(VLOOKUP(Opv.kohd.[[#This Row],[Y-tunnus]],#REF!,COLUMN(#REF!),FALSE),0)</f>
        <v>0</v>
      </c>
      <c r="BI108" s="207">
        <f>IFERROR(VLOOKUP(Opv.kohd.[[#This Row],[Y-tunnus]],#REF!,COLUMN(#REF!),FALSE),0)</f>
        <v>0</v>
      </c>
      <c r="BJ108" s="207">
        <f>IFERROR(VLOOKUP(Opv.kohd.[[#This Row],[Y-tunnus]],#REF!,COLUMN(#REF!),FALSE),0)</f>
        <v>0</v>
      </c>
      <c r="BK108" s="207">
        <f>Opv.kohd.[[#This Row],[Muu kuin työvoima-koulutus 7d]]+Opv.kohd.[[#This Row],[Työvoima-koulutus 7d]]</f>
        <v>0</v>
      </c>
      <c r="BL108" s="207">
        <f>Opv.kohd.[[#This Row],[Muu kuin työvoima-koulutus 7c]]-Opv.kohd.[[#This Row],[Muu kuin työvoima-koulutus 7d]]</f>
        <v>0</v>
      </c>
      <c r="BM108" s="207">
        <f>Opv.kohd.[[#This Row],[Työvoima-koulutus 7c]]-Opv.kohd.[[#This Row],[Työvoima-koulutus 7d]]</f>
        <v>0</v>
      </c>
      <c r="BN108" s="207">
        <f>Opv.kohd.[[#This Row],[Yhteensä 7c]]-Opv.kohd.[[#This Row],[Yhteensä 7d]]</f>
        <v>0</v>
      </c>
      <c r="BO108" s="207">
        <f>Opv.kohd.[[#This Row],[Muu kuin työvoima-koulutus 7e]]-(Opv.kohd.[[#This Row],[Järjestämisluvan mukaiset 4]]+Opv.kohd.[[#This Row],[Kohdentamat-tomat 4]]+Opv.kohd.[[#This Row],[Maahan-muuttajien koulutus 4]]+Opv.kohd.[[#This Row],[Nuorisotyöt. väh. ja osaamistarp. vast., muu kuin työvoima-koulutus 4]])</f>
        <v>0</v>
      </c>
      <c r="BP108" s="207">
        <f>Opv.kohd.[[#This Row],[Työvoima-koulutus 7e]]-(Opv.kohd.[[#This Row],[Työvoima-koulutus 4]]+Opv.kohd.[[#This Row],[Nuorisotyöt. väh. ja osaamistarp. vast., työvoima-koulutus 4]])</f>
        <v>0</v>
      </c>
      <c r="BQ108" s="207">
        <f>Opv.kohd.[[#This Row],[Yhteensä 7e]]-Opv.kohd.[[#This Row],[Ensikertaisella suoritepäätöksellä jaetut tavoitteelliset opiskelijavuodet yhteensä 4]]</f>
        <v>0</v>
      </c>
      <c r="BR108" s="263">
        <v>77</v>
      </c>
      <c r="BS108" s="263">
        <v>10</v>
      </c>
      <c r="BT108" s="263">
        <v>0</v>
      </c>
      <c r="BU108" s="263">
        <v>0</v>
      </c>
      <c r="BV108" s="263">
        <v>0</v>
      </c>
      <c r="BW108" s="263">
        <v>0</v>
      </c>
      <c r="BX108" s="263">
        <v>10</v>
      </c>
      <c r="BY108" s="263">
        <v>87</v>
      </c>
      <c r="BZ108" s="207">
        <f t="shared" si="17"/>
        <v>77</v>
      </c>
      <c r="CA108" s="207">
        <f t="shared" si="18"/>
        <v>10</v>
      </c>
      <c r="CB108" s="207">
        <f t="shared" si="19"/>
        <v>0</v>
      </c>
      <c r="CC108" s="207">
        <f t="shared" si="20"/>
        <v>0</v>
      </c>
      <c r="CD108" s="207">
        <f t="shared" si="21"/>
        <v>0</v>
      </c>
      <c r="CE108" s="207">
        <f t="shared" si="22"/>
        <v>0</v>
      </c>
      <c r="CF108" s="207">
        <f t="shared" si="23"/>
        <v>10</v>
      </c>
      <c r="CG108" s="207">
        <f t="shared" si="24"/>
        <v>87</v>
      </c>
      <c r="CH108" s="207">
        <f>Opv.kohd.[[#This Row],[Tavoitteelliset opiskelijavuodet yhteensä 9]]-Opv.kohd.[[#This Row],[Työvoima-koulutus 9]]-Opv.kohd.[[#This Row],[Nuorisotyöt. väh. ja osaamistarp. vast., työvoima-koulutus 9]]-Opv.kohd.[[#This Row],[Muu kuin työvoima-koulutus 7e]]</f>
        <v>87</v>
      </c>
      <c r="CI108" s="207">
        <f>(Opv.kohd.[[#This Row],[Työvoima-koulutus 9]]+Opv.kohd.[[#This Row],[Nuorisotyöt. väh. ja osaamistarp. vast., työvoima-koulutus 9]])-Opv.kohd.[[#This Row],[Työvoima-koulutus 7e]]</f>
        <v>0</v>
      </c>
      <c r="CJ108" s="207">
        <f>Opv.kohd.[[#This Row],[Tavoitteelliset opiskelijavuodet yhteensä 9]]-Opv.kohd.[[#This Row],[Yhteensä 7e]]</f>
        <v>87</v>
      </c>
      <c r="CK108" s="207">
        <f>Opv.kohd.[[#This Row],[Järjestämisluvan mukaiset 4]]+Opv.kohd.[[#This Row],[Järjestämisluvan mukaiset 13]]</f>
        <v>0</v>
      </c>
      <c r="CL108" s="207">
        <f>Opv.kohd.[[#This Row],[Kohdentamat-tomat 4]]+Opv.kohd.[[#This Row],[Kohdentamat-tomat 13]]</f>
        <v>0</v>
      </c>
      <c r="CM108" s="207">
        <f>Opv.kohd.[[#This Row],[Työvoima-koulutus 4]]+Opv.kohd.[[#This Row],[Työvoima-koulutus 13]]</f>
        <v>0</v>
      </c>
      <c r="CN108" s="207">
        <f>Opv.kohd.[[#This Row],[Maahan-muuttajien koulutus 4]]+Opv.kohd.[[#This Row],[Maahan-muuttajien koulutus 13]]</f>
        <v>0</v>
      </c>
      <c r="CO108" s="207">
        <f>Opv.kohd.[[#This Row],[Nuorisotyöt. väh. ja osaamistarp. vast., muu kuin työvoima-koulutus 4]]+Opv.kohd.[[#This Row],[Nuorisotyöt. väh. ja osaamistarp. vast., muu kuin työvoima-koulutus 13]]</f>
        <v>0</v>
      </c>
      <c r="CP108" s="207">
        <f>Opv.kohd.[[#This Row],[Nuorisotyöt. väh. ja osaamistarp. vast., työvoima-koulutus 4]]+Opv.kohd.[[#This Row],[Nuorisotyöt. väh. ja osaamistarp. vast., työvoima-koulutus 13]]</f>
        <v>0</v>
      </c>
      <c r="CQ108" s="207">
        <f>Opv.kohd.[[#This Row],[Yhteensä 4]]+Opv.kohd.[[#This Row],[Yhteensä 13]]</f>
        <v>0</v>
      </c>
      <c r="CR108" s="207">
        <f>Opv.kohd.[[#This Row],[Ensikertaisella suoritepäätöksellä jaetut tavoitteelliset opiskelijavuodet yhteensä 4]]+Opv.kohd.[[#This Row],[Tavoitteelliset opiskelijavuodet yhteensä 13]]</f>
        <v>0</v>
      </c>
      <c r="CS108" s="120">
        <v>0</v>
      </c>
      <c r="CT108" s="120">
        <v>0</v>
      </c>
      <c r="CU108" s="120">
        <v>0</v>
      </c>
      <c r="CV108" s="120">
        <v>0</v>
      </c>
      <c r="CW108" s="120">
        <v>0</v>
      </c>
      <c r="CX108" s="120">
        <v>0</v>
      </c>
      <c r="CY108" s="120">
        <v>0</v>
      </c>
      <c r="CZ108" s="120">
        <v>0</v>
      </c>
      <c r="DA108" s="209">
        <f>IFERROR(Opv.kohd.[[#This Row],[Järjestämisluvan mukaiset 13]]/Opv.kohd.[[#This Row],[Järjestämisluvan mukaiset 12]],0)</f>
        <v>0</v>
      </c>
      <c r="DB108" s="209">
        <f>IFERROR(Opv.kohd.[[#This Row],[Kohdentamat-tomat 13]]/Opv.kohd.[[#This Row],[Kohdentamat-tomat 12]],0)</f>
        <v>0</v>
      </c>
      <c r="DC108" s="209">
        <f>IFERROR(Opv.kohd.[[#This Row],[Työvoima-koulutus 13]]/Opv.kohd.[[#This Row],[Työvoima-koulutus 12]],0)</f>
        <v>0</v>
      </c>
      <c r="DD108" s="209">
        <f>IFERROR(Opv.kohd.[[#This Row],[Maahan-muuttajien koulutus 13]]/Opv.kohd.[[#This Row],[Maahan-muuttajien koulutus 12]],0)</f>
        <v>0</v>
      </c>
      <c r="DE108" s="209">
        <f>IFERROR(Opv.kohd.[[#This Row],[Nuorisotyöt. väh. ja osaamistarp. vast., muu kuin työvoima-koulutus 13]]/Opv.kohd.[[#This Row],[Nuorisotyöt. väh. ja osaamistarp. vast., muu kuin työvoima-koulutus 12]],0)</f>
        <v>0</v>
      </c>
      <c r="DF108" s="209">
        <f>IFERROR(Opv.kohd.[[#This Row],[Nuorisotyöt. väh. ja osaamistarp. vast., työvoima-koulutus 13]]/Opv.kohd.[[#This Row],[Nuorisotyöt. väh. ja osaamistarp. vast., työvoima-koulutus 12]],0)</f>
        <v>0</v>
      </c>
      <c r="DG108" s="209">
        <f>IFERROR(Opv.kohd.[[#This Row],[Yhteensä 13]]/Opv.kohd.[[#This Row],[Yhteensä 12]],0)</f>
        <v>0</v>
      </c>
      <c r="DH108" s="209">
        <f>IFERROR(Opv.kohd.[[#This Row],[Tavoitteelliset opiskelijavuodet yhteensä 13]]/Opv.kohd.[[#This Row],[Tavoitteelliset opiskelijavuodet yhteensä 12]],0)</f>
        <v>0</v>
      </c>
      <c r="DI108" s="207">
        <f>Opv.kohd.[[#This Row],[Järjestämisluvan mukaiset 12]]-Opv.kohd.[[#This Row],[Järjestämisluvan mukaiset 9]]</f>
        <v>-77</v>
      </c>
      <c r="DJ108" s="207">
        <f>Opv.kohd.[[#This Row],[Kohdentamat-tomat 12]]-Opv.kohd.[[#This Row],[Kohdentamat-tomat 9]]</f>
        <v>-10</v>
      </c>
      <c r="DK108" s="207">
        <f>Opv.kohd.[[#This Row],[Työvoima-koulutus 12]]-Opv.kohd.[[#This Row],[Työvoima-koulutus 9]]</f>
        <v>0</v>
      </c>
      <c r="DL108" s="207">
        <f>Opv.kohd.[[#This Row],[Maahan-muuttajien koulutus 12]]-Opv.kohd.[[#This Row],[Maahan-muuttajien koulutus 9]]</f>
        <v>0</v>
      </c>
      <c r="DM108" s="207">
        <f>Opv.kohd.[[#This Row],[Nuorisotyöt. väh. ja osaamistarp. vast., muu kuin työvoima-koulutus 12]]-Opv.kohd.[[#This Row],[Nuorisotyöt. väh. ja osaamistarp. vast., muu kuin työvoima-koulutus 9]]</f>
        <v>0</v>
      </c>
      <c r="DN108" s="207">
        <f>Opv.kohd.[[#This Row],[Nuorisotyöt. väh. ja osaamistarp. vast., työvoima-koulutus 12]]-Opv.kohd.[[#This Row],[Nuorisotyöt. väh. ja osaamistarp. vast., työvoima-koulutus 9]]</f>
        <v>0</v>
      </c>
      <c r="DO108" s="207">
        <f>Opv.kohd.[[#This Row],[Yhteensä 12]]-Opv.kohd.[[#This Row],[Yhteensä 9]]</f>
        <v>-10</v>
      </c>
      <c r="DP108" s="207">
        <f>Opv.kohd.[[#This Row],[Tavoitteelliset opiskelijavuodet yhteensä 12]]-Opv.kohd.[[#This Row],[Tavoitteelliset opiskelijavuodet yhteensä 9]]</f>
        <v>-87</v>
      </c>
      <c r="DQ108" s="209">
        <f>IFERROR(Opv.kohd.[[#This Row],[Järjestämisluvan mukaiset 15]]/Opv.kohd.[[#This Row],[Järjestämisluvan mukaiset 9]],0)</f>
        <v>-1</v>
      </c>
      <c r="DR108" s="209">
        <f t="shared" si="25"/>
        <v>0</v>
      </c>
      <c r="DS108" s="209">
        <f t="shared" si="26"/>
        <v>0</v>
      </c>
      <c r="DT108" s="209">
        <f t="shared" si="27"/>
        <v>0</v>
      </c>
      <c r="DU108" s="209">
        <f t="shared" si="28"/>
        <v>0</v>
      </c>
      <c r="DV108" s="209">
        <f t="shared" si="29"/>
        <v>0</v>
      </c>
      <c r="DW108" s="209">
        <f t="shared" si="30"/>
        <v>0</v>
      </c>
      <c r="DX108" s="209">
        <f t="shared" si="31"/>
        <v>0</v>
      </c>
    </row>
    <row r="109" spans="1:128" x14ac:dyDescent="0.25">
      <c r="A109" s="204" t="e">
        <f>IF(INDEX(#REF!,ROW(109:109)-1,1)=0,"",INDEX(#REF!,ROW(109:109)-1,1))</f>
        <v>#REF!</v>
      </c>
      <c r="B109" s="205" t="str">
        <f>IFERROR(VLOOKUP(Opv.kohd.[[#This Row],[Y-tunnus]],'0 Järjestäjätiedot'!$A:$H,2,FALSE),"")</f>
        <v/>
      </c>
      <c r="C109" s="204" t="str">
        <f>IFERROR(VLOOKUP(Opv.kohd.[[#This Row],[Y-tunnus]],'0 Järjestäjätiedot'!$A:$H,COLUMN('0 Järjestäjätiedot'!D:D),FALSE),"")</f>
        <v/>
      </c>
      <c r="D109" s="204" t="str">
        <f>IFERROR(VLOOKUP(Opv.kohd.[[#This Row],[Y-tunnus]],'0 Järjestäjätiedot'!$A:$H,COLUMN('0 Järjestäjätiedot'!H:H),FALSE),"")</f>
        <v/>
      </c>
      <c r="E109" s="204">
        <f>IFERROR(VLOOKUP(Opv.kohd.[[#This Row],[Y-tunnus]],#REF!,COLUMN(#REF!),FALSE),0)</f>
        <v>0</v>
      </c>
      <c r="F109" s="204">
        <f>IFERROR(VLOOKUP(Opv.kohd.[[#This Row],[Y-tunnus]],#REF!,COLUMN(#REF!),FALSE),0)</f>
        <v>0</v>
      </c>
      <c r="G109" s="204">
        <f>IFERROR(VLOOKUP(Opv.kohd.[[#This Row],[Y-tunnus]],#REF!,COLUMN(#REF!),FALSE),0)</f>
        <v>0</v>
      </c>
      <c r="H109" s="204">
        <f>IFERROR(VLOOKUP(Opv.kohd.[[#This Row],[Y-tunnus]],#REF!,COLUMN(#REF!),FALSE),0)</f>
        <v>0</v>
      </c>
      <c r="I109" s="204">
        <f>IFERROR(VLOOKUP(Opv.kohd.[[#This Row],[Y-tunnus]],#REF!,COLUMN(#REF!),FALSE),0)</f>
        <v>0</v>
      </c>
      <c r="J109" s="204">
        <f>IFERROR(VLOOKUP(Opv.kohd.[[#This Row],[Y-tunnus]],#REF!,COLUMN(#REF!),FALSE),0)</f>
        <v>0</v>
      </c>
      <c r="K10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09" s="204">
        <f>Opv.kohd.[[#This Row],[Järjestämisluvan mukaiset 1]]+Opv.kohd.[[#This Row],[Yhteensä  1]]</f>
        <v>0</v>
      </c>
      <c r="M109" s="204">
        <f>IFERROR(VLOOKUP(Opv.kohd.[[#This Row],[Y-tunnus]],#REF!,COLUMN(#REF!),FALSE),0)</f>
        <v>0</v>
      </c>
      <c r="N109" s="204">
        <f>IFERROR(VLOOKUP(Opv.kohd.[[#This Row],[Y-tunnus]],#REF!,COLUMN(#REF!),FALSE),0)</f>
        <v>0</v>
      </c>
      <c r="O109" s="204">
        <f>IFERROR(VLOOKUP(Opv.kohd.[[#This Row],[Y-tunnus]],#REF!,COLUMN(#REF!),FALSE)+VLOOKUP(Opv.kohd.[[#This Row],[Y-tunnus]],#REF!,COLUMN(#REF!),FALSE),0)</f>
        <v>0</v>
      </c>
      <c r="P109" s="204">
        <f>Opv.kohd.[[#This Row],[Talousarvion perusteella kohdentamattomat]]+Opv.kohd.[[#This Row],[Talousarvion perusteella työvoimakoulutus 1]]+Opv.kohd.[[#This Row],[Lisätalousarvioiden perusteella]]</f>
        <v>0</v>
      </c>
      <c r="Q109" s="204">
        <f>IFERROR(VLOOKUP(Opv.kohd.[[#This Row],[Y-tunnus]],#REF!,COLUMN(#REF!),FALSE),0)</f>
        <v>0</v>
      </c>
      <c r="R109" s="210">
        <f>IFERROR(VLOOKUP(Opv.kohd.[[#This Row],[Y-tunnus]],#REF!,COLUMN(#REF!),FALSE)-(Opv.kohd.[[#This Row],[Kohdentamaton työvoima-koulutus 2]]+Opv.kohd.[[#This Row],[Maahan-muuttajien koulutus 2]]+Opv.kohd.[[#This Row],[Lisätalousarvioiden perusteella jaetut 2]]),0)</f>
        <v>0</v>
      </c>
      <c r="S109" s="210">
        <f>IFERROR(VLOOKUP(Opv.kohd.[[#This Row],[Y-tunnus]],#REF!,COLUMN(#REF!),FALSE)+VLOOKUP(Opv.kohd.[[#This Row],[Y-tunnus]],#REF!,COLUMN(#REF!),FALSE),0)</f>
        <v>0</v>
      </c>
      <c r="T109" s="210">
        <f>IFERROR(VLOOKUP(Opv.kohd.[[#This Row],[Y-tunnus]],#REF!,COLUMN(#REF!),FALSE)+VLOOKUP(Opv.kohd.[[#This Row],[Y-tunnus]],#REF!,COLUMN(#REF!),FALSE),0)</f>
        <v>0</v>
      </c>
      <c r="U10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09" s="210">
        <f>Opv.kohd.[[#This Row],[Kohdentamat-tomat 2]]+Opv.kohd.[[#This Row],[Kohdentamaton työvoima-koulutus 2]]+Opv.kohd.[[#This Row],[Maahan-muuttajien koulutus 2]]+Opv.kohd.[[#This Row],[Lisätalousarvioiden perusteella jaetut 2]]</f>
        <v>0</v>
      </c>
      <c r="W109" s="210">
        <f>Opv.kohd.[[#This Row],[Kohdentamat-tomat 2]]-(Opv.kohd.[[#This Row],[Järjestämisluvan mukaiset 1]]+Opv.kohd.[[#This Row],[Kohdentamat-tomat 1]]+Opv.kohd.[[#This Row],[Nuorisotyöt. väh. ja osaamistarp. vast., muu kuin työvoima-koulutus 1]]+Opv.kohd.[[#This Row],[Talousarvion perusteella kohdentamattomat]])</f>
        <v>0</v>
      </c>
      <c r="X109" s="210">
        <f>Opv.kohd.[[#This Row],[Kohdentamaton työvoima-koulutus 2]]-(Opv.kohd.[[#This Row],[Työvoima-koulutus 1]]+Opv.kohd.[[#This Row],[Nuorisotyöt. väh. ja osaamistarp. vast., työvoima-koulutus 1]]+Opv.kohd.[[#This Row],[Talousarvion perusteella työvoimakoulutus 1]])</f>
        <v>0</v>
      </c>
      <c r="Y109" s="210">
        <f>Opv.kohd.[[#This Row],[Maahan-muuttajien koulutus 2]]-Opv.kohd.[[#This Row],[Maahan-muuttajien koulutus 1]]</f>
        <v>0</v>
      </c>
      <c r="Z109" s="210">
        <f>Opv.kohd.[[#This Row],[Lisätalousarvioiden perusteella jaetut 2]]-Opv.kohd.[[#This Row],[Lisätalousarvioiden perusteella]]</f>
        <v>0</v>
      </c>
      <c r="AA109" s="210">
        <f>Opv.kohd.[[#This Row],[Toteutuneet opiskelijavuodet yhteensä 2]]-Opv.kohd.[[#This Row],[Vuoden 2018 tavoitteelliset opiskelijavuodet yhteensä 1]]</f>
        <v>0</v>
      </c>
      <c r="AB109" s="207">
        <f>IFERROR(VLOOKUP(Opv.kohd.[[#This Row],[Y-tunnus]],#REF!,3,FALSE),0)</f>
        <v>0</v>
      </c>
      <c r="AC109" s="207">
        <f>IFERROR(VLOOKUP(Opv.kohd.[[#This Row],[Y-tunnus]],#REF!,4,FALSE),0)</f>
        <v>0</v>
      </c>
      <c r="AD109" s="207">
        <f>IFERROR(VLOOKUP(Opv.kohd.[[#This Row],[Y-tunnus]],#REF!,5,FALSE),0)</f>
        <v>0</v>
      </c>
      <c r="AE109" s="207">
        <f>IFERROR(VLOOKUP(Opv.kohd.[[#This Row],[Y-tunnus]],#REF!,6,FALSE),0)</f>
        <v>0</v>
      </c>
      <c r="AF109" s="207">
        <f>IFERROR(VLOOKUP(Opv.kohd.[[#This Row],[Y-tunnus]],#REF!,7,FALSE),0)</f>
        <v>0</v>
      </c>
      <c r="AG109" s="207">
        <f>IFERROR(VLOOKUP(Opv.kohd.[[#This Row],[Y-tunnus]],#REF!,8,FALSE),0)</f>
        <v>0</v>
      </c>
      <c r="AH109" s="207">
        <f>IFERROR(VLOOKUP(Opv.kohd.[[#This Row],[Y-tunnus]],#REF!,9,FALSE),0)</f>
        <v>0</v>
      </c>
      <c r="AI109" s="207">
        <f>IFERROR(VLOOKUP(Opv.kohd.[[#This Row],[Y-tunnus]],#REF!,10,FALSE),0)</f>
        <v>0</v>
      </c>
      <c r="AJ109" s="204">
        <f>Opv.kohd.[[#This Row],[Järjestämisluvan mukaiset 4]]-Opv.kohd.[[#This Row],[Järjestämisluvan mukaiset 1]]</f>
        <v>0</v>
      </c>
      <c r="AK109" s="204">
        <f>Opv.kohd.[[#This Row],[Kohdentamat-tomat 4]]-Opv.kohd.[[#This Row],[Kohdentamat-tomat 1]]</f>
        <v>0</v>
      </c>
      <c r="AL109" s="204">
        <f>Opv.kohd.[[#This Row],[Työvoima-koulutus 4]]-Opv.kohd.[[#This Row],[Työvoima-koulutus 1]]</f>
        <v>0</v>
      </c>
      <c r="AM109" s="204">
        <f>Opv.kohd.[[#This Row],[Maahan-muuttajien koulutus 4]]-Opv.kohd.[[#This Row],[Maahan-muuttajien koulutus 1]]</f>
        <v>0</v>
      </c>
      <c r="AN109" s="204">
        <f>Opv.kohd.[[#This Row],[Nuorisotyöt. väh. ja osaamistarp. vast., muu kuin työvoima-koulutus 4]]-Opv.kohd.[[#This Row],[Nuorisotyöt. väh. ja osaamistarp. vast., muu kuin työvoima-koulutus 1]]</f>
        <v>0</v>
      </c>
      <c r="AO109" s="204">
        <f>Opv.kohd.[[#This Row],[Nuorisotyöt. väh. ja osaamistarp. vast., työvoima-koulutus 4]]-Opv.kohd.[[#This Row],[Nuorisotyöt. väh. ja osaamistarp. vast., työvoima-koulutus 1]]</f>
        <v>0</v>
      </c>
      <c r="AP109" s="204">
        <f>Opv.kohd.[[#This Row],[Yhteensä 4]]-Opv.kohd.[[#This Row],[Yhteensä  1]]</f>
        <v>0</v>
      </c>
      <c r="AQ109" s="204">
        <f>Opv.kohd.[[#This Row],[Ensikertaisella suoritepäätöksellä jaetut tavoitteelliset opiskelijavuodet yhteensä 4]]-Opv.kohd.[[#This Row],[Ensikertaisella suoritepäätöksellä jaetut tavoitteelliset opiskelijavuodet yhteensä 1]]</f>
        <v>0</v>
      </c>
      <c r="AR109" s="208">
        <f>IFERROR(Opv.kohd.[[#This Row],[Järjestämisluvan mukaiset 5]]/Opv.kohd.[[#This Row],[Järjestämisluvan mukaiset 4]],0)</f>
        <v>0</v>
      </c>
      <c r="AS109" s="208">
        <f>IFERROR(Opv.kohd.[[#This Row],[Kohdentamat-tomat 5]]/Opv.kohd.[[#This Row],[Kohdentamat-tomat 4]],0)</f>
        <v>0</v>
      </c>
      <c r="AT109" s="208">
        <f>IFERROR(Opv.kohd.[[#This Row],[Työvoima-koulutus 5]]/Opv.kohd.[[#This Row],[Työvoima-koulutus 4]],0)</f>
        <v>0</v>
      </c>
      <c r="AU109" s="208">
        <f>IFERROR(Opv.kohd.[[#This Row],[Maahan-muuttajien koulutus 5]]/Opv.kohd.[[#This Row],[Maahan-muuttajien koulutus 4]],0)</f>
        <v>0</v>
      </c>
      <c r="AV109" s="208">
        <f>IFERROR(Opv.kohd.[[#This Row],[Nuorisotyöt. väh. ja osaamistarp. vast., muu kuin työvoima-koulutus 5]]/Opv.kohd.[[#This Row],[Nuorisotyöt. väh. ja osaamistarp. vast., muu kuin työvoima-koulutus 4]],0)</f>
        <v>0</v>
      </c>
      <c r="AW109" s="208">
        <f>IFERROR(Opv.kohd.[[#This Row],[Nuorisotyöt. väh. ja osaamistarp. vast., työvoima-koulutus 5]]/Opv.kohd.[[#This Row],[Nuorisotyöt. väh. ja osaamistarp. vast., työvoima-koulutus 4]],0)</f>
        <v>0</v>
      </c>
      <c r="AX109" s="208">
        <f>IFERROR(Opv.kohd.[[#This Row],[Yhteensä 5]]/Opv.kohd.[[#This Row],[Yhteensä 4]],0)</f>
        <v>0</v>
      </c>
      <c r="AY109" s="208">
        <f>IFERROR(Opv.kohd.[[#This Row],[Ensikertaisella suoritepäätöksellä jaetut tavoitteelliset opiskelijavuodet yhteensä 5]]/Opv.kohd.[[#This Row],[Ensikertaisella suoritepäätöksellä jaetut tavoitteelliset opiskelijavuodet yhteensä 4]],0)</f>
        <v>0</v>
      </c>
      <c r="AZ109" s="207">
        <f>Opv.kohd.[[#This Row],[Yhteensä 7a]]-Opv.kohd.[[#This Row],[Työvoima-koulutus 7a]]</f>
        <v>0</v>
      </c>
      <c r="BA109" s="207">
        <f>IFERROR(VLOOKUP(Opv.kohd.[[#This Row],[Y-tunnus]],#REF!,COLUMN(#REF!),FALSE),0)</f>
        <v>0</v>
      </c>
      <c r="BB109" s="207">
        <f>IFERROR(VLOOKUP(Opv.kohd.[[#This Row],[Y-tunnus]],#REF!,COLUMN(#REF!),FALSE),0)</f>
        <v>0</v>
      </c>
      <c r="BC109" s="207">
        <f>Opv.kohd.[[#This Row],[Muu kuin työvoima-koulutus 7c]]-Opv.kohd.[[#This Row],[Muu kuin työvoima-koulutus 7a]]</f>
        <v>0</v>
      </c>
      <c r="BD109" s="207">
        <f>Opv.kohd.[[#This Row],[Työvoima-koulutus 7c]]-Opv.kohd.[[#This Row],[Työvoima-koulutus 7a]]</f>
        <v>0</v>
      </c>
      <c r="BE109" s="207">
        <f>Opv.kohd.[[#This Row],[Yhteensä 7c]]-Opv.kohd.[[#This Row],[Yhteensä 7a]]</f>
        <v>0</v>
      </c>
      <c r="BF109" s="207">
        <f>Opv.kohd.[[#This Row],[Yhteensä 7c]]-Opv.kohd.[[#This Row],[Työvoima-koulutus 7c]]</f>
        <v>0</v>
      </c>
      <c r="BG109" s="207">
        <f>IFERROR(VLOOKUP(Opv.kohd.[[#This Row],[Y-tunnus]],#REF!,COLUMN(#REF!),FALSE),0)</f>
        <v>0</v>
      </c>
      <c r="BH109" s="207">
        <f>IFERROR(VLOOKUP(Opv.kohd.[[#This Row],[Y-tunnus]],#REF!,COLUMN(#REF!),FALSE),0)</f>
        <v>0</v>
      </c>
      <c r="BI109" s="207">
        <f>IFERROR(VLOOKUP(Opv.kohd.[[#This Row],[Y-tunnus]],#REF!,COLUMN(#REF!),FALSE),0)</f>
        <v>0</v>
      </c>
      <c r="BJ109" s="207">
        <f>IFERROR(VLOOKUP(Opv.kohd.[[#This Row],[Y-tunnus]],#REF!,COLUMN(#REF!),FALSE),0)</f>
        <v>0</v>
      </c>
      <c r="BK109" s="207">
        <f>Opv.kohd.[[#This Row],[Muu kuin työvoima-koulutus 7d]]+Opv.kohd.[[#This Row],[Työvoima-koulutus 7d]]</f>
        <v>0</v>
      </c>
      <c r="BL109" s="207">
        <f>Opv.kohd.[[#This Row],[Muu kuin työvoima-koulutus 7c]]-Opv.kohd.[[#This Row],[Muu kuin työvoima-koulutus 7d]]</f>
        <v>0</v>
      </c>
      <c r="BM109" s="207">
        <f>Opv.kohd.[[#This Row],[Työvoima-koulutus 7c]]-Opv.kohd.[[#This Row],[Työvoima-koulutus 7d]]</f>
        <v>0</v>
      </c>
      <c r="BN109" s="207">
        <f>Opv.kohd.[[#This Row],[Yhteensä 7c]]-Opv.kohd.[[#This Row],[Yhteensä 7d]]</f>
        <v>0</v>
      </c>
      <c r="BO109" s="207">
        <f>Opv.kohd.[[#This Row],[Muu kuin työvoima-koulutus 7e]]-(Opv.kohd.[[#This Row],[Järjestämisluvan mukaiset 4]]+Opv.kohd.[[#This Row],[Kohdentamat-tomat 4]]+Opv.kohd.[[#This Row],[Maahan-muuttajien koulutus 4]]+Opv.kohd.[[#This Row],[Nuorisotyöt. väh. ja osaamistarp. vast., muu kuin työvoima-koulutus 4]])</f>
        <v>0</v>
      </c>
      <c r="BP109" s="207">
        <f>Opv.kohd.[[#This Row],[Työvoima-koulutus 7e]]-(Opv.kohd.[[#This Row],[Työvoima-koulutus 4]]+Opv.kohd.[[#This Row],[Nuorisotyöt. väh. ja osaamistarp. vast., työvoima-koulutus 4]])</f>
        <v>0</v>
      </c>
      <c r="BQ109" s="207">
        <f>Opv.kohd.[[#This Row],[Yhteensä 7e]]-Opv.kohd.[[#This Row],[Ensikertaisella suoritepäätöksellä jaetut tavoitteelliset opiskelijavuodet yhteensä 4]]</f>
        <v>0</v>
      </c>
      <c r="BR109" s="263">
        <v>890</v>
      </c>
      <c r="BS109" s="263">
        <v>65</v>
      </c>
      <c r="BT109" s="263">
        <v>65</v>
      </c>
      <c r="BU109" s="263">
        <v>10</v>
      </c>
      <c r="BV109" s="263">
        <v>15</v>
      </c>
      <c r="BW109" s="263">
        <v>5</v>
      </c>
      <c r="BX109" s="263">
        <v>160</v>
      </c>
      <c r="BY109" s="263">
        <v>1050</v>
      </c>
      <c r="BZ109" s="207">
        <f t="shared" si="17"/>
        <v>890</v>
      </c>
      <c r="CA109" s="207">
        <f t="shared" si="18"/>
        <v>65</v>
      </c>
      <c r="CB109" s="207">
        <f t="shared" si="19"/>
        <v>65</v>
      </c>
      <c r="CC109" s="207">
        <f t="shared" si="20"/>
        <v>10</v>
      </c>
      <c r="CD109" s="207">
        <f t="shared" si="21"/>
        <v>15</v>
      </c>
      <c r="CE109" s="207">
        <f t="shared" si="22"/>
        <v>5</v>
      </c>
      <c r="CF109" s="207">
        <f t="shared" si="23"/>
        <v>160</v>
      </c>
      <c r="CG109" s="207">
        <f t="shared" si="24"/>
        <v>1050</v>
      </c>
      <c r="CH109" s="207">
        <f>Opv.kohd.[[#This Row],[Tavoitteelliset opiskelijavuodet yhteensä 9]]-Opv.kohd.[[#This Row],[Työvoima-koulutus 9]]-Opv.kohd.[[#This Row],[Nuorisotyöt. väh. ja osaamistarp. vast., työvoima-koulutus 9]]-Opv.kohd.[[#This Row],[Muu kuin työvoima-koulutus 7e]]</f>
        <v>980</v>
      </c>
      <c r="CI109" s="207">
        <f>(Opv.kohd.[[#This Row],[Työvoima-koulutus 9]]+Opv.kohd.[[#This Row],[Nuorisotyöt. väh. ja osaamistarp. vast., työvoima-koulutus 9]])-Opv.kohd.[[#This Row],[Työvoima-koulutus 7e]]</f>
        <v>70</v>
      </c>
      <c r="CJ109" s="207">
        <f>Opv.kohd.[[#This Row],[Tavoitteelliset opiskelijavuodet yhteensä 9]]-Opv.kohd.[[#This Row],[Yhteensä 7e]]</f>
        <v>1050</v>
      </c>
      <c r="CK109" s="207">
        <f>Opv.kohd.[[#This Row],[Järjestämisluvan mukaiset 4]]+Opv.kohd.[[#This Row],[Järjestämisluvan mukaiset 13]]</f>
        <v>0</v>
      </c>
      <c r="CL109" s="207">
        <f>Opv.kohd.[[#This Row],[Kohdentamat-tomat 4]]+Opv.kohd.[[#This Row],[Kohdentamat-tomat 13]]</f>
        <v>0</v>
      </c>
      <c r="CM109" s="207">
        <f>Opv.kohd.[[#This Row],[Työvoima-koulutus 4]]+Opv.kohd.[[#This Row],[Työvoima-koulutus 13]]</f>
        <v>0</v>
      </c>
      <c r="CN109" s="207">
        <f>Opv.kohd.[[#This Row],[Maahan-muuttajien koulutus 4]]+Opv.kohd.[[#This Row],[Maahan-muuttajien koulutus 13]]</f>
        <v>0</v>
      </c>
      <c r="CO109" s="207">
        <f>Opv.kohd.[[#This Row],[Nuorisotyöt. väh. ja osaamistarp. vast., muu kuin työvoima-koulutus 4]]+Opv.kohd.[[#This Row],[Nuorisotyöt. väh. ja osaamistarp. vast., muu kuin työvoima-koulutus 13]]</f>
        <v>0</v>
      </c>
      <c r="CP109" s="207">
        <f>Opv.kohd.[[#This Row],[Nuorisotyöt. väh. ja osaamistarp. vast., työvoima-koulutus 4]]+Opv.kohd.[[#This Row],[Nuorisotyöt. väh. ja osaamistarp. vast., työvoima-koulutus 13]]</f>
        <v>0</v>
      </c>
      <c r="CQ109" s="207">
        <f>Opv.kohd.[[#This Row],[Yhteensä 4]]+Opv.kohd.[[#This Row],[Yhteensä 13]]</f>
        <v>0</v>
      </c>
      <c r="CR109" s="207">
        <f>Opv.kohd.[[#This Row],[Ensikertaisella suoritepäätöksellä jaetut tavoitteelliset opiskelijavuodet yhteensä 4]]+Opv.kohd.[[#This Row],[Tavoitteelliset opiskelijavuodet yhteensä 13]]</f>
        <v>0</v>
      </c>
      <c r="CS109" s="120">
        <v>0</v>
      </c>
      <c r="CT109" s="120">
        <v>0</v>
      </c>
      <c r="CU109" s="120">
        <v>0</v>
      </c>
      <c r="CV109" s="120">
        <v>0</v>
      </c>
      <c r="CW109" s="120">
        <v>0</v>
      </c>
      <c r="CX109" s="120">
        <v>0</v>
      </c>
      <c r="CY109" s="120">
        <v>0</v>
      </c>
      <c r="CZ109" s="120">
        <v>0</v>
      </c>
      <c r="DA109" s="209">
        <f>IFERROR(Opv.kohd.[[#This Row],[Järjestämisluvan mukaiset 13]]/Opv.kohd.[[#This Row],[Järjestämisluvan mukaiset 12]],0)</f>
        <v>0</v>
      </c>
      <c r="DB109" s="209">
        <f>IFERROR(Opv.kohd.[[#This Row],[Kohdentamat-tomat 13]]/Opv.kohd.[[#This Row],[Kohdentamat-tomat 12]],0)</f>
        <v>0</v>
      </c>
      <c r="DC109" s="209">
        <f>IFERROR(Opv.kohd.[[#This Row],[Työvoima-koulutus 13]]/Opv.kohd.[[#This Row],[Työvoima-koulutus 12]],0)</f>
        <v>0</v>
      </c>
      <c r="DD109" s="209">
        <f>IFERROR(Opv.kohd.[[#This Row],[Maahan-muuttajien koulutus 13]]/Opv.kohd.[[#This Row],[Maahan-muuttajien koulutus 12]],0)</f>
        <v>0</v>
      </c>
      <c r="DE109" s="209">
        <f>IFERROR(Opv.kohd.[[#This Row],[Nuorisotyöt. väh. ja osaamistarp. vast., muu kuin työvoima-koulutus 13]]/Opv.kohd.[[#This Row],[Nuorisotyöt. väh. ja osaamistarp. vast., muu kuin työvoima-koulutus 12]],0)</f>
        <v>0</v>
      </c>
      <c r="DF109" s="209">
        <f>IFERROR(Opv.kohd.[[#This Row],[Nuorisotyöt. väh. ja osaamistarp. vast., työvoima-koulutus 13]]/Opv.kohd.[[#This Row],[Nuorisotyöt. väh. ja osaamistarp. vast., työvoima-koulutus 12]],0)</f>
        <v>0</v>
      </c>
      <c r="DG109" s="209">
        <f>IFERROR(Opv.kohd.[[#This Row],[Yhteensä 13]]/Opv.kohd.[[#This Row],[Yhteensä 12]],0)</f>
        <v>0</v>
      </c>
      <c r="DH109" s="209">
        <f>IFERROR(Opv.kohd.[[#This Row],[Tavoitteelliset opiskelijavuodet yhteensä 13]]/Opv.kohd.[[#This Row],[Tavoitteelliset opiskelijavuodet yhteensä 12]],0)</f>
        <v>0</v>
      </c>
      <c r="DI109" s="207">
        <f>Opv.kohd.[[#This Row],[Järjestämisluvan mukaiset 12]]-Opv.kohd.[[#This Row],[Järjestämisluvan mukaiset 9]]</f>
        <v>-890</v>
      </c>
      <c r="DJ109" s="207">
        <f>Opv.kohd.[[#This Row],[Kohdentamat-tomat 12]]-Opv.kohd.[[#This Row],[Kohdentamat-tomat 9]]</f>
        <v>-65</v>
      </c>
      <c r="DK109" s="207">
        <f>Opv.kohd.[[#This Row],[Työvoima-koulutus 12]]-Opv.kohd.[[#This Row],[Työvoima-koulutus 9]]</f>
        <v>-65</v>
      </c>
      <c r="DL109" s="207">
        <f>Opv.kohd.[[#This Row],[Maahan-muuttajien koulutus 12]]-Opv.kohd.[[#This Row],[Maahan-muuttajien koulutus 9]]</f>
        <v>-10</v>
      </c>
      <c r="DM109" s="207">
        <f>Opv.kohd.[[#This Row],[Nuorisotyöt. väh. ja osaamistarp. vast., muu kuin työvoima-koulutus 12]]-Opv.kohd.[[#This Row],[Nuorisotyöt. väh. ja osaamistarp. vast., muu kuin työvoima-koulutus 9]]</f>
        <v>-15</v>
      </c>
      <c r="DN109" s="207">
        <f>Opv.kohd.[[#This Row],[Nuorisotyöt. väh. ja osaamistarp. vast., työvoima-koulutus 12]]-Opv.kohd.[[#This Row],[Nuorisotyöt. väh. ja osaamistarp. vast., työvoima-koulutus 9]]</f>
        <v>-5</v>
      </c>
      <c r="DO109" s="207">
        <f>Opv.kohd.[[#This Row],[Yhteensä 12]]-Opv.kohd.[[#This Row],[Yhteensä 9]]</f>
        <v>-160</v>
      </c>
      <c r="DP109" s="207">
        <f>Opv.kohd.[[#This Row],[Tavoitteelliset opiskelijavuodet yhteensä 12]]-Opv.kohd.[[#This Row],[Tavoitteelliset opiskelijavuodet yhteensä 9]]</f>
        <v>-1050</v>
      </c>
      <c r="DQ109" s="209">
        <f>IFERROR(Opv.kohd.[[#This Row],[Järjestämisluvan mukaiset 15]]/Opv.kohd.[[#This Row],[Järjestämisluvan mukaiset 9]],0)</f>
        <v>-1</v>
      </c>
      <c r="DR109" s="209">
        <f t="shared" si="25"/>
        <v>0</v>
      </c>
      <c r="DS109" s="209">
        <f t="shared" si="26"/>
        <v>0</v>
      </c>
      <c r="DT109" s="209">
        <f t="shared" si="27"/>
        <v>0</v>
      </c>
      <c r="DU109" s="209">
        <f t="shared" si="28"/>
        <v>0</v>
      </c>
      <c r="DV109" s="209">
        <f t="shared" si="29"/>
        <v>0</v>
      </c>
      <c r="DW109" s="209">
        <f t="shared" si="30"/>
        <v>0</v>
      </c>
      <c r="DX109" s="209">
        <f t="shared" si="31"/>
        <v>0</v>
      </c>
    </row>
    <row r="110" spans="1:128" x14ac:dyDescent="0.25">
      <c r="A110" s="204" t="e">
        <f>IF(INDEX(#REF!,ROW(110:110)-1,1)=0,"",INDEX(#REF!,ROW(110:110)-1,1))</f>
        <v>#REF!</v>
      </c>
      <c r="B110" s="205" t="str">
        <f>IFERROR(VLOOKUP(Opv.kohd.[[#This Row],[Y-tunnus]],'0 Järjestäjätiedot'!$A:$H,2,FALSE),"")</f>
        <v/>
      </c>
      <c r="C110" s="204" t="str">
        <f>IFERROR(VLOOKUP(Opv.kohd.[[#This Row],[Y-tunnus]],'0 Järjestäjätiedot'!$A:$H,COLUMN('0 Järjestäjätiedot'!D:D),FALSE),"")</f>
        <v/>
      </c>
      <c r="D110" s="204" t="str">
        <f>IFERROR(VLOOKUP(Opv.kohd.[[#This Row],[Y-tunnus]],'0 Järjestäjätiedot'!$A:$H,COLUMN('0 Järjestäjätiedot'!H:H),FALSE),"")</f>
        <v/>
      </c>
      <c r="E110" s="204">
        <f>IFERROR(VLOOKUP(Opv.kohd.[[#This Row],[Y-tunnus]],#REF!,COLUMN(#REF!),FALSE),0)</f>
        <v>0</v>
      </c>
      <c r="F110" s="204">
        <f>IFERROR(VLOOKUP(Opv.kohd.[[#This Row],[Y-tunnus]],#REF!,COLUMN(#REF!),FALSE),0)</f>
        <v>0</v>
      </c>
      <c r="G110" s="204">
        <f>IFERROR(VLOOKUP(Opv.kohd.[[#This Row],[Y-tunnus]],#REF!,COLUMN(#REF!),FALSE),0)</f>
        <v>0</v>
      </c>
      <c r="H110" s="204">
        <f>IFERROR(VLOOKUP(Opv.kohd.[[#This Row],[Y-tunnus]],#REF!,COLUMN(#REF!),FALSE),0)</f>
        <v>0</v>
      </c>
      <c r="I110" s="204">
        <f>IFERROR(VLOOKUP(Opv.kohd.[[#This Row],[Y-tunnus]],#REF!,COLUMN(#REF!),FALSE),0)</f>
        <v>0</v>
      </c>
      <c r="J110" s="204">
        <f>IFERROR(VLOOKUP(Opv.kohd.[[#This Row],[Y-tunnus]],#REF!,COLUMN(#REF!),FALSE),0)</f>
        <v>0</v>
      </c>
      <c r="K11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10" s="204">
        <f>Opv.kohd.[[#This Row],[Järjestämisluvan mukaiset 1]]+Opv.kohd.[[#This Row],[Yhteensä  1]]</f>
        <v>0</v>
      </c>
      <c r="M110" s="204">
        <f>IFERROR(VLOOKUP(Opv.kohd.[[#This Row],[Y-tunnus]],#REF!,COLUMN(#REF!),FALSE),0)</f>
        <v>0</v>
      </c>
      <c r="N110" s="204">
        <f>IFERROR(VLOOKUP(Opv.kohd.[[#This Row],[Y-tunnus]],#REF!,COLUMN(#REF!),FALSE),0)</f>
        <v>0</v>
      </c>
      <c r="O110" s="204">
        <f>IFERROR(VLOOKUP(Opv.kohd.[[#This Row],[Y-tunnus]],#REF!,COLUMN(#REF!),FALSE)+VLOOKUP(Opv.kohd.[[#This Row],[Y-tunnus]],#REF!,COLUMN(#REF!),FALSE),0)</f>
        <v>0</v>
      </c>
      <c r="P110" s="204">
        <f>Opv.kohd.[[#This Row],[Talousarvion perusteella kohdentamattomat]]+Opv.kohd.[[#This Row],[Talousarvion perusteella työvoimakoulutus 1]]+Opv.kohd.[[#This Row],[Lisätalousarvioiden perusteella]]</f>
        <v>0</v>
      </c>
      <c r="Q110" s="204">
        <f>IFERROR(VLOOKUP(Opv.kohd.[[#This Row],[Y-tunnus]],#REF!,COLUMN(#REF!),FALSE),0)</f>
        <v>0</v>
      </c>
      <c r="R110" s="210">
        <f>IFERROR(VLOOKUP(Opv.kohd.[[#This Row],[Y-tunnus]],#REF!,COLUMN(#REF!),FALSE)-(Opv.kohd.[[#This Row],[Kohdentamaton työvoima-koulutus 2]]+Opv.kohd.[[#This Row],[Maahan-muuttajien koulutus 2]]+Opv.kohd.[[#This Row],[Lisätalousarvioiden perusteella jaetut 2]]),0)</f>
        <v>0</v>
      </c>
      <c r="S110" s="210">
        <f>IFERROR(VLOOKUP(Opv.kohd.[[#This Row],[Y-tunnus]],#REF!,COLUMN(#REF!),FALSE)+VLOOKUP(Opv.kohd.[[#This Row],[Y-tunnus]],#REF!,COLUMN(#REF!),FALSE),0)</f>
        <v>0</v>
      </c>
      <c r="T110" s="210">
        <f>IFERROR(VLOOKUP(Opv.kohd.[[#This Row],[Y-tunnus]],#REF!,COLUMN(#REF!),FALSE)+VLOOKUP(Opv.kohd.[[#This Row],[Y-tunnus]],#REF!,COLUMN(#REF!),FALSE),0)</f>
        <v>0</v>
      </c>
      <c r="U11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10" s="210">
        <f>Opv.kohd.[[#This Row],[Kohdentamat-tomat 2]]+Opv.kohd.[[#This Row],[Kohdentamaton työvoima-koulutus 2]]+Opv.kohd.[[#This Row],[Maahan-muuttajien koulutus 2]]+Opv.kohd.[[#This Row],[Lisätalousarvioiden perusteella jaetut 2]]</f>
        <v>0</v>
      </c>
      <c r="W110" s="210">
        <f>Opv.kohd.[[#This Row],[Kohdentamat-tomat 2]]-(Opv.kohd.[[#This Row],[Järjestämisluvan mukaiset 1]]+Opv.kohd.[[#This Row],[Kohdentamat-tomat 1]]+Opv.kohd.[[#This Row],[Nuorisotyöt. väh. ja osaamistarp. vast., muu kuin työvoima-koulutus 1]]+Opv.kohd.[[#This Row],[Talousarvion perusteella kohdentamattomat]])</f>
        <v>0</v>
      </c>
      <c r="X110" s="210">
        <f>Opv.kohd.[[#This Row],[Kohdentamaton työvoima-koulutus 2]]-(Opv.kohd.[[#This Row],[Työvoima-koulutus 1]]+Opv.kohd.[[#This Row],[Nuorisotyöt. väh. ja osaamistarp. vast., työvoima-koulutus 1]]+Opv.kohd.[[#This Row],[Talousarvion perusteella työvoimakoulutus 1]])</f>
        <v>0</v>
      </c>
      <c r="Y110" s="210">
        <f>Opv.kohd.[[#This Row],[Maahan-muuttajien koulutus 2]]-Opv.kohd.[[#This Row],[Maahan-muuttajien koulutus 1]]</f>
        <v>0</v>
      </c>
      <c r="Z110" s="210">
        <f>Opv.kohd.[[#This Row],[Lisätalousarvioiden perusteella jaetut 2]]-Opv.kohd.[[#This Row],[Lisätalousarvioiden perusteella]]</f>
        <v>0</v>
      </c>
      <c r="AA110" s="210">
        <f>Opv.kohd.[[#This Row],[Toteutuneet opiskelijavuodet yhteensä 2]]-Opv.kohd.[[#This Row],[Vuoden 2018 tavoitteelliset opiskelijavuodet yhteensä 1]]</f>
        <v>0</v>
      </c>
      <c r="AB110" s="207">
        <f>IFERROR(VLOOKUP(Opv.kohd.[[#This Row],[Y-tunnus]],#REF!,3,FALSE),0)</f>
        <v>0</v>
      </c>
      <c r="AC110" s="207">
        <f>IFERROR(VLOOKUP(Opv.kohd.[[#This Row],[Y-tunnus]],#REF!,4,FALSE),0)</f>
        <v>0</v>
      </c>
      <c r="AD110" s="207">
        <f>IFERROR(VLOOKUP(Opv.kohd.[[#This Row],[Y-tunnus]],#REF!,5,FALSE),0)</f>
        <v>0</v>
      </c>
      <c r="AE110" s="207">
        <f>IFERROR(VLOOKUP(Opv.kohd.[[#This Row],[Y-tunnus]],#REF!,6,FALSE),0)</f>
        <v>0</v>
      </c>
      <c r="AF110" s="207">
        <f>IFERROR(VLOOKUP(Opv.kohd.[[#This Row],[Y-tunnus]],#REF!,7,FALSE),0)</f>
        <v>0</v>
      </c>
      <c r="AG110" s="207">
        <f>IFERROR(VLOOKUP(Opv.kohd.[[#This Row],[Y-tunnus]],#REF!,8,FALSE),0)</f>
        <v>0</v>
      </c>
      <c r="AH110" s="207">
        <f>IFERROR(VLOOKUP(Opv.kohd.[[#This Row],[Y-tunnus]],#REF!,9,FALSE),0)</f>
        <v>0</v>
      </c>
      <c r="AI110" s="207">
        <f>IFERROR(VLOOKUP(Opv.kohd.[[#This Row],[Y-tunnus]],#REF!,10,FALSE),0)</f>
        <v>0</v>
      </c>
      <c r="AJ110" s="204">
        <f>Opv.kohd.[[#This Row],[Järjestämisluvan mukaiset 4]]-Opv.kohd.[[#This Row],[Järjestämisluvan mukaiset 1]]</f>
        <v>0</v>
      </c>
      <c r="AK110" s="204">
        <f>Opv.kohd.[[#This Row],[Kohdentamat-tomat 4]]-Opv.kohd.[[#This Row],[Kohdentamat-tomat 1]]</f>
        <v>0</v>
      </c>
      <c r="AL110" s="204">
        <f>Opv.kohd.[[#This Row],[Työvoima-koulutus 4]]-Opv.kohd.[[#This Row],[Työvoima-koulutus 1]]</f>
        <v>0</v>
      </c>
      <c r="AM110" s="204">
        <f>Opv.kohd.[[#This Row],[Maahan-muuttajien koulutus 4]]-Opv.kohd.[[#This Row],[Maahan-muuttajien koulutus 1]]</f>
        <v>0</v>
      </c>
      <c r="AN110" s="204">
        <f>Opv.kohd.[[#This Row],[Nuorisotyöt. väh. ja osaamistarp. vast., muu kuin työvoima-koulutus 4]]-Opv.kohd.[[#This Row],[Nuorisotyöt. väh. ja osaamistarp. vast., muu kuin työvoima-koulutus 1]]</f>
        <v>0</v>
      </c>
      <c r="AO110" s="204">
        <f>Opv.kohd.[[#This Row],[Nuorisotyöt. väh. ja osaamistarp. vast., työvoima-koulutus 4]]-Opv.kohd.[[#This Row],[Nuorisotyöt. väh. ja osaamistarp. vast., työvoima-koulutus 1]]</f>
        <v>0</v>
      </c>
      <c r="AP110" s="204">
        <f>Opv.kohd.[[#This Row],[Yhteensä 4]]-Opv.kohd.[[#This Row],[Yhteensä  1]]</f>
        <v>0</v>
      </c>
      <c r="AQ110" s="204">
        <f>Opv.kohd.[[#This Row],[Ensikertaisella suoritepäätöksellä jaetut tavoitteelliset opiskelijavuodet yhteensä 4]]-Opv.kohd.[[#This Row],[Ensikertaisella suoritepäätöksellä jaetut tavoitteelliset opiskelijavuodet yhteensä 1]]</f>
        <v>0</v>
      </c>
      <c r="AR110" s="208">
        <f>IFERROR(Opv.kohd.[[#This Row],[Järjestämisluvan mukaiset 5]]/Opv.kohd.[[#This Row],[Järjestämisluvan mukaiset 4]],0)</f>
        <v>0</v>
      </c>
      <c r="AS110" s="208">
        <f>IFERROR(Opv.kohd.[[#This Row],[Kohdentamat-tomat 5]]/Opv.kohd.[[#This Row],[Kohdentamat-tomat 4]],0)</f>
        <v>0</v>
      </c>
      <c r="AT110" s="208">
        <f>IFERROR(Opv.kohd.[[#This Row],[Työvoima-koulutus 5]]/Opv.kohd.[[#This Row],[Työvoima-koulutus 4]],0)</f>
        <v>0</v>
      </c>
      <c r="AU110" s="208">
        <f>IFERROR(Opv.kohd.[[#This Row],[Maahan-muuttajien koulutus 5]]/Opv.kohd.[[#This Row],[Maahan-muuttajien koulutus 4]],0)</f>
        <v>0</v>
      </c>
      <c r="AV110" s="208">
        <f>IFERROR(Opv.kohd.[[#This Row],[Nuorisotyöt. väh. ja osaamistarp. vast., muu kuin työvoima-koulutus 5]]/Opv.kohd.[[#This Row],[Nuorisotyöt. väh. ja osaamistarp. vast., muu kuin työvoima-koulutus 4]],0)</f>
        <v>0</v>
      </c>
      <c r="AW110" s="208">
        <f>IFERROR(Opv.kohd.[[#This Row],[Nuorisotyöt. väh. ja osaamistarp. vast., työvoima-koulutus 5]]/Opv.kohd.[[#This Row],[Nuorisotyöt. väh. ja osaamistarp. vast., työvoima-koulutus 4]],0)</f>
        <v>0</v>
      </c>
      <c r="AX110" s="208">
        <f>IFERROR(Opv.kohd.[[#This Row],[Yhteensä 5]]/Opv.kohd.[[#This Row],[Yhteensä 4]],0)</f>
        <v>0</v>
      </c>
      <c r="AY110" s="208">
        <f>IFERROR(Opv.kohd.[[#This Row],[Ensikertaisella suoritepäätöksellä jaetut tavoitteelliset opiskelijavuodet yhteensä 5]]/Opv.kohd.[[#This Row],[Ensikertaisella suoritepäätöksellä jaetut tavoitteelliset opiskelijavuodet yhteensä 4]],0)</f>
        <v>0</v>
      </c>
      <c r="AZ110" s="207">
        <f>Opv.kohd.[[#This Row],[Yhteensä 7a]]-Opv.kohd.[[#This Row],[Työvoima-koulutus 7a]]</f>
        <v>0</v>
      </c>
      <c r="BA110" s="207">
        <f>IFERROR(VLOOKUP(Opv.kohd.[[#This Row],[Y-tunnus]],#REF!,COLUMN(#REF!),FALSE),0)</f>
        <v>0</v>
      </c>
      <c r="BB110" s="207">
        <f>IFERROR(VLOOKUP(Opv.kohd.[[#This Row],[Y-tunnus]],#REF!,COLUMN(#REF!),FALSE),0)</f>
        <v>0</v>
      </c>
      <c r="BC110" s="207">
        <f>Opv.kohd.[[#This Row],[Muu kuin työvoima-koulutus 7c]]-Opv.kohd.[[#This Row],[Muu kuin työvoima-koulutus 7a]]</f>
        <v>0</v>
      </c>
      <c r="BD110" s="207">
        <f>Opv.kohd.[[#This Row],[Työvoima-koulutus 7c]]-Opv.kohd.[[#This Row],[Työvoima-koulutus 7a]]</f>
        <v>0</v>
      </c>
      <c r="BE110" s="207">
        <f>Opv.kohd.[[#This Row],[Yhteensä 7c]]-Opv.kohd.[[#This Row],[Yhteensä 7a]]</f>
        <v>0</v>
      </c>
      <c r="BF110" s="207">
        <f>Opv.kohd.[[#This Row],[Yhteensä 7c]]-Opv.kohd.[[#This Row],[Työvoima-koulutus 7c]]</f>
        <v>0</v>
      </c>
      <c r="BG110" s="207">
        <f>IFERROR(VLOOKUP(Opv.kohd.[[#This Row],[Y-tunnus]],#REF!,COLUMN(#REF!),FALSE),0)</f>
        <v>0</v>
      </c>
      <c r="BH110" s="207">
        <f>IFERROR(VLOOKUP(Opv.kohd.[[#This Row],[Y-tunnus]],#REF!,COLUMN(#REF!),FALSE),0)</f>
        <v>0</v>
      </c>
      <c r="BI110" s="207">
        <f>IFERROR(VLOOKUP(Opv.kohd.[[#This Row],[Y-tunnus]],#REF!,COLUMN(#REF!),FALSE),0)</f>
        <v>0</v>
      </c>
      <c r="BJ110" s="207">
        <f>IFERROR(VLOOKUP(Opv.kohd.[[#This Row],[Y-tunnus]],#REF!,COLUMN(#REF!),FALSE),0)</f>
        <v>0</v>
      </c>
      <c r="BK110" s="207">
        <f>Opv.kohd.[[#This Row],[Muu kuin työvoima-koulutus 7d]]+Opv.kohd.[[#This Row],[Työvoima-koulutus 7d]]</f>
        <v>0</v>
      </c>
      <c r="BL110" s="207">
        <f>Opv.kohd.[[#This Row],[Muu kuin työvoima-koulutus 7c]]-Opv.kohd.[[#This Row],[Muu kuin työvoima-koulutus 7d]]</f>
        <v>0</v>
      </c>
      <c r="BM110" s="207">
        <f>Opv.kohd.[[#This Row],[Työvoima-koulutus 7c]]-Opv.kohd.[[#This Row],[Työvoima-koulutus 7d]]</f>
        <v>0</v>
      </c>
      <c r="BN110" s="207">
        <f>Opv.kohd.[[#This Row],[Yhteensä 7c]]-Opv.kohd.[[#This Row],[Yhteensä 7d]]</f>
        <v>0</v>
      </c>
      <c r="BO110" s="207">
        <f>Opv.kohd.[[#This Row],[Muu kuin työvoima-koulutus 7e]]-(Opv.kohd.[[#This Row],[Järjestämisluvan mukaiset 4]]+Opv.kohd.[[#This Row],[Kohdentamat-tomat 4]]+Opv.kohd.[[#This Row],[Maahan-muuttajien koulutus 4]]+Opv.kohd.[[#This Row],[Nuorisotyöt. väh. ja osaamistarp. vast., muu kuin työvoima-koulutus 4]])</f>
        <v>0</v>
      </c>
      <c r="BP110" s="207">
        <f>Opv.kohd.[[#This Row],[Työvoima-koulutus 7e]]-(Opv.kohd.[[#This Row],[Työvoima-koulutus 4]]+Opv.kohd.[[#This Row],[Nuorisotyöt. väh. ja osaamistarp. vast., työvoima-koulutus 4]])</f>
        <v>0</v>
      </c>
      <c r="BQ110" s="207">
        <f>Opv.kohd.[[#This Row],[Yhteensä 7e]]-Opv.kohd.[[#This Row],[Ensikertaisella suoritepäätöksellä jaetut tavoitteelliset opiskelijavuodet yhteensä 4]]</f>
        <v>0</v>
      </c>
      <c r="BR110" s="263">
        <v>179</v>
      </c>
      <c r="BS110" s="263">
        <v>5</v>
      </c>
      <c r="BT110" s="263">
        <v>0</v>
      </c>
      <c r="BU110" s="263">
        <v>0</v>
      </c>
      <c r="BV110" s="263">
        <v>0</v>
      </c>
      <c r="BW110" s="263">
        <v>0</v>
      </c>
      <c r="BX110" s="263">
        <v>5</v>
      </c>
      <c r="BY110" s="263">
        <v>184</v>
      </c>
      <c r="BZ110" s="207">
        <f t="shared" si="17"/>
        <v>179</v>
      </c>
      <c r="CA110" s="207">
        <f t="shared" si="18"/>
        <v>5</v>
      </c>
      <c r="CB110" s="207">
        <f t="shared" si="19"/>
        <v>0</v>
      </c>
      <c r="CC110" s="207">
        <f t="shared" si="20"/>
        <v>0</v>
      </c>
      <c r="CD110" s="207">
        <f t="shared" si="21"/>
        <v>0</v>
      </c>
      <c r="CE110" s="207">
        <f t="shared" si="22"/>
        <v>0</v>
      </c>
      <c r="CF110" s="207">
        <f t="shared" si="23"/>
        <v>5</v>
      </c>
      <c r="CG110" s="207">
        <f t="shared" si="24"/>
        <v>184</v>
      </c>
      <c r="CH110" s="207">
        <f>Opv.kohd.[[#This Row],[Tavoitteelliset opiskelijavuodet yhteensä 9]]-Opv.kohd.[[#This Row],[Työvoima-koulutus 9]]-Opv.kohd.[[#This Row],[Nuorisotyöt. väh. ja osaamistarp. vast., työvoima-koulutus 9]]-Opv.kohd.[[#This Row],[Muu kuin työvoima-koulutus 7e]]</f>
        <v>184</v>
      </c>
      <c r="CI110" s="207">
        <f>(Opv.kohd.[[#This Row],[Työvoima-koulutus 9]]+Opv.kohd.[[#This Row],[Nuorisotyöt. väh. ja osaamistarp. vast., työvoima-koulutus 9]])-Opv.kohd.[[#This Row],[Työvoima-koulutus 7e]]</f>
        <v>0</v>
      </c>
      <c r="CJ110" s="207">
        <f>Opv.kohd.[[#This Row],[Tavoitteelliset opiskelijavuodet yhteensä 9]]-Opv.kohd.[[#This Row],[Yhteensä 7e]]</f>
        <v>184</v>
      </c>
      <c r="CK110" s="207">
        <f>Opv.kohd.[[#This Row],[Järjestämisluvan mukaiset 4]]+Opv.kohd.[[#This Row],[Järjestämisluvan mukaiset 13]]</f>
        <v>0</v>
      </c>
      <c r="CL110" s="207">
        <f>Opv.kohd.[[#This Row],[Kohdentamat-tomat 4]]+Opv.kohd.[[#This Row],[Kohdentamat-tomat 13]]</f>
        <v>0</v>
      </c>
      <c r="CM110" s="207">
        <f>Opv.kohd.[[#This Row],[Työvoima-koulutus 4]]+Opv.kohd.[[#This Row],[Työvoima-koulutus 13]]</f>
        <v>0</v>
      </c>
      <c r="CN110" s="207">
        <f>Opv.kohd.[[#This Row],[Maahan-muuttajien koulutus 4]]+Opv.kohd.[[#This Row],[Maahan-muuttajien koulutus 13]]</f>
        <v>0</v>
      </c>
      <c r="CO110" s="207">
        <f>Opv.kohd.[[#This Row],[Nuorisotyöt. väh. ja osaamistarp. vast., muu kuin työvoima-koulutus 4]]+Opv.kohd.[[#This Row],[Nuorisotyöt. väh. ja osaamistarp. vast., muu kuin työvoima-koulutus 13]]</f>
        <v>0</v>
      </c>
      <c r="CP110" s="207">
        <f>Opv.kohd.[[#This Row],[Nuorisotyöt. väh. ja osaamistarp. vast., työvoima-koulutus 4]]+Opv.kohd.[[#This Row],[Nuorisotyöt. väh. ja osaamistarp. vast., työvoima-koulutus 13]]</f>
        <v>0</v>
      </c>
      <c r="CQ110" s="207">
        <f>Opv.kohd.[[#This Row],[Yhteensä 4]]+Opv.kohd.[[#This Row],[Yhteensä 13]]</f>
        <v>0</v>
      </c>
      <c r="CR110" s="207">
        <f>Opv.kohd.[[#This Row],[Ensikertaisella suoritepäätöksellä jaetut tavoitteelliset opiskelijavuodet yhteensä 4]]+Opv.kohd.[[#This Row],[Tavoitteelliset opiskelijavuodet yhteensä 13]]</f>
        <v>0</v>
      </c>
      <c r="CS110" s="120">
        <v>0</v>
      </c>
      <c r="CT110" s="120">
        <v>0</v>
      </c>
      <c r="CU110" s="120">
        <v>0</v>
      </c>
      <c r="CV110" s="120">
        <v>0</v>
      </c>
      <c r="CW110" s="120">
        <v>0</v>
      </c>
      <c r="CX110" s="120">
        <v>0</v>
      </c>
      <c r="CY110" s="120">
        <v>0</v>
      </c>
      <c r="CZ110" s="120">
        <v>0</v>
      </c>
      <c r="DA110" s="209">
        <f>IFERROR(Opv.kohd.[[#This Row],[Järjestämisluvan mukaiset 13]]/Opv.kohd.[[#This Row],[Järjestämisluvan mukaiset 12]],0)</f>
        <v>0</v>
      </c>
      <c r="DB110" s="209">
        <f>IFERROR(Opv.kohd.[[#This Row],[Kohdentamat-tomat 13]]/Opv.kohd.[[#This Row],[Kohdentamat-tomat 12]],0)</f>
        <v>0</v>
      </c>
      <c r="DC110" s="209">
        <f>IFERROR(Opv.kohd.[[#This Row],[Työvoima-koulutus 13]]/Opv.kohd.[[#This Row],[Työvoima-koulutus 12]],0)</f>
        <v>0</v>
      </c>
      <c r="DD110" s="209">
        <f>IFERROR(Opv.kohd.[[#This Row],[Maahan-muuttajien koulutus 13]]/Opv.kohd.[[#This Row],[Maahan-muuttajien koulutus 12]],0)</f>
        <v>0</v>
      </c>
      <c r="DE110" s="209">
        <f>IFERROR(Opv.kohd.[[#This Row],[Nuorisotyöt. väh. ja osaamistarp. vast., muu kuin työvoima-koulutus 13]]/Opv.kohd.[[#This Row],[Nuorisotyöt. väh. ja osaamistarp. vast., muu kuin työvoima-koulutus 12]],0)</f>
        <v>0</v>
      </c>
      <c r="DF110" s="209">
        <f>IFERROR(Opv.kohd.[[#This Row],[Nuorisotyöt. väh. ja osaamistarp. vast., työvoima-koulutus 13]]/Opv.kohd.[[#This Row],[Nuorisotyöt. väh. ja osaamistarp. vast., työvoima-koulutus 12]],0)</f>
        <v>0</v>
      </c>
      <c r="DG110" s="209">
        <f>IFERROR(Opv.kohd.[[#This Row],[Yhteensä 13]]/Opv.kohd.[[#This Row],[Yhteensä 12]],0)</f>
        <v>0</v>
      </c>
      <c r="DH110" s="209">
        <f>IFERROR(Opv.kohd.[[#This Row],[Tavoitteelliset opiskelijavuodet yhteensä 13]]/Opv.kohd.[[#This Row],[Tavoitteelliset opiskelijavuodet yhteensä 12]],0)</f>
        <v>0</v>
      </c>
      <c r="DI110" s="207">
        <f>Opv.kohd.[[#This Row],[Järjestämisluvan mukaiset 12]]-Opv.kohd.[[#This Row],[Järjestämisluvan mukaiset 9]]</f>
        <v>-179</v>
      </c>
      <c r="DJ110" s="207">
        <f>Opv.kohd.[[#This Row],[Kohdentamat-tomat 12]]-Opv.kohd.[[#This Row],[Kohdentamat-tomat 9]]</f>
        <v>-5</v>
      </c>
      <c r="DK110" s="207">
        <f>Opv.kohd.[[#This Row],[Työvoima-koulutus 12]]-Opv.kohd.[[#This Row],[Työvoima-koulutus 9]]</f>
        <v>0</v>
      </c>
      <c r="DL110" s="207">
        <f>Opv.kohd.[[#This Row],[Maahan-muuttajien koulutus 12]]-Opv.kohd.[[#This Row],[Maahan-muuttajien koulutus 9]]</f>
        <v>0</v>
      </c>
      <c r="DM110" s="207">
        <f>Opv.kohd.[[#This Row],[Nuorisotyöt. väh. ja osaamistarp. vast., muu kuin työvoima-koulutus 12]]-Opv.kohd.[[#This Row],[Nuorisotyöt. väh. ja osaamistarp. vast., muu kuin työvoima-koulutus 9]]</f>
        <v>0</v>
      </c>
      <c r="DN110" s="207">
        <f>Opv.kohd.[[#This Row],[Nuorisotyöt. väh. ja osaamistarp. vast., työvoima-koulutus 12]]-Opv.kohd.[[#This Row],[Nuorisotyöt. väh. ja osaamistarp. vast., työvoima-koulutus 9]]</f>
        <v>0</v>
      </c>
      <c r="DO110" s="207">
        <f>Opv.kohd.[[#This Row],[Yhteensä 12]]-Opv.kohd.[[#This Row],[Yhteensä 9]]</f>
        <v>-5</v>
      </c>
      <c r="DP110" s="207">
        <f>Opv.kohd.[[#This Row],[Tavoitteelliset opiskelijavuodet yhteensä 12]]-Opv.kohd.[[#This Row],[Tavoitteelliset opiskelijavuodet yhteensä 9]]</f>
        <v>-184</v>
      </c>
      <c r="DQ110" s="209">
        <f>IFERROR(Opv.kohd.[[#This Row],[Järjestämisluvan mukaiset 15]]/Opv.kohd.[[#This Row],[Järjestämisluvan mukaiset 9]],0)</f>
        <v>-1</v>
      </c>
      <c r="DR110" s="209">
        <f t="shared" si="25"/>
        <v>0</v>
      </c>
      <c r="DS110" s="209">
        <f t="shared" si="26"/>
        <v>0</v>
      </c>
      <c r="DT110" s="209">
        <f t="shared" si="27"/>
        <v>0</v>
      </c>
      <c r="DU110" s="209">
        <f t="shared" si="28"/>
        <v>0</v>
      </c>
      <c r="DV110" s="209">
        <f t="shared" si="29"/>
        <v>0</v>
      </c>
      <c r="DW110" s="209">
        <f t="shared" si="30"/>
        <v>0</v>
      </c>
      <c r="DX110" s="209">
        <f t="shared" si="31"/>
        <v>0</v>
      </c>
    </row>
    <row r="111" spans="1:128" x14ac:dyDescent="0.25">
      <c r="A111" s="204" t="e">
        <f>IF(INDEX(#REF!,ROW(111:111)-1,1)=0,"",INDEX(#REF!,ROW(111:111)-1,1))</f>
        <v>#REF!</v>
      </c>
      <c r="B111" s="205" t="str">
        <f>IFERROR(VLOOKUP(Opv.kohd.[[#This Row],[Y-tunnus]],'0 Järjestäjätiedot'!$A:$H,2,FALSE),"")</f>
        <v/>
      </c>
      <c r="C111" s="204" t="str">
        <f>IFERROR(VLOOKUP(Opv.kohd.[[#This Row],[Y-tunnus]],'0 Järjestäjätiedot'!$A:$H,COLUMN('0 Järjestäjätiedot'!D:D),FALSE),"")</f>
        <v/>
      </c>
      <c r="D111" s="204" t="str">
        <f>IFERROR(VLOOKUP(Opv.kohd.[[#This Row],[Y-tunnus]],'0 Järjestäjätiedot'!$A:$H,COLUMN('0 Järjestäjätiedot'!H:H),FALSE),"")</f>
        <v/>
      </c>
      <c r="E111" s="204">
        <f>IFERROR(VLOOKUP(Opv.kohd.[[#This Row],[Y-tunnus]],#REF!,COLUMN(#REF!),FALSE),0)</f>
        <v>0</v>
      </c>
      <c r="F111" s="204">
        <f>IFERROR(VLOOKUP(Opv.kohd.[[#This Row],[Y-tunnus]],#REF!,COLUMN(#REF!),FALSE),0)</f>
        <v>0</v>
      </c>
      <c r="G111" s="204">
        <f>IFERROR(VLOOKUP(Opv.kohd.[[#This Row],[Y-tunnus]],#REF!,COLUMN(#REF!),FALSE),0)</f>
        <v>0</v>
      </c>
      <c r="H111" s="204">
        <f>IFERROR(VLOOKUP(Opv.kohd.[[#This Row],[Y-tunnus]],#REF!,COLUMN(#REF!),FALSE),0)</f>
        <v>0</v>
      </c>
      <c r="I111" s="204">
        <f>IFERROR(VLOOKUP(Opv.kohd.[[#This Row],[Y-tunnus]],#REF!,COLUMN(#REF!),FALSE),0)</f>
        <v>0</v>
      </c>
      <c r="J111" s="204">
        <f>IFERROR(VLOOKUP(Opv.kohd.[[#This Row],[Y-tunnus]],#REF!,COLUMN(#REF!),FALSE),0)</f>
        <v>0</v>
      </c>
      <c r="K11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11" s="204">
        <f>Opv.kohd.[[#This Row],[Järjestämisluvan mukaiset 1]]+Opv.kohd.[[#This Row],[Yhteensä  1]]</f>
        <v>0</v>
      </c>
      <c r="M111" s="204">
        <f>IFERROR(VLOOKUP(Opv.kohd.[[#This Row],[Y-tunnus]],#REF!,COLUMN(#REF!),FALSE),0)</f>
        <v>0</v>
      </c>
      <c r="N111" s="204">
        <f>IFERROR(VLOOKUP(Opv.kohd.[[#This Row],[Y-tunnus]],#REF!,COLUMN(#REF!),FALSE),0)</f>
        <v>0</v>
      </c>
      <c r="O111" s="204">
        <f>IFERROR(VLOOKUP(Opv.kohd.[[#This Row],[Y-tunnus]],#REF!,COLUMN(#REF!),FALSE)+VLOOKUP(Opv.kohd.[[#This Row],[Y-tunnus]],#REF!,COLUMN(#REF!),FALSE),0)</f>
        <v>0</v>
      </c>
      <c r="P111" s="204">
        <f>Opv.kohd.[[#This Row],[Talousarvion perusteella kohdentamattomat]]+Opv.kohd.[[#This Row],[Talousarvion perusteella työvoimakoulutus 1]]+Opv.kohd.[[#This Row],[Lisätalousarvioiden perusteella]]</f>
        <v>0</v>
      </c>
      <c r="Q111" s="204">
        <f>IFERROR(VLOOKUP(Opv.kohd.[[#This Row],[Y-tunnus]],#REF!,COLUMN(#REF!),FALSE),0)</f>
        <v>0</v>
      </c>
      <c r="R111" s="210">
        <f>IFERROR(VLOOKUP(Opv.kohd.[[#This Row],[Y-tunnus]],#REF!,COLUMN(#REF!),FALSE)-(Opv.kohd.[[#This Row],[Kohdentamaton työvoima-koulutus 2]]+Opv.kohd.[[#This Row],[Maahan-muuttajien koulutus 2]]+Opv.kohd.[[#This Row],[Lisätalousarvioiden perusteella jaetut 2]]),0)</f>
        <v>0</v>
      </c>
      <c r="S111" s="210">
        <f>IFERROR(VLOOKUP(Opv.kohd.[[#This Row],[Y-tunnus]],#REF!,COLUMN(#REF!),FALSE)+VLOOKUP(Opv.kohd.[[#This Row],[Y-tunnus]],#REF!,COLUMN(#REF!),FALSE),0)</f>
        <v>0</v>
      </c>
      <c r="T111" s="210">
        <f>IFERROR(VLOOKUP(Opv.kohd.[[#This Row],[Y-tunnus]],#REF!,COLUMN(#REF!),FALSE)+VLOOKUP(Opv.kohd.[[#This Row],[Y-tunnus]],#REF!,COLUMN(#REF!),FALSE),0)</f>
        <v>0</v>
      </c>
      <c r="U11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11" s="210">
        <f>Opv.kohd.[[#This Row],[Kohdentamat-tomat 2]]+Opv.kohd.[[#This Row],[Kohdentamaton työvoima-koulutus 2]]+Opv.kohd.[[#This Row],[Maahan-muuttajien koulutus 2]]+Opv.kohd.[[#This Row],[Lisätalousarvioiden perusteella jaetut 2]]</f>
        <v>0</v>
      </c>
      <c r="W111" s="210">
        <f>Opv.kohd.[[#This Row],[Kohdentamat-tomat 2]]-(Opv.kohd.[[#This Row],[Järjestämisluvan mukaiset 1]]+Opv.kohd.[[#This Row],[Kohdentamat-tomat 1]]+Opv.kohd.[[#This Row],[Nuorisotyöt. väh. ja osaamistarp. vast., muu kuin työvoima-koulutus 1]]+Opv.kohd.[[#This Row],[Talousarvion perusteella kohdentamattomat]])</f>
        <v>0</v>
      </c>
      <c r="X111" s="210">
        <f>Opv.kohd.[[#This Row],[Kohdentamaton työvoima-koulutus 2]]-(Opv.kohd.[[#This Row],[Työvoima-koulutus 1]]+Opv.kohd.[[#This Row],[Nuorisotyöt. väh. ja osaamistarp. vast., työvoima-koulutus 1]]+Opv.kohd.[[#This Row],[Talousarvion perusteella työvoimakoulutus 1]])</f>
        <v>0</v>
      </c>
      <c r="Y111" s="210">
        <f>Opv.kohd.[[#This Row],[Maahan-muuttajien koulutus 2]]-Opv.kohd.[[#This Row],[Maahan-muuttajien koulutus 1]]</f>
        <v>0</v>
      </c>
      <c r="Z111" s="210">
        <f>Opv.kohd.[[#This Row],[Lisätalousarvioiden perusteella jaetut 2]]-Opv.kohd.[[#This Row],[Lisätalousarvioiden perusteella]]</f>
        <v>0</v>
      </c>
      <c r="AA111" s="210">
        <f>Opv.kohd.[[#This Row],[Toteutuneet opiskelijavuodet yhteensä 2]]-Opv.kohd.[[#This Row],[Vuoden 2018 tavoitteelliset opiskelijavuodet yhteensä 1]]</f>
        <v>0</v>
      </c>
      <c r="AB111" s="207">
        <f>IFERROR(VLOOKUP(Opv.kohd.[[#This Row],[Y-tunnus]],#REF!,3,FALSE),0)</f>
        <v>0</v>
      </c>
      <c r="AC111" s="207">
        <f>IFERROR(VLOOKUP(Opv.kohd.[[#This Row],[Y-tunnus]],#REF!,4,FALSE),0)</f>
        <v>0</v>
      </c>
      <c r="AD111" s="207">
        <f>IFERROR(VLOOKUP(Opv.kohd.[[#This Row],[Y-tunnus]],#REF!,5,FALSE),0)</f>
        <v>0</v>
      </c>
      <c r="AE111" s="207">
        <f>IFERROR(VLOOKUP(Opv.kohd.[[#This Row],[Y-tunnus]],#REF!,6,FALSE),0)</f>
        <v>0</v>
      </c>
      <c r="AF111" s="207">
        <f>IFERROR(VLOOKUP(Opv.kohd.[[#This Row],[Y-tunnus]],#REF!,7,FALSE),0)</f>
        <v>0</v>
      </c>
      <c r="AG111" s="207">
        <f>IFERROR(VLOOKUP(Opv.kohd.[[#This Row],[Y-tunnus]],#REF!,8,FALSE),0)</f>
        <v>0</v>
      </c>
      <c r="AH111" s="207">
        <f>IFERROR(VLOOKUP(Opv.kohd.[[#This Row],[Y-tunnus]],#REF!,9,FALSE),0)</f>
        <v>0</v>
      </c>
      <c r="AI111" s="207">
        <f>IFERROR(VLOOKUP(Opv.kohd.[[#This Row],[Y-tunnus]],#REF!,10,FALSE),0)</f>
        <v>0</v>
      </c>
      <c r="AJ111" s="204">
        <f>Opv.kohd.[[#This Row],[Järjestämisluvan mukaiset 4]]-Opv.kohd.[[#This Row],[Järjestämisluvan mukaiset 1]]</f>
        <v>0</v>
      </c>
      <c r="AK111" s="204">
        <f>Opv.kohd.[[#This Row],[Kohdentamat-tomat 4]]-Opv.kohd.[[#This Row],[Kohdentamat-tomat 1]]</f>
        <v>0</v>
      </c>
      <c r="AL111" s="204">
        <f>Opv.kohd.[[#This Row],[Työvoima-koulutus 4]]-Opv.kohd.[[#This Row],[Työvoima-koulutus 1]]</f>
        <v>0</v>
      </c>
      <c r="AM111" s="204">
        <f>Opv.kohd.[[#This Row],[Maahan-muuttajien koulutus 4]]-Opv.kohd.[[#This Row],[Maahan-muuttajien koulutus 1]]</f>
        <v>0</v>
      </c>
      <c r="AN111" s="204">
        <f>Opv.kohd.[[#This Row],[Nuorisotyöt. väh. ja osaamistarp. vast., muu kuin työvoima-koulutus 4]]-Opv.kohd.[[#This Row],[Nuorisotyöt. väh. ja osaamistarp. vast., muu kuin työvoima-koulutus 1]]</f>
        <v>0</v>
      </c>
      <c r="AO111" s="204">
        <f>Opv.kohd.[[#This Row],[Nuorisotyöt. väh. ja osaamistarp. vast., työvoima-koulutus 4]]-Opv.kohd.[[#This Row],[Nuorisotyöt. väh. ja osaamistarp. vast., työvoima-koulutus 1]]</f>
        <v>0</v>
      </c>
      <c r="AP111" s="204">
        <f>Opv.kohd.[[#This Row],[Yhteensä 4]]-Opv.kohd.[[#This Row],[Yhteensä  1]]</f>
        <v>0</v>
      </c>
      <c r="AQ111" s="204">
        <f>Opv.kohd.[[#This Row],[Ensikertaisella suoritepäätöksellä jaetut tavoitteelliset opiskelijavuodet yhteensä 4]]-Opv.kohd.[[#This Row],[Ensikertaisella suoritepäätöksellä jaetut tavoitteelliset opiskelijavuodet yhteensä 1]]</f>
        <v>0</v>
      </c>
      <c r="AR111" s="208">
        <f>IFERROR(Opv.kohd.[[#This Row],[Järjestämisluvan mukaiset 5]]/Opv.kohd.[[#This Row],[Järjestämisluvan mukaiset 4]],0)</f>
        <v>0</v>
      </c>
      <c r="AS111" s="208">
        <f>IFERROR(Opv.kohd.[[#This Row],[Kohdentamat-tomat 5]]/Opv.kohd.[[#This Row],[Kohdentamat-tomat 4]],0)</f>
        <v>0</v>
      </c>
      <c r="AT111" s="208">
        <f>IFERROR(Opv.kohd.[[#This Row],[Työvoima-koulutus 5]]/Opv.kohd.[[#This Row],[Työvoima-koulutus 4]],0)</f>
        <v>0</v>
      </c>
      <c r="AU111" s="208">
        <f>IFERROR(Opv.kohd.[[#This Row],[Maahan-muuttajien koulutus 5]]/Opv.kohd.[[#This Row],[Maahan-muuttajien koulutus 4]],0)</f>
        <v>0</v>
      </c>
      <c r="AV111" s="208">
        <f>IFERROR(Opv.kohd.[[#This Row],[Nuorisotyöt. väh. ja osaamistarp. vast., muu kuin työvoima-koulutus 5]]/Opv.kohd.[[#This Row],[Nuorisotyöt. väh. ja osaamistarp. vast., muu kuin työvoima-koulutus 4]],0)</f>
        <v>0</v>
      </c>
      <c r="AW111" s="208">
        <f>IFERROR(Opv.kohd.[[#This Row],[Nuorisotyöt. väh. ja osaamistarp. vast., työvoima-koulutus 5]]/Opv.kohd.[[#This Row],[Nuorisotyöt. väh. ja osaamistarp. vast., työvoima-koulutus 4]],0)</f>
        <v>0</v>
      </c>
      <c r="AX111" s="208">
        <f>IFERROR(Opv.kohd.[[#This Row],[Yhteensä 5]]/Opv.kohd.[[#This Row],[Yhteensä 4]],0)</f>
        <v>0</v>
      </c>
      <c r="AY111" s="208">
        <f>IFERROR(Opv.kohd.[[#This Row],[Ensikertaisella suoritepäätöksellä jaetut tavoitteelliset opiskelijavuodet yhteensä 5]]/Opv.kohd.[[#This Row],[Ensikertaisella suoritepäätöksellä jaetut tavoitteelliset opiskelijavuodet yhteensä 4]],0)</f>
        <v>0</v>
      </c>
      <c r="AZ111" s="207">
        <f>Opv.kohd.[[#This Row],[Yhteensä 7a]]-Opv.kohd.[[#This Row],[Työvoima-koulutus 7a]]</f>
        <v>0</v>
      </c>
      <c r="BA111" s="207">
        <f>IFERROR(VLOOKUP(Opv.kohd.[[#This Row],[Y-tunnus]],#REF!,COLUMN(#REF!),FALSE),0)</f>
        <v>0</v>
      </c>
      <c r="BB111" s="207">
        <f>IFERROR(VLOOKUP(Opv.kohd.[[#This Row],[Y-tunnus]],#REF!,COLUMN(#REF!),FALSE),0)</f>
        <v>0</v>
      </c>
      <c r="BC111" s="207">
        <f>Opv.kohd.[[#This Row],[Muu kuin työvoima-koulutus 7c]]-Opv.kohd.[[#This Row],[Muu kuin työvoima-koulutus 7a]]</f>
        <v>0</v>
      </c>
      <c r="BD111" s="207">
        <f>Opv.kohd.[[#This Row],[Työvoima-koulutus 7c]]-Opv.kohd.[[#This Row],[Työvoima-koulutus 7a]]</f>
        <v>0</v>
      </c>
      <c r="BE111" s="207">
        <f>Opv.kohd.[[#This Row],[Yhteensä 7c]]-Opv.kohd.[[#This Row],[Yhteensä 7a]]</f>
        <v>0</v>
      </c>
      <c r="BF111" s="207">
        <f>Opv.kohd.[[#This Row],[Yhteensä 7c]]-Opv.kohd.[[#This Row],[Työvoima-koulutus 7c]]</f>
        <v>0</v>
      </c>
      <c r="BG111" s="207">
        <f>IFERROR(VLOOKUP(Opv.kohd.[[#This Row],[Y-tunnus]],#REF!,COLUMN(#REF!),FALSE),0)</f>
        <v>0</v>
      </c>
      <c r="BH111" s="207">
        <f>IFERROR(VLOOKUP(Opv.kohd.[[#This Row],[Y-tunnus]],#REF!,COLUMN(#REF!),FALSE),0)</f>
        <v>0</v>
      </c>
      <c r="BI111" s="207">
        <f>IFERROR(VLOOKUP(Opv.kohd.[[#This Row],[Y-tunnus]],#REF!,COLUMN(#REF!),FALSE),0)</f>
        <v>0</v>
      </c>
      <c r="BJ111" s="207">
        <f>IFERROR(VLOOKUP(Opv.kohd.[[#This Row],[Y-tunnus]],#REF!,COLUMN(#REF!),FALSE),0)</f>
        <v>0</v>
      </c>
      <c r="BK111" s="207">
        <f>Opv.kohd.[[#This Row],[Muu kuin työvoima-koulutus 7d]]+Opv.kohd.[[#This Row],[Työvoima-koulutus 7d]]</f>
        <v>0</v>
      </c>
      <c r="BL111" s="207">
        <f>Opv.kohd.[[#This Row],[Muu kuin työvoima-koulutus 7c]]-Opv.kohd.[[#This Row],[Muu kuin työvoima-koulutus 7d]]</f>
        <v>0</v>
      </c>
      <c r="BM111" s="207">
        <f>Opv.kohd.[[#This Row],[Työvoima-koulutus 7c]]-Opv.kohd.[[#This Row],[Työvoima-koulutus 7d]]</f>
        <v>0</v>
      </c>
      <c r="BN111" s="207">
        <f>Opv.kohd.[[#This Row],[Yhteensä 7c]]-Opv.kohd.[[#This Row],[Yhteensä 7d]]</f>
        <v>0</v>
      </c>
      <c r="BO111" s="207">
        <f>Opv.kohd.[[#This Row],[Muu kuin työvoima-koulutus 7e]]-(Opv.kohd.[[#This Row],[Järjestämisluvan mukaiset 4]]+Opv.kohd.[[#This Row],[Kohdentamat-tomat 4]]+Opv.kohd.[[#This Row],[Maahan-muuttajien koulutus 4]]+Opv.kohd.[[#This Row],[Nuorisotyöt. väh. ja osaamistarp. vast., muu kuin työvoima-koulutus 4]])</f>
        <v>0</v>
      </c>
      <c r="BP111" s="207">
        <f>Opv.kohd.[[#This Row],[Työvoima-koulutus 7e]]-(Opv.kohd.[[#This Row],[Työvoima-koulutus 4]]+Opv.kohd.[[#This Row],[Nuorisotyöt. väh. ja osaamistarp. vast., työvoima-koulutus 4]])</f>
        <v>0</v>
      </c>
      <c r="BQ111" s="207">
        <f>Opv.kohd.[[#This Row],[Yhteensä 7e]]-Opv.kohd.[[#This Row],[Ensikertaisella suoritepäätöksellä jaetut tavoitteelliset opiskelijavuodet yhteensä 4]]</f>
        <v>0</v>
      </c>
      <c r="BR111" s="263">
        <v>1630</v>
      </c>
      <c r="BS111" s="263">
        <v>60</v>
      </c>
      <c r="BT111" s="263">
        <v>80</v>
      </c>
      <c r="BU111" s="263">
        <v>15</v>
      </c>
      <c r="BV111" s="263">
        <v>5</v>
      </c>
      <c r="BW111" s="263">
        <v>10</v>
      </c>
      <c r="BX111" s="263">
        <v>170</v>
      </c>
      <c r="BY111" s="263">
        <v>1800</v>
      </c>
      <c r="BZ111" s="207">
        <f t="shared" si="17"/>
        <v>1630</v>
      </c>
      <c r="CA111" s="207">
        <f t="shared" si="18"/>
        <v>60</v>
      </c>
      <c r="CB111" s="207">
        <f t="shared" si="19"/>
        <v>80</v>
      </c>
      <c r="CC111" s="207">
        <f t="shared" si="20"/>
        <v>15</v>
      </c>
      <c r="CD111" s="207">
        <f t="shared" si="21"/>
        <v>5</v>
      </c>
      <c r="CE111" s="207">
        <f t="shared" si="22"/>
        <v>10</v>
      </c>
      <c r="CF111" s="207">
        <f t="shared" si="23"/>
        <v>170</v>
      </c>
      <c r="CG111" s="207">
        <f t="shared" si="24"/>
        <v>1800</v>
      </c>
      <c r="CH111" s="207">
        <f>Opv.kohd.[[#This Row],[Tavoitteelliset opiskelijavuodet yhteensä 9]]-Opv.kohd.[[#This Row],[Työvoima-koulutus 9]]-Opv.kohd.[[#This Row],[Nuorisotyöt. väh. ja osaamistarp. vast., työvoima-koulutus 9]]-Opv.kohd.[[#This Row],[Muu kuin työvoima-koulutus 7e]]</f>
        <v>1710</v>
      </c>
      <c r="CI111" s="207">
        <f>(Opv.kohd.[[#This Row],[Työvoima-koulutus 9]]+Opv.kohd.[[#This Row],[Nuorisotyöt. väh. ja osaamistarp. vast., työvoima-koulutus 9]])-Opv.kohd.[[#This Row],[Työvoima-koulutus 7e]]</f>
        <v>90</v>
      </c>
      <c r="CJ111" s="207">
        <f>Opv.kohd.[[#This Row],[Tavoitteelliset opiskelijavuodet yhteensä 9]]-Opv.kohd.[[#This Row],[Yhteensä 7e]]</f>
        <v>1800</v>
      </c>
      <c r="CK111" s="207">
        <f>Opv.kohd.[[#This Row],[Järjestämisluvan mukaiset 4]]+Opv.kohd.[[#This Row],[Järjestämisluvan mukaiset 13]]</f>
        <v>0</v>
      </c>
      <c r="CL111" s="207">
        <f>Opv.kohd.[[#This Row],[Kohdentamat-tomat 4]]+Opv.kohd.[[#This Row],[Kohdentamat-tomat 13]]</f>
        <v>0</v>
      </c>
      <c r="CM111" s="207">
        <f>Opv.kohd.[[#This Row],[Työvoima-koulutus 4]]+Opv.kohd.[[#This Row],[Työvoima-koulutus 13]]</f>
        <v>0</v>
      </c>
      <c r="CN111" s="207">
        <f>Opv.kohd.[[#This Row],[Maahan-muuttajien koulutus 4]]+Opv.kohd.[[#This Row],[Maahan-muuttajien koulutus 13]]</f>
        <v>0</v>
      </c>
      <c r="CO111" s="207">
        <f>Opv.kohd.[[#This Row],[Nuorisotyöt. väh. ja osaamistarp. vast., muu kuin työvoima-koulutus 4]]+Opv.kohd.[[#This Row],[Nuorisotyöt. väh. ja osaamistarp. vast., muu kuin työvoima-koulutus 13]]</f>
        <v>0</v>
      </c>
      <c r="CP111" s="207">
        <f>Opv.kohd.[[#This Row],[Nuorisotyöt. väh. ja osaamistarp. vast., työvoima-koulutus 4]]+Opv.kohd.[[#This Row],[Nuorisotyöt. väh. ja osaamistarp. vast., työvoima-koulutus 13]]</f>
        <v>0</v>
      </c>
      <c r="CQ111" s="207">
        <f>Opv.kohd.[[#This Row],[Yhteensä 4]]+Opv.kohd.[[#This Row],[Yhteensä 13]]</f>
        <v>0</v>
      </c>
      <c r="CR111" s="207">
        <f>Opv.kohd.[[#This Row],[Ensikertaisella suoritepäätöksellä jaetut tavoitteelliset opiskelijavuodet yhteensä 4]]+Opv.kohd.[[#This Row],[Tavoitteelliset opiskelijavuodet yhteensä 13]]</f>
        <v>0</v>
      </c>
      <c r="CS111" s="120">
        <v>0</v>
      </c>
      <c r="CT111" s="120">
        <v>0</v>
      </c>
      <c r="CU111" s="120">
        <v>0</v>
      </c>
      <c r="CV111" s="120">
        <v>0</v>
      </c>
      <c r="CW111" s="120">
        <v>0</v>
      </c>
      <c r="CX111" s="120">
        <v>0</v>
      </c>
      <c r="CY111" s="120">
        <v>0</v>
      </c>
      <c r="CZ111" s="120">
        <v>0</v>
      </c>
      <c r="DA111" s="209">
        <f>IFERROR(Opv.kohd.[[#This Row],[Järjestämisluvan mukaiset 13]]/Opv.kohd.[[#This Row],[Järjestämisluvan mukaiset 12]],0)</f>
        <v>0</v>
      </c>
      <c r="DB111" s="209">
        <f>IFERROR(Opv.kohd.[[#This Row],[Kohdentamat-tomat 13]]/Opv.kohd.[[#This Row],[Kohdentamat-tomat 12]],0)</f>
        <v>0</v>
      </c>
      <c r="DC111" s="209">
        <f>IFERROR(Opv.kohd.[[#This Row],[Työvoima-koulutus 13]]/Opv.kohd.[[#This Row],[Työvoima-koulutus 12]],0)</f>
        <v>0</v>
      </c>
      <c r="DD111" s="209">
        <f>IFERROR(Opv.kohd.[[#This Row],[Maahan-muuttajien koulutus 13]]/Opv.kohd.[[#This Row],[Maahan-muuttajien koulutus 12]],0)</f>
        <v>0</v>
      </c>
      <c r="DE111" s="209">
        <f>IFERROR(Opv.kohd.[[#This Row],[Nuorisotyöt. väh. ja osaamistarp. vast., muu kuin työvoima-koulutus 13]]/Opv.kohd.[[#This Row],[Nuorisotyöt. väh. ja osaamistarp. vast., muu kuin työvoima-koulutus 12]],0)</f>
        <v>0</v>
      </c>
      <c r="DF111" s="209">
        <f>IFERROR(Opv.kohd.[[#This Row],[Nuorisotyöt. väh. ja osaamistarp. vast., työvoima-koulutus 13]]/Opv.kohd.[[#This Row],[Nuorisotyöt. väh. ja osaamistarp. vast., työvoima-koulutus 12]],0)</f>
        <v>0</v>
      </c>
      <c r="DG111" s="209">
        <f>IFERROR(Opv.kohd.[[#This Row],[Yhteensä 13]]/Opv.kohd.[[#This Row],[Yhteensä 12]],0)</f>
        <v>0</v>
      </c>
      <c r="DH111" s="209">
        <f>IFERROR(Opv.kohd.[[#This Row],[Tavoitteelliset opiskelijavuodet yhteensä 13]]/Opv.kohd.[[#This Row],[Tavoitteelliset opiskelijavuodet yhteensä 12]],0)</f>
        <v>0</v>
      </c>
      <c r="DI111" s="207">
        <f>Opv.kohd.[[#This Row],[Järjestämisluvan mukaiset 12]]-Opv.kohd.[[#This Row],[Järjestämisluvan mukaiset 9]]</f>
        <v>-1630</v>
      </c>
      <c r="DJ111" s="207">
        <f>Opv.kohd.[[#This Row],[Kohdentamat-tomat 12]]-Opv.kohd.[[#This Row],[Kohdentamat-tomat 9]]</f>
        <v>-60</v>
      </c>
      <c r="DK111" s="207">
        <f>Opv.kohd.[[#This Row],[Työvoima-koulutus 12]]-Opv.kohd.[[#This Row],[Työvoima-koulutus 9]]</f>
        <v>-80</v>
      </c>
      <c r="DL111" s="207">
        <f>Opv.kohd.[[#This Row],[Maahan-muuttajien koulutus 12]]-Opv.kohd.[[#This Row],[Maahan-muuttajien koulutus 9]]</f>
        <v>-15</v>
      </c>
      <c r="DM111" s="207">
        <f>Opv.kohd.[[#This Row],[Nuorisotyöt. väh. ja osaamistarp. vast., muu kuin työvoima-koulutus 12]]-Opv.kohd.[[#This Row],[Nuorisotyöt. väh. ja osaamistarp. vast., muu kuin työvoima-koulutus 9]]</f>
        <v>-5</v>
      </c>
      <c r="DN111" s="207">
        <f>Opv.kohd.[[#This Row],[Nuorisotyöt. väh. ja osaamistarp. vast., työvoima-koulutus 12]]-Opv.kohd.[[#This Row],[Nuorisotyöt. väh. ja osaamistarp. vast., työvoima-koulutus 9]]</f>
        <v>-10</v>
      </c>
      <c r="DO111" s="207">
        <f>Opv.kohd.[[#This Row],[Yhteensä 12]]-Opv.kohd.[[#This Row],[Yhteensä 9]]</f>
        <v>-170</v>
      </c>
      <c r="DP111" s="207">
        <f>Opv.kohd.[[#This Row],[Tavoitteelliset opiskelijavuodet yhteensä 12]]-Opv.kohd.[[#This Row],[Tavoitteelliset opiskelijavuodet yhteensä 9]]</f>
        <v>-1800</v>
      </c>
      <c r="DQ111" s="209">
        <f>IFERROR(Opv.kohd.[[#This Row],[Järjestämisluvan mukaiset 15]]/Opv.kohd.[[#This Row],[Järjestämisluvan mukaiset 9]],0)</f>
        <v>-1</v>
      </c>
      <c r="DR111" s="209">
        <f t="shared" si="25"/>
        <v>0</v>
      </c>
      <c r="DS111" s="209">
        <f t="shared" si="26"/>
        <v>0</v>
      </c>
      <c r="DT111" s="209">
        <f t="shared" si="27"/>
        <v>0</v>
      </c>
      <c r="DU111" s="209">
        <f t="shared" si="28"/>
        <v>0</v>
      </c>
      <c r="DV111" s="209">
        <f t="shared" si="29"/>
        <v>0</v>
      </c>
      <c r="DW111" s="209">
        <f t="shared" si="30"/>
        <v>0</v>
      </c>
      <c r="DX111" s="209">
        <f t="shared" si="31"/>
        <v>0</v>
      </c>
    </row>
    <row r="112" spans="1:128" x14ac:dyDescent="0.25">
      <c r="A112" s="204" t="e">
        <f>IF(INDEX(#REF!,ROW(112:112)-1,1)=0,"",INDEX(#REF!,ROW(112:112)-1,1))</f>
        <v>#REF!</v>
      </c>
      <c r="B112" s="205" t="str">
        <f>IFERROR(VLOOKUP(Opv.kohd.[[#This Row],[Y-tunnus]],'0 Järjestäjätiedot'!$A:$H,2,FALSE),"")</f>
        <v/>
      </c>
      <c r="C112" s="204" t="str">
        <f>IFERROR(VLOOKUP(Opv.kohd.[[#This Row],[Y-tunnus]],'0 Järjestäjätiedot'!$A:$H,COLUMN('0 Järjestäjätiedot'!D:D),FALSE),"")</f>
        <v/>
      </c>
      <c r="D112" s="204" t="str">
        <f>IFERROR(VLOOKUP(Opv.kohd.[[#This Row],[Y-tunnus]],'0 Järjestäjätiedot'!$A:$H,COLUMN('0 Järjestäjätiedot'!H:H),FALSE),"")</f>
        <v/>
      </c>
      <c r="E112" s="204">
        <f>IFERROR(VLOOKUP(Opv.kohd.[[#This Row],[Y-tunnus]],#REF!,COLUMN(#REF!),FALSE),0)</f>
        <v>0</v>
      </c>
      <c r="F112" s="204">
        <f>IFERROR(VLOOKUP(Opv.kohd.[[#This Row],[Y-tunnus]],#REF!,COLUMN(#REF!),FALSE),0)</f>
        <v>0</v>
      </c>
      <c r="G112" s="204">
        <f>IFERROR(VLOOKUP(Opv.kohd.[[#This Row],[Y-tunnus]],#REF!,COLUMN(#REF!),FALSE),0)</f>
        <v>0</v>
      </c>
      <c r="H112" s="204">
        <f>IFERROR(VLOOKUP(Opv.kohd.[[#This Row],[Y-tunnus]],#REF!,COLUMN(#REF!),FALSE),0)</f>
        <v>0</v>
      </c>
      <c r="I112" s="204">
        <f>IFERROR(VLOOKUP(Opv.kohd.[[#This Row],[Y-tunnus]],#REF!,COLUMN(#REF!),FALSE),0)</f>
        <v>0</v>
      </c>
      <c r="J112" s="204">
        <f>IFERROR(VLOOKUP(Opv.kohd.[[#This Row],[Y-tunnus]],#REF!,COLUMN(#REF!),FALSE),0)</f>
        <v>0</v>
      </c>
      <c r="K11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12" s="204">
        <f>Opv.kohd.[[#This Row],[Järjestämisluvan mukaiset 1]]+Opv.kohd.[[#This Row],[Yhteensä  1]]</f>
        <v>0</v>
      </c>
      <c r="M112" s="204">
        <f>IFERROR(VLOOKUP(Opv.kohd.[[#This Row],[Y-tunnus]],#REF!,COLUMN(#REF!),FALSE),0)</f>
        <v>0</v>
      </c>
      <c r="N112" s="204">
        <f>IFERROR(VLOOKUP(Opv.kohd.[[#This Row],[Y-tunnus]],#REF!,COLUMN(#REF!),FALSE),0)</f>
        <v>0</v>
      </c>
      <c r="O112" s="204">
        <f>IFERROR(VLOOKUP(Opv.kohd.[[#This Row],[Y-tunnus]],#REF!,COLUMN(#REF!),FALSE)+VLOOKUP(Opv.kohd.[[#This Row],[Y-tunnus]],#REF!,COLUMN(#REF!),FALSE),0)</f>
        <v>0</v>
      </c>
      <c r="P112" s="204">
        <f>Opv.kohd.[[#This Row],[Talousarvion perusteella kohdentamattomat]]+Opv.kohd.[[#This Row],[Talousarvion perusteella työvoimakoulutus 1]]+Opv.kohd.[[#This Row],[Lisätalousarvioiden perusteella]]</f>
        <v>0</v>
      </c>
      <c r="Q112" s="204">
        <f>IFERROR(VLOOKUP(Opv.kohd.[[#This Row],[Y-tunnus]],#REF!,COLUMN(#REF!),FALSE),0)</f>
        <v>0</v>
      </c>
      <c r="R112" s="210">
        <f>IFERROR(VLOOKUP(Opv.kohd.[[#This Row],[Y-tunnus]],#REF!,COLUMN(#REF!),FALSE)-(Opv.kohd.[[#This Row],[Kohdentamaton työvoima-koulutus 2]]+Opv.kohd.[[#This Row],[Maahan-muuttajien koulutus 2]]+Opv.kohd.[[#This Row],[Lisätalousarvioiden perusteella jaetut 2]]),0)</f>
        <v>0</v>
      </c>
      <c r="S112" s="210">
        <f>IFERROR(VLOOKUP(Opv.kohd.[[#This Row],[Y-tunnus]],#REF!,COLUMN(#REF!),FALSE)+VLOOKUP(Opv.kohd.[[#This Row],[Y-tunnus]],#REF!,COLUMN(#REF!),FALSE),0)</f>
        <v>0</v>
      </c>
      <c r="T112" s="210">
        <f>IFERROR(VLOOKUP(Opv.kohd.[[#This Row],[Y-tunnus]],#REF!,COLUMN(#REF!),FALSE)+VLOOKUP(Opv.kohd.[[#This Row],[Y-tunnus]],#REF!,COLUMN(#REF!),FALSE),0)</f>
        <v>0</v>
      </c>
      <c r="U11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12" s="210">
        <f>Opv.kohd.[[#This Row],[Kohdentamat-tomat 2]]+Opv.kohd.[[#This Row],[Kohdentamaton työvoima-koulutus 2]]+Opv.kohd.[[#This Row],[Maahan-muuttajien koulutus 2]]+Opv.kohd.[[#This Row],[Lisätalousarvioiden perusteella jaetut 2]]</f>
        <v>0</v>
      </c>
      <c r="W112" s="210">
        <f>Opv.kohd.[[#This Row],[Kohdentamat-tomat 2]]-(Opv.kohd.[[#This Row],[Järjestämisluvan mukaiset 1]]+Opv.kohd.[[#This Row],[Kohdentamat-tomat 1]]+Opv.kohd.[[#This Row],[Nuorisotyöt. väh. ja osaamistarp. vast., muu kuin työvoima-koulutus 1]]+Opv.kohd.[[#This Row],[Talousarvion perusteella kohdentamattomat]])</f>
        <v>0</v>
      </c>
      <c r="X112" s="210">
        <f>Opv.kohd.[[#This Row],[Kohdentamaton työvoima-koulutus 2]]-(Opv.kohd.[[#This Row],[Työvoima-koulutus 1]]+Opv.kohd.[[#This Row],[Nuorisotyöt. väh. ja osaamistarp. vast., työvoima-koulutus 1]]+Opv.kohd.[[#This Row],[Talousarvion perusteella työvoimakoulutus 1]])</f>
        <v>0</v>
      </c>
      <c r="Y112" s="210">
        <f>Opv.kohd.[[#This Row],[Maahan-muuttajien koulutus 2]]-Opv.kohd.[[#This Row],[Maahan-muuttajien koulutus 1]]</f>
        <v>0</v>
      </c>
      <c r="Z112" s="210">
        <f>Opv.kohd.[[#This Row],[Lisätalousarvioiden perusteella jaetut 2]]-Opv.kohd.[[#This Row],[Lisätalousarvioiden perusteella]]</f>
        <v>0</v>
      </c>
      <c r="AA112" s="210">
        <f>Opv.kohd.[[#This Row],[Toteutuneet opiskelijavuodet yhteensä 2]]-Opv.kohd.[[#This Row],[Vuoden 2018 tavoitteelliset opiskelijavuodet yhteensä 1]]</f>
        <v>0</v>
      </c>
      <c r="AB112" s="207">
        <f>IFERROR(VLOOKUP(Opv.kohd.[[#This Row],[Y-tunnus]],#REF!,3,FALSE),0)</f>
        <v>0</v>
      </c>
      <c r="AC112" s="207">
        <f>IFERROR(VLOOKUP(Opv.kohd.[[#This Row],[Y-tunnus]],#REF!,4,FALSE),0)</f>
        <v>0</v>
      </c>
      <c r="AD112" s="207">
        <f>IFERROR(VLOOKUP(Opv.kohd.[[#This Row],[Y-tunnus]],#REF!,5,FALSE),0)</f>
        <v>0</v>
      </c>
      <c r="AE112" s="207">
        <f>IFERROR(VLOOKUP(Opv.kohd.[[#This Row],[Y-tunnus]],#REF!,6,FALSE),0)</f>
        <v>0</v>
      </c>
      <c r="AF112" s="207">
        <f>IFERROR(VLOOKUP(Opv.kohd.[[#This Row],[Y-tunnus]],#REF!,7,FALSE),0)</f>
        <v>0</v>
      </c>
      <c r="AG112" s="207">
        <f>IFERROR(VLOOKUP(Opv.kohd.[[#This Row],[Y-tunnus]],#REF!,8,FALSE),0)</f>
        <v>0</v>
      </c>
      <c r="AH112" s="207">
        <f>IFERROR(VLOOKUP(Opv.kohd.[[#This Row],[Y-tunnus]],#REF!,9,FALSE),0)</f>
        <v>0</v>
      </c>
      <c r="AI112" s="207">
        <f>IFERROR(VLOOKUP(Opv.kohd.[[#This Row],[Y-tunnus]],#REF!,10,FALSE),0)</f>
        <v>0</v>
      </c>
      <c r="AJ112" s="204">
        <f>Opv.kohd.[[#This Row],[Järjestämisluvan mukaiset 4]]-Opv.kohd.[[#This Row],[Järjestämisluvan mukaiset 1]]</f>
        <v>0</v>
      </c>
      <c r="AK112" s="204">
        <f>Opv.kohd.[[#This Row],[Kohdentamat-tomat 4]]-Opv.kohd.[[#This Row],[Kohdentamat-tomat 1]]</f>
        <v>0</v>
      </c>
      <c r="AL112" s="204">
        <f>Opv.kohd.[[#This Row],[Työvoima-koulutus 4]]-Opv.kohd.[[#This Row],[Työvoima-koulutus 1]]</f>
        <v>0</v>
      </c>
      <c r="AM112" s="204">
        <f>Opv.kohd.[[#This Row],[Maahan-muuttajien koulutus 4]]-Opv.kohd.[[#This Row],[Maahan-muuttajien koulutus 1]]</f>
        <v>0</v>
      </c>
      <c r="AN112" s="204">
        <f>Opv.kohd.[[#This Row],[Nuorisotyöt. väh. ja osaamistarp. vast., muu kuin työvoima-koulutus 4]]-Opv.kohd.[[#This Row],[Nuorisotyöt. väh. ja osaamistarp. vast., muu kuin työvoima-koulutus 1]]</f>
        <v>0</v>
      </c>
      <c r="AO112" s="204">
        <f>Opv.kohd.[[#This Row],[Nuorisotyöt. väh. ja osaamistarp. vast., työvoima-koulutus 4]]-Opv.kohd.[[#This Row],[Nuorisotyöt. väh. ja osaamistarp. vast., työvoima-koulutus 1]]</f>
        <v>0</v>
      </c>
      <c r="AP112" s="204">
        <f>Opv.kohd.[[#This Row],[Yhteensä 4]]-Opv.kohd.[[#This Row],[Yhteensä  1]]</f>
        <v>0</v>
      </c>
      <c r="AQ112" s="204">
        <f>Opv.kohd.[[#This Row],[Ensikertaisella suoritepäätöksellä jaetut tavoitteelliset opiskelijavuodet yhteensä 4]]-Opv.kohd.[[#This Row],[Ensikertaisella suoritepäätöksellä jaetut tavoitteelliset opiskelijavuodet yhteensä 1]]</f>
        <v>0</v>
      </c>
      <c r="AR112" s="208">
        <f>IFERROR(Opv.kohd.[[#This Row],[Järjestämisluvan mukaiset 5]]/Opv.kohd.[[#This Row],[Järjestämisluvan mukaiset 4]],0)</f>
        <v>0</v>
      </c>
      <c r="AS112" s="208">
        <f>IFERROR(Opv.kohd.[[#This Row],[Kohdentamat-tomat 5]]/Opv.kohd.[[#This Row],[Kohdentamat-tomat 4]],0)</f>
        <v>0</v>
      </c>
      <c r="AT112" s="208">
        <f>IFERROR(Opv.kohd.[[#This Row],[Työvoima-koulutus 5]]/Opv.kohd.[[#This Row],[Työvoima-koulutus 4]],0)</f>
        <v>0</v>
      </c>
      <c r="AU112" s="208">
        <f>IFERROR(Opv.kohd.[[#This Row],[Maahan-muuttajien koulutus 5]]/Opv.kohd.[[#This Row],[Maahan-muuttajien koulutus 4]],0)</f>
        <v>0</v>
      </c>
      <c r="AV112" s="208">
        <f>IFERROR(Opv.kohd.[[#This Row],[Nuorisotyöt. väh. ja osaamistarp. vast., muu kuin työvoima-koulutus 5]]/Opv.kohd.[[#This Row],[Nuorisotyöt. väh. ja osaamistarp. vast., muu kuin työvoima-koulutus 4]],0)</f>
        <v>0</v>
      </c>
      <c r="AW112" s="208">
        <f>IFERROR(Opv.kohd.[[#This Row],[Nuorisotyöt. väh. ja osaamistarp. vast., työvoima-koulutus 5]]/Opv.kohd.[[#This Row],[Nuorisotyöt. väh. ja osaamistarp. vast., työvoima-koulutus 4]],0)</f>
        <v>0</v>
      </c>
      <c r="AX112" s="208">
        <f>IFERROR(Opv.kohd.[[#This Row],[Yhteensä 5]]/Opv.kohd.[[#This Row],[Yhteensä 4]],0)</f>
        <v>0</v>
      </c>
      <c r="AY112" s="208">
        <f>IFERROR(Opv.kohd.[[#This Row],[Ensikertaisella suoritepäätöksellä jaetut tavoitteelliset opiskelijavuodet yhteensä 5]]/Opv.kohd.[[#This Row],[Ensikertaisella suoritepäätöksellä jaetut tavoitteelliset opiskelijavuodet yhteensä 4]],0)</f>
        <v>0</v>
      </c>
      <c r="AZ112" s="207">
        <f>Opv.kohd.[[#This Row],[Yhteensä 7a]]-Opv.kohd.[[#This Row],[Työvoima-koulutus 7a]]</f>
        <v>0</v>
      </c>
      <c r="BA112" s="207">
        <f>IFERROR(VLOOKUP(Opv.kohd.[[#This Row],[Y-tunnus]],#REF!,COLUMN(#REF!),FALSE),0)</f>
        <v>0</v>
      </c>
      <c r="BB112" s="207">
        <f>IFERROR(VLOOKUP(Opv.kohd.[[#This Row],[Y-tunnus]],#REF!,COLUMN(#REF!),FALSE),0)</f>
        <v>0</v>
      </c>
      <c r="BC112" s="207">
        <f>Opv.kohd.[[#This Row],[Muu kuin työvoima-koulutus 7c]]-Opv.kohd.[[#This Row],[Muu kuin työvoima-koulutus 7a]]</f>
        <v>0</v>
      </c>
      <c r="BD112" s="207">
        <f>Opv.kohd.[[#This Row],[Työvoima-koulutus 7c]]-Opv.kohd.[[#This Row],[Työvoima-koulutus 7a]]</f>
        <v>0</v>
      </c>
      <c r="BE112" s="207">
        <f>Opv.kohd.[[#This Row],[Yhteensä 7c]]-Opv.kohd.[[#This Row],[Yhteensä 7a]]</f>
        <v>0</v>
      </c>
      <c r="BF112" s="207">
        <f>Opv.kohd.[[#This Row],[Yhteensä 7c]]-Opv.kohd.[[#This Row],[Työvoima-koulutus 7c]]</f>
        <v>0</v>
      </c>
      <c r="BG112" s="207">
        <f>IFERROR(VLOOKUP(Opv.kohd.[[#This Row],[Y-tunnus]],#REF!,COLUMN(#REF!),FALSE),0)</f>
        <v>0</v>
      </c>
      <c r="BH112" s="207">
        <f>IFERROR(VLOOKUP(Opv.kohd.[[#This Row],[Y-tunnus]],#REF!,COLUMN(#REF!),FALSE),0)</f>
        <v>0</v>
      </c>
      <c r="BI112" s="207">
        <f>IFERROR(VLOOKUP(Opv.kohd.[[#This Row],[Y-tunnus]],#REF!,COLUMN(#REF!),FALSE),0)</f>
        <v>0</v>
      </c>
      <c r="BJ112" s="207">
        <f>IFERROR(VLOOKUP(Opv.kohd.[[#This Row],[Y-tunnus]],#REF!,COLUMN(#REF!),FALSE),0)</f>
        <v>0</v>
      </c>
      <c r="BK112" s="207">
        <f>Opv.kohd.[[#This Row],[Muu kuin työvoima-koulutus 7d]]+Opv.kohd.[[#This Row],[Työvoima-koulutus 7d]]</f>
        <v>0</v>
      </c>
      <c r="BL112" s="207">
        <f>Opv.kohd.[[#This Row],[Muu kuin työvoima-koulutus 7c]]-Opv.kohd.[[#This Row],[Muu kuin työvoima-koulutus 7d]]</f>
        <v>0</v>
      </c>
      <c r="BM112" s="207">
        <f>Opv.kohd.[[#This Row],[Työvoima-koulutus 7c]]-Opv.kohd.[[#This Row],[Työvoima-koulutus 7d]]</f>
        <v>0</v>
      </c>
      <c r="BN112" s="207">
        <f>Opv.kohd.[[#This Row],[Yhteensä 7c]]-Opv.kohd.[[#This Row],[Yhteensä 7d]]</f>
        <v>0</v>
      </c>
      <c r="BO112" s="207">
        <f>Opv.kohd.[[#This Row],[Muu kuin työvoima-koulutus 7e]]-(Opv.kohd.[[#This Row],[Järjestämisluvan mukaiset 4]]+Opv.kohd.[[#This Row],[Kohdentamat-tomat 4]]+Opv.kohd.[[#This Row],[Maahan-muuttajien koulutus 4]]+Opv.kohd.[[#This Row],[Nuorisotyöt. väh. ja osaamistarp. vast., muu kuin työvoima-koulutus 4]])</f>
        <v>0</v>
      </c>
      <c r="BP112" s="207">
        <f>Opv.kohd.[[#This Row],[Työvoima-koulutus 7e]]-(Opv.kohd.[[#This Row],[Työvoima-koulutus 4]]+Opv.kohd.[[#This Row],[Nuorisotyöt. väh. ja osaamistarp. vast., työvoima-koulutus 4]])</f>
        <v>0</v>
      </c>
      <c r="BQ112" s="207">
        <f>Opv.kohd.[[#This Row],[Yhteensä 7e]]-Opv.kohd.[[#This Row],[Ensikertaisella suoritepäätöksellä jaetut tavoitteelliset opiskelijavuodet yhteensä 4]]</f>
        <v>0</v>
      </c>
      <c r="BR112" s="263">
        <v>67</v>
      </c>
      <c r="BS112" s="263">
        <v>133</v>
      </c>
      <c r="BT112" s="263">
        <v>0</v>
      </c>
      <c r="BU112" s="263">
        <v>0</v>
      </c>
      <c r="BV112" s="263">
        <v>0</v>
      </c>
      <c r="BW112" s="263">
        <v>0</v>
      </c>
      <c r="BX112" s="263">
        <v>133</v>
      </c>
      <c r="BY112" s="263">
        <v>200</v>
      </c>
      <c r="BZ112" s="207">
        <f t="shared" si="17"/>
        <v>67</v>
      </c>
      <c r="CA112" s="207">
        <f t="shared" si="18"/>
        <v>133</v>
      </c>
      <c r="CB112" s="207">
        <f t="shared" si="19"/>
        <v>0</v>
      </c>
      <c r="CC112" s="207">
        <f t="shared" si="20"/>
        <v>0</v>
      </c>
      <c r="CD112" s="207">
        <f t="shared" si="21"/>
        <v>0</v>
      </c>
      <c r="CE112" s="207">
        <f t="shared" si="22"/>
        <v>0</v>
      </c>
      <c r="CF112" s="207">
        <f t="shared" si="23"/>
        <v>133</v>
      </c>
      <c r="CG112" s="207">
        <f t="shared" si="24"/>
        <v>200</v>
      </c>
      <c r="CH112" s="207">
        <f>Opv.kohd.[[#This Row],[Tavoitteelliset opiskelijavuodet yhteensä 9]]-Opv.kohd.[[#This Row],[Työvoima-koulutus 9]]-Opv.kohd.[[#This Row],[Nuorisotyöt. väh. ja osaamistarp. vast., työvoima-koulutus 9]]-Opv.kohd.[[#This Row],[Muu kuin työvoima-koulutus 7e]]</f>
        <v>200</v>
      </c>
      <c r="CI112" s="207">
        <f>(Opv.kohd.[[#This Row],[Työvoima-koulutus 9]]+Opv.kohd.[[#This Row],[Nuorisotyöt. väh. ja osaamistarp. vast., työvoima-koulutus 9]])-Opv.kohd.[[#This Row],[Työvoima-koulutus 7e]]</f>
        <v>0</v>
      </c>
      <c r="CJ112" s="207">
        <f>Opv.kohd.[[#This Row],[Tavoitteelliset opiskelijavuodet yhteensä 9]]-Opv.kohd.[[#This Row],[Yhteensä 7e]]</f>
        <v>200</v>
      </c>
      <c r="CK112" s="207">
        <f>Opv.kohd.[[#This Row],[Järjestämisluvan mukaiset 4]]+Opv.kohd.[[#This Row],[Järjestämisluvan mukaiset 13]]</f>
        <v>0</v>
      </c>
      <c r="CL112" s="207">
        <f>Opv.kohd.[[#This Row],[Kohdentamat-tomat 4]]+Opv.kohd.[[#This Row],[Kohdentamat-tomat 13]]</f>
        <v>0</v>
      </c>
      <c r="CM112" s="207">
        <f>Opv.kohd.[[#This Row],[Työvoima-koulutus 4]]+Opv.kohd.[[#This Row],[Työvoima-koulutus 13]]</f>
        <v>0</v>
      </c>
      <c r="CN112" s="207">
        <f>Opv.kohd.[[#This Row],[Maahan-muuttajien koulutus 4]]+Opv.kohd.[[#This Row],[Maahan-muuttajien koulutus 13]]</f>
        <v>0</v>
      </c>
      <c r="CO112" s="207">
        <f>Opv.kohd.[[#This Row],[Nuorisotyöt. väh. ja osaamistarp. vast., muu kuin työvoima-koulutus 4]]+Opv.kohd.[[#This Row],[Nuorisotyöt. väh. ja osaamistarp. vast., muu kuin työvoima-koulutus 13]]</f>
        <v>0</v>
      </c>
      <c r="CP112" s="207">
        <f>Opv.kohd.[[#This Row],[Nuorisotyöt. väh. ja osaamistarp. vast., työvoima-koulutus 4]]+Opv.kohd.[[#This Row],[Nuorisotyöt. väh. ja osaamistarp. vast., työvoima-koulutus 13]]</f>
        <v>0</v>
      </c>
      <c r="CQ112" s="207">
        <f>Opv.kohd.[[#This Row],[Yhteensä 4]]+Opv.kohd.[[#This Row],[Yhteensä 13]]</f>
        <v>0</v>
      </c>
      <c r="CR112" s="207">
        <f>Opv.kohd.[[#This Row],[Ensikertaisella suoritepäätöksellä jaetut tavoitteelliset opiskelijavuodet yhteensä 4]]+Opv.kohd.[[#This Row],[Tavoitteelliset opiskelijavuodet yhteensä 13]]</f>
        <v>0</v>
      </c>
      <c r="CS112" s="120">
        <v>0</v>
      </c>
      <c r="CT112" s="120">
        <v>0</v>
      </c>
      <c r="CU112" s="120">
        <v>0</v>
      </c>
      <c r="CV112" s="120">
        <v>0</v>
      </c>
      <c r="CW112" s="120">
        <v>0</v>
      </c>
      <c r="CX112" s="120">
        <v>0</v>
      </c>
      <c r="CY112" s="120">
        <v>0</v>
      </c>
      <c r="CZ112" s="120">
        <v>0</v>
      </c>
      <c r="DA112" s="209">
        <f>IFERROR(Opv.kohd.[[#This Row],[Järjestämisluvan mukaiset 13]]/Opv.kohd.[[#This Row],[Järjestämisluvan mukaiset 12]],0)</f>
        <v>0</v>
      </c>
      <c r="DB112" s="209">
        <f>IFERROR(Opv.kohd.[[#This Row],[Kohdentamat-tomat 13]]/Opv.kohd.[[#This Row],[Kohdentamat-tomat 12]],0)</f>
        <v>0</v>
      </c>
      <c r="DC112" s="209">
        <f>IFERROR(Opv.kohd.[[#This Row],[Työvoima-koulutus 13]]/Opv.kohd.[[#This Row],[Työvoima-koulutus 12]],0)</f>
        <v>0</v>
      </c>
      <c r="DD112" s="209">
        <f>IFERROR(Opv.kohd.[[#This Row],[Maahan-muuttajien koulutus 13]]/Opv.kohd.[[#This Row],[Maahan-muuttajien koulutus 12]],0)</f>
        <v>0</v>
      </c>
      <c r="DE112" s="209">
        <f>IFERROR(Opv.kohd.[[#This Row],[Nuorisotyöt. väh. ja osaamistarp. vast., muu kuin työvoima-koulutus 13]]/Opv.kohd.[[#This Row],[Nuorisotyöt. väh. ja osaamistarp. vast., muu kuin työvoima-koulutus 12]],0)</f>
        <v>0</v>
      </c>
      <c r="DF112" s="209">
        <f>IFERROR(Opv.kohd.[[#This Row],[Nuorisotyöt. väh. ja osaamistarp. vast., työvoima-koulutus 13]]/Opv.kohd.[[#This Row],[Nuorisotyöt. väh. ja osaamistarp. vast., työvoima-koulutus 12]],0)</f>
        <v>0</v>
      </c>
      <c r="DG112" s="209">
        <f>IFERROR(Opv.kohd.[[#This Row],[Yhteensä 13]]/Opv.kohd.[[#This Row],[Yhteensä 12]],0)</f>
        <v>0</v>
      </c>
      <c r="DH112" s="209">
        <f>IFERROR(Opv.kohd.[[#This Row],[Tavoitteelliset opiskelijavuodet yhteensä 13]]/Opv.kohd.[[#This Row],[Tavoitteelliset opiskelijavuodet yhteensä 12]],0)</f>
        <v>0</v>
      </c>
      <c r="DI112" s="207">
        <f>Opv.kohd.[[#This Row],[Järjestämisluvan mukaiset 12]]-Opv.kohd.[[#This Row],[Järjestämisluvan mukaiset 9]]</f>
        <v>-67</v>
      </c>
      <c r="DJ112" s="207">
        <f>Opv.kohd.[[#This Row],[Kohdentamat-tomat 12]]-Opv.kohd.[[#This Row],[Kohdentamat-tomat 9]]</f>
        <v>-133</v>
      </c>
      <c r="DK112" s="207">
        <f>Opv.kohd.[[#This Row],[Työvoima-koulutus 12]]-Opv.kohd.[[#This Row],[Työvoima-koulutus 9]]</f>
        <v>0</v>
      </c>
      <c r="DL112" s="207">
        <f>Opv.kohd.[[#This Row],[Maahan-muuttajien koulutus 12]]-Opv.kohd.[[#This Row],[Maahan-muuttajien koulutus 9]]</f>
        <v>0</v>
      </c>
      <c r="DM112" s="207">
        <f>Opv.kohd.[[#This Row],[Nuorisotyöt. väh. ja osaamistarp. vast., muu kuin työvoima-koulutus 12]]-Opv.kohd.[[#This Row],[Nuorisotyöt. väh. ja osaamistarp. vast., muu kuin työvoima-koulutus 9]]</f>
        <v>0</v>
      </c>
      <c r="DN112" s="207">
        <f>Opv.kohd.[[#This Row],[Nuorisotyöt. väh. ja osaamistarp. vast., työvoima-koulutus 12]]-Opv.kohd.[[#This Row],[Nuorisotyöt. väh. ja osaamistarp. vast., työvoima-koulutus 9]]</f>
        <v>0</v>
      </c>
      <c r="DO112" s="207">
        <f>Opv.kohd.[[#This Row],[Yhteensä 12]]-Opv.kohd.[[#This Row],[Yhteensä 9]]</f>
        <v>-133</v>
      </c>
      <c r="DP112" s="207">
        <f>Opv.kohd.[[#This Row],[Tavoitteelliset opiskelijavuodet yhteensä 12]]-Opv.kohd.[[#This Row],[Tavoitteelliset opiskelijavuodet yhteensä 9]]</f>
        <v>-200</v>
      </c>
      <c r="DQ112" s="209">
        <f>IFERROR(Opv.kohd.[[#This Row],[Järjestämisluvan mukaiset 15]]/Opv.kohd.[[#This Row],[Järjestämisluvan mukaiset 9]],0)</f>
        <v>-1</v>
      </c>
      <c r="DR112" s="209">
        <f t="shared" si="25"/>
        <v>0</v>
      </c>
      <c r="DS112" s="209">
        <f t="shared" si="26"/>
        <v>0</v>
      </c>
      <c r="DT112" s="209">
        <f t="shared" si="27"/>
        <v>0</v>
      </c>
      <c r="DU112" s="209">
        <f t="shared" si="28"/>
        <v>0</v>
      </c>
      <c r="DV112" s="209">
        <f t="shared" si="29"/>
        <v>0</v>
      </c>
      <c r="DW112" s="209">
        <f t="shared" si="30"/>
        <v>0</v>
      </c>
      <c r="DX112" s="209">
        <f t="shared" si="31"/>
        <v>0</v>
      </c>
    </row>
    <row r="113" spans="1:128" x14ac:dyDescent="0.25">
      <c r="A113" s="204" t="e">
        <f>IF(INDEX(#REF!,ROW(113:113)-1,1)=0,"",INDEX(#REF!,ROW(113:113)-1,1))</f>
        <v>#REF!</v>
      </c>
      <c r="B113" s="205" t="str">
        <f>IFERROR(VLOOKUP(Opv.kohd.[[#This Row],[Y-tunnus]],'0 Järjestäjätiedot'!$A:$H,2,FALSE),"")</f>
        <v/>
      </c>
      <c r="C113" s="204" t="str">
        <f>IFERROR(VLOOKUP(Opv.kohd.[[#This Row],[Y-tunnus]],'0 Järjestäjätiedot'!$A:$H,COLUMN('0 Järjestäjätiedot'!D:D),FALSE),"")</f>
        <v/>
      </c>
      <c r="D113" s="204" t="str">
        <f>IFERROR(VLOOKUP(Opv.kohd.[[#This Row],[Y-tunnus]],'0 Järjestäjätiedot'!$A:$H,COLUMN('0 Järjestäjätiedot'!H:H),FALSE),"")</f>
        <v/>
      </c>
      <c r="E113" s="204">
        <f>IFERROR(VLOOKUP(Opv.kohd.[[#This Row],[Y-tunnus]],#REF!,COLUMN(#REF!),FALSE),0)</f>
        <v>0</v>
      </c>
      <c r="F113" s="204">
        <f>IFERROR(VLOOKUP(Opv.kohd.[[#This Row],[Y-tunnus]],#REF!,COLUMN(#REF!),FALSE),0)</f>
        <v>0</v>
      </c>
      <c r="G113" s="204">
        <f>IFERROR(VLOOKUP(Opv.kohd.[[#This Row],[Y-tunnus]],#REF!,COLUMN(#REF!),FALSE),0)</f>
        <v>0</v>
      </c>
      <c r="H113" s="204">
        <f>IFERROR(VLOOKUP(Opv.kohd.[[#This Row],[Y-tunnus]],#REF!,COLUMN(#REF!),FALSE),0)</f>
        <v>0</v>
      </c>
      <c r="I113" s="204">
        <f>IFERROR(VLOOKUP(Opv.kohd.[[#This Row],[Y-tunnus]],#REF!,COLUMN(#REF!),FALSE),0)</f>
        <v>0</v>
      </c>
      <c r="J113" s="204">
        <f>IFERROR(VLOOKUP(Opv.kohd.[[#This Row],[Y-tunnus]],#REF!,COLUMN(#REF!),FALSE),0)</f>
        <v>0</v>
      </c>
      <c r="K11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13" s="204">
        <f>Opv.kohd.[[#This Row],[Järjestämisluvan mukaiset 1]]+Opv.kohd.[[#This Row],[Yhteensä  1]]</f>
        <v>0</v>
      </c>
      <c r="M113" s="204">
        <f>IFERROR(VLOOKUP(Opv.kohd.[[#This Row],[Y-tunnus]],#REF!,COLUMN(#REF!),FALSE),0)</f>
        <v>0</v>
      </c>
      <c r="N113" s="204">
        <f>IFERROR(VLOOKUP(Opv.kohd.[[#This Row],[Y-tunnus]],#REF!,COLUMN(#REF!),FALSE),0)</f>
        <v>0</v>
      </c>
      <c r="O113" s="204">
        <f>IFERROR(VLOOKUP(Opv.kohd.[[#This Row],[Y-tunnus]],#REF!,COLUMN(#REF!),FALSE)+VLOOKUP(Opv.kohd.[[#This Row],[Y-tunnus]],#REF!,COLUMN(#REF!),FALSE),0)</f>
        <v>0</v>
      </c>
      <c r="P113" s="204">
        <f>Opv.kohd.[[#This Row],[Talousarvion perusteella kohdentamattomat]]+Opv.kohd.[[#This Row],[Talousarvion perusteella työvoimakoulutus 1]]+Opv.kohd.[[#This Row],[Lisätalousarvioiden perusteella]]</f>
        <v>0</v>
      </c>
      <c r="Q113" s="204">
        <f>IFERROR(VLOOKUP(Opv.kohd.[[#This Row],[Y-tunnus]],#REF!,COLUMN(#REF!),FALSE),0)</f>
        <v>0</v>
      </c>
      <c r="R113" s="210">
        <f>IFERROR(VLOOKUP(Opv.kohd.[[#This Row],[Y-tunnus]],#REF!,COLUMN(#REF!),FALSE)-(Opv.kohd.[[#This Row],[Kohdentamaton työvoima-koulutus 2]]+Opv.kohd.[[#This Row],[Maahan-muuttajien koulutus 2]]+Opv.kohd.[[#This Row],[Lisätalousarvioiden perusteella jaetut 2]]),0)</f>
        <v>0</v>
      </c>
      <c r="S113" s="210">
        <f>IFERROR(VLOOKUP(Opv.kohd.[[#This Row],[Y-tunnus]],#REF!,COLUMN(#REF!),FALSE)+VLOOKUP(Opv.kohd.[[#This Row],[Y-tunnus]],#REF!,COLUMN(#REF!),FALSE),0)</f>
        <v>0</v>
      </c>
      <c r="T113" s="210">
        <f>IFERROR(VLOOKUP(Opv.kohd.[[#This Row],[Y-tunnus]],#REF!,COLUMN(#REF!),FALSE)+VLOOKUP(Opv.kohd.[[#This Row],[Y-tunnus]],#REF!,COLUMN(#REF!),FALSE),0)</f>
        <v>0</v>
      </c>
      <c r="U11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13" s="210">
        <f>Opv.kohd.[[#This Row],[Kohdentamat-tomat 2]]+Opv.kohd.[[#This Row],[Kohdentamaton työvoima-koulutus 2]]+Opv.kohd.[[#This Row],[Maahan-muuttajien koulutus 2]]+Opv.kohd.[[#This Row],[Lisätalousarvioiden perusteella jaetut 2]]</f>
        <v>0</v>
      </c>
      <c r="W113" s="210">
        <f>Opv.kohd.[[#This Row],[Kohdentamat-tomat 2]]-(Opv.kohd.[[#This Row],[Järjestämisluvan mukaiset 1]]+Opv.kohd.[[#This Row],[Kohdentamat-tomat 1]]+Opv.kohd.[[#This Row],[Nuorisotyöt. väh. ja osaamistarp. vast., muu kuin työvoima-koulutus 1]]+Opv.kohd.[[#This Row],[Talousarvion perusteella kohdentamattomat]])</f>
        <v>0</v>
      </c>
      <c r="X113" s="210">
        <f>Opv.kohd.[[#This Row],[Kohdentamaton työvoima-koulutus 2]]-(Opv.kohd.[[#This Row],[Työvoima-koulutus 1]]+Opv.kohd.[[#This Row],[Nuorisotyöt. väh. ja osaamistarp. vast., työvoima-koulutus 1]]+Opv.kohd.[[#This Row],[Talousarvion perusteella työvoimakoulutus 1]])</f>
        <v>0</v>
      </c>
      <c r="Y113" s="210">
        <f>Opv.kohd.[[#This Row],[Maahan-muuttajien koulutus 2]]-Opv.kohd.[[#This Row],[Maahan-muuttajien koulutus 1]]</f>
        <v>0</v>
      </c>
      <c r="Z113" s="210">
        <f>Opv.kohd.[[#This Row],[Lisätalousarvioiden perusteella jaetut 2]]-Opv.kohd.[[#This Row],[Lisätalousarvioiden perusteella]]</f>
        <v>0</v>
      </c>
      <c r="AA113" s="210">
        <f>Opv.kohd.[[#This Row],[Toteutuneet opiskelijavuodet yhteensä 2]]-Opv.kohd.[[#This Row],[Vuoden 2018 tavoitteelliset opiskelijavuodet yhteensä 1]]</f>
        <v>0</v>
      </c>
      <c r="AB113" s="207">
        <f>IFERROR(VLOOKUP(Opv.kohd.[[#This Row],[Y-tunnus]],#REF!,3,FALSE),0)</f>
        <v>0</v>
      </c>
      <c r="AC113" s="207">
        <f>IFERROR(VLOOKUP(Opv.kohd.[[#This Row],[Y-tunnus]],#REF!,4,FALSE),0)</f>
        <v>0</v>
      </c>
      <c r="AD113" s="207">
        <f>IFERROR(VLOOKUP(Opv.kohd.[[#This Row],[Y-tunnus]],#REF!,5,FALSE),0)</f>
        <v>0</v>
      </c>
      <c r="AE113" s="207">
        <f>IFERROR(VLOOKUP(Opv.kohd.[[#This Row],[Y-tunnus]],#REF!,6,FALSE),0)</f>
        <v>0</v>
      </c>
      <c r="AF113" s="207">
        <f>IFERROR(VLOOKUP(Opv.kohd.[[#This Row],[Y-tunnus]],#REF!,7,FALSE),0)</f>
        <v>0</v>
      </c>
      <c r="AG113" s="207">
        <f>IFERROR(VLOOKUP(Opv.kohd.[[#This Row],[Y-tunnus]],#REF!,8,FALSE),0)</f>
        <v>0</v>
      </c>
      <c r="AH113" s="207">
        <f>IFERROR(VLOOKUP(Opv.kohd.[[#This Row],[Y-tunnus]],#REF!,9,FALSE),0)</f>
        <v>0</v>
      </c>
      <c r="AI113" s="207">
        <f>IFERROR(VLOOKUP(Opv.kohd.[[#This Row],[Y-tunnus]],#REF!,10,FALSE),0)</f>
        <v>0</v>
      </c>
      <c r="AJ113" s="204">
        <f>Opv.kohd.[[#This Row],[Järjestämisluvan mukaiset 4]]-Opv.kohd.[[#This Row],[Järjestämisluvan mukaiset 1]]</f>
        <v>0</v>
      </c>
      <c r="AK113" s="204">
        <f>Opv.kohd.[[#This Row],[Kohdentamat-tomat 4]]-Opv.kohd.[[#This Row],[Kohdentamat-tomat 1]]</f>
        <v>0</v>
      </c>
      <c r="AL113" s="204">
        <f>Opv.kohd.[[#This Row],[Työvoima-koulutus 4]]-Opv.kohd.[[#This Row],[Työvoima-koulutus 1]]</f>
        <v>0</v>
      </c>
      <c r="AM113" s="204">
        <f>Opv.kohd.[[#This Row],[Maahan-muuttajien koulutus 4]]-Opv.kohd.[[#This Row],[Maahan-muuttajien koulutus 1]]</f>
        <v>0</v>
      </c>
      <c r="AN113" s="204">
        <f>Opv.kohd.[[#This Row],[Nuorisotyöt. väh. ja osaamistarp. vast., muu kuin työvoima-koulutus 4]]-Opv.kohd.[[#This Row],[Nuorisotyöt. väh. ja osaamistarp. vast., muu kuin työvoima-koulutus 1]]</f>
        <v>0</v>
      </c>
      <c r="AO113" s="204">
        <f>Opv.kohd.[[#This Row],[Nuorisotyöt. väh. ja osaamistarp. vast., työvoima-koulutus 4]]-Opv.kohd.[[#This Row],[Nuorisotyöt. väh. ja osaamistarp. vast., työvoima-koulutus 1]]</f>
        <v>0</v>
      </c>
      <c r="AP113" s="204">
        <f>Opv.kohd.[[#This Row],[Yhteensä 4]]-Opv.kohd.[[#This Row],[Yhteensä  1]]</f>
        <v>0</v>
      </c>
      <c r="AQ113" s="204">
        <f>Opv.kohd.[[#This Row],[Ensikertaisella suoritepäätöksellä jaetut tavoitteelliset opiskelijavuodet yhteensä 4]]-Opv.kohd.[[#This Row],[Ensikertaisella suoritepäätöksellä jaetut tavoitteelliset opiskelijavuodet yhteensä 1]]</f>
        <v>0</v>
      </c>
      <c r="AR113" s="208">
        <f>IFERROR(Opv.kohd.[[#This Row],[Järjestämisluvan mukaiset 5]]/Opv.kohd.[[#This Row],[Järjestämisluvan mukaiset 4]],0)</f>
        <v>0</v>
      </c>
      <c r="AS113" s="208">
        <f>IFERROR(Opv.kohd.[[#This Row],[Kohdentamat-tomat 5]]/Opv.kohd.[[#This Row],[Kohdentamat-tomat 4]],0)</f>
        <v>0</v>
      </c>
      <c r="AT113" s="208">
        <f>IFERROR(Opv.kohd.[[#This Row],[Työvoima-koulutus 5]]/Opv.kohd.[[#This Row],[Työvoima-koulutus 4]],0)</f>
        <v>0</v>
      </c>
      <c r="AU113" s="208">
        <f>IFERROR(Opv.kohd.[[#This Row],[Maahan-muuttajien koulutus 5]]/Opv.kohd.[[#This Row],[Maahan-muuttajien koulutus 4]],0)</f>
        <v>0</v>
      </c>
      <c r="AV113" s="208">
        <f>IFERROR(Opv.kohd.[[#This Row],[Nuorisotyöt. väh. ja osaamistarp. vast., muu kuin työvoima-koulutus 5]]/Opv.kohd.[[#This Row],[Nuorisotyöt. väh. ja osaamistarp. vast., muu kuin työvoima-koulutus 4]],0)</f>
        <v>0</v>
      </c>
      <c r="AW113" s="208">
        <f>IFERROR(Opv.kohd.[[#This Row],[Nuorisotyöt. väh. ja osaamistarp. vast., työvoima-koulutus 5]]/Opv.kohd.[[#This Row],[Nuorisotyöt. väh. ja osaamistarp. vast., työvoima-koulutus 4]],0)</f>
        <v>0</v>
      </c>
      <c r="AX113" s="208">
        <f>IFERROR(Opv.kohd.[[#This Row],[Yhteensä 5]]/Opv.kohd.[[#This Row],[Yhteensä 4]],0)</f>
        <v>0</v>
      </c>
      <c r="AY113" s="208">
        <f>IFERROR(Opv.kohd.[[#This Row],[Ensikertaisella suoritepäätöksellä jaetut tavoitteelliset opiskelijavuodet yhteensä 5]]/Opv.kohd.[[#This Row],[Ensikertaisella suoritepäätöksellä jaetut tavoitteelliset opiskelijavuodet yhteensä 4]],0)</f>
        <v>0</v>
      </c>
      <c r="AZ113" s="207">
        <f>Opv.kohd.[[#This Row],[Yhteensä 7a]]-Opv.kohd.[[#This Row],[Työvoima-koulutus 7a]]</f>
        <v>0</v>
      </c>
      <c r="BA113" s="207">
        <f>IFERROR(VLOOKUP(Opv.kohd.[[#This Row],[Y-tunnus]],#REF!,COLUMN(#REF!),FALSE),0)</f>
        <v>0</v>
      </c>
      <c r="BB113" s="207">
        <f>IFERROR(VLOOKUP(Opv.kohd.[[#This Row],[Y-tunnus]],#REF!,COLUMN(#REF!),FALSE),0)</f>
        <v>0</v>
      </c>
      <c r="BC113" s="207">
        <f>Opv.kohd.[[#This Row],[Muu kuin työvoima-koulutus 7c]]-Opv.kohd.[[#This Row],[Muu kuin työvoima-koulutus 7a]]</f>
        <v>0</v>
      </c>
      <c r="BD113" s="207">
        <f>Opv.kohd.[[#This Row],[Työvoima-koulutus 7c]]-Opv.kohd.[[#This Row],[Työvoima-koulutus 7a]]</f>
        <v>0</v>
      </c>
      <c r="BE113" s="207">
        <f>Opv.kohd.[[#This Row],[Yhteensä 7c]]-Opv.kohd.[[#This Row],[Yhteensä 7a]]</f>
        <v>0</v>
      </c>
      <c r="BF113" s="207">
        <f>Opv.kohd.[[#This Row],[Yhteensä 7c]]-Opv.kohd.[[#This Row],[Työvoima-koulutus 7c]]</f>
        <v>0</v>
      </c>
      <c r="BG113" s="207">
        <f>IFERROR(VLOOKUP(Opv.kohd.[[#This Row],[Y-tunnus]],#REF!,COLUMN(#REF!),FALSE),0)</f>
        <v>0</v>
      </c>
      <c r="BH113" s="207">
        <f>IFERROR(VLOOKUP(Opv.kohd.[[#This Row],[Y-tunnus]],#REF!,COLUMN(#REF!),FALSE),0)</f>
        <v>0</v>
      </c>
      <c r="BI113" s="207">
        <f>IFERROR(VLOOKUP(Opv.kohd.[[#This Row],[Y-tunnus]],#REF!,COLUMN(#REF!),FALSE),0)</f>
        <v>0</v>
      </c>
      <c r="BJ113" s="207">
        <f>IFERROR(VLOOKUP(Opv.kohd.[[#This Row],[Y-tunnus]],#REF!,COLUMN(#REF!),FALSE),0)</f>
        <v>0</v>
      </c>
      <c r="BK113" s="207">
        <f>Opv.kohd.[[#This Row],[Muu kuin työvoima-koulutus 7d]]+Opv.kohd.[[#This Row],[Työvoima-koulutus 7d]]</f>
        <v>0</v>
      </c>
      <c r="BL113" s="207">
        <f>Opv.kohd.[[#This Row],[Muu kuin työvoima-koulutus 7c]]-Opv.kohd.[[#This Row],[Muu kuin työvoima-koulutus 7d]]</f>
        <v>0</v>
      </c>
      <c r="BM113" s="207">
        <f>Opv.kohd.[[#This Row],[Työvoima-koulutus 7c]]-Opv.kohd.[[#This Row],[Työvoima-koulutus 7d]]</f>
        <v>0</v>
      </c>
      <c r="BN113" s="207">
        <f>Opv.kohd.[[#This Row],[Yhteensä 7c]]-Opv.kohd.[[#This Row],[Yhteensä 7d]]</f>
        <v>0</v>
      </c>
      <c r="BO113" s="207">
        <f>Opv.kohd.[[#This Row],[Muu kuin työvoima-koulutus 7e]]-(Opv.kohd.[[#This Row],[Järjestämisluvan mukaiset 4]]+Opv.kohd.[[#This Row],[Kohdentamat-tomat 4]]+Opv.kohd.[[#This Row],[Maahan-muuttajien koulutus 4]]+Opv.kohd.[[#This Row],[Nuorisotyöt. väh. ja osaamistarp. vast., muu kuin työvoima-koulutus 4]])</f>
        <v>0</v>
      </c>
      <c r="BP113" s="207">
        <f>Opv.kohd.[[#This Row],[Työvoima-koulutus 7e]]-(Opv.kohd.[[#This Row],[Työvoima-koulutus 4]]+Opv.kohd.[[#This Row],[Nuorisotyöt. väh. ja osaamistarp. vast., työvoima-koulutus 4]])</f>
        <v>0</v>
      </c>
      <c r="BQ113" s="207">
        <f>Opv.kohd.[[#This Row],[Yhteensä 7e]]-Opv.kohd.[[#This Row],[Ensikertaisella suoritepäätöksellä jaetut tavoitteelliset opiskelijavuodet yhteensä 4]]</f>
        <v>0</v>
      </c>
      <c r="BR113" s="263">
        <v>477</v>
      </c>
      <c r="BS113" s="263">
        <v>100</v>
      </c>
      <c r="BT113" s="263">
        <v>0</v>
      </c>
      <c r="BU113" s="263">
        <v>0</v>
      </c>
      <c r="BV113" s="263">
        <v>0</v>
      </c>
      <c r="BW113" s="263">
        <v>0</v>
      </c>
      <c r="BX113" s="263">
        <v>100</v>
      </c>
      <c r="BY113" s="263">
        <v>577</v>
      </c>
      <c r="BZ113" s="207">
        <f t="shared" si="17"/>
        <v>477</v>
      </c>
      <c r="CA113" s="207">
        <f t="shared" si="18"/>
        <v>100</v>
      </c>
      <c r="CB113" s="207">
        <f t="shared" si="19"/>
        <v>0</v>
      </c>
      <c r="CC113" s="207">
        <f t="shared" si="20"/>
        <v>0</v>
      </c>
      <c r="CD113" s="207">
        <f t="shared" si="21"/>
        <v>0</v>
      </c>
      <c r="CE113" s="207">
        <f t="shared" si="22"/>
        <v>0</v>
      </c>
      <c r="CF113" s="207">
        <f t="shared" si="23"/>
        <v>100</v>
      </c>
      <c r="CG113" s="207">
        <f t="shared" si="24"/>
        <v>577</v>
      </c>
      <c r="CH113" s="207">
        <f>Opv.kohd.[[#This Row],[Tavoitteelliset opiskelijavuodet yhteensä 9]]-Opv.kohd.[[#This Row],[Työvoima-koulutus 9]]-Opv.kohd.[[#This Row],[Nuorisotyöt. väh. ja osaamistarp. vast., työvoima-koulutus 9]]-Opv.kohd.[[#This Row],[Muu kuin työvoima-koulutus 7e]]</f>
        <v>577</v>
      </c>
      <c r="CI113" s="207">
        <f>(Opv.kohd.[[#This Row],[Työvoima-koulutus 9]]+Opv.kohd.[[#This Row],[Nuorisotyöt. väh. ja osaamistarp. vast., työvoima-koulutus 9]])-Opv.kohd.[[#This Row],[Työvoima-koulutus 7e]]</f>
        <v>0</v>
      </c>
      <c r="CJ113" s="207">
        <f>Opv.kohd.[[#This Row],[Tavoitteelliset opiskelijavuodet yhteensä 9]]-Opv.kohd.[[#This Row],[Yhteensä 7e]]</f>
        <v>577</v>
      </c>
      <c r="CK113" s="207">
        <f>Opv.kohd.[[#This Row],[Järjestämisluvan mukaiset 4]]+Opv.kohd.[[#This Row],[Järjestämisluvan mukaiset 13]]</f>
        <v>0</v>
      </c>
      <c r="CL113" s="207">
        <f>Opv.kohd.[[#This Row],[Kohdentamat-tomat 4]]+Opv.kohd.[[#This Row],[Kohdentamat-tomat 13]]</f>
        <v>0</v>
      </c>
      <c r="CM113" s="207">
        <f>Opv.kohd.[[#This Row],[Työvoima-koulutus 4]]+Opv.kohd.[[#This Row],[Työvoima-koulutus 13]]</f>
        <v>0</v>
      </c>
      <c r="CN113" s="207">
        <f>Opv.kohd.[[#This Row],[Maahan-muuttajien koulutus 4]]+Opv.kohd.[[#This Row],[Maahan-muuttajien koulutus 13]]</f>
        <v>0</v>
      </c>
      <c r="CO113" s="207">
        <f>Opv.kohd.[[#This Row],[Nuorisotyöt. väh. ja osaamistarp. vast., muu kuin työvoima-koulutus 4]]+Opv.kohd.[[#This Row],[Nuorisotyöt. väh. ja osaamistarp. vast., muu kuin työvoima-koulutus 13]]</f>
        <v>0</v>
      </c>
      <c r="CP113" s="207">
        <f>Opv.kohd.[[#This Row],[Nuorisotyöt. väh. ja osaamistarp. vast., työvoima-koulutus 4]]+Opv.kohd.[[#This Row],[Nuorisotyöt. väh. ja osaamistarp. vast., työvoima-koulutus 13]]</f>
        <v>0</v>
      </c>
      <c r="CQ113" s="207">
        <f>Opv.kohd.[[#This Row],[Yhteensä 4]]+Opv.kohd.[[#This Row],[Yhteensä 13]]</f>
        <v>0</v>
      </c>
      <c r="CR113" s="207">
        <f>Opv.kohd.[[#This Row],[Ensikertaisella suoritepäätöksellä jaetut tavoitteelliset opiskelijavuodet yhteensä 4]]+Opv.kohd.[[#This Row],[Tavoitteelliset opiskelijavuodet yhteensä 13]]</f>
        <v>0</v>
      </c>
      <c r="CS113" s="120">
        <v>0</v>
      </c>
      <c r="CT113" s="120">
        <v>0</v>
      </c>
      <c r="CU113" s="120">
        <v>0</v>
      </c>
      <c r="CV113" s="120">
        <v>0</v>
      </c>
      <c r="CW113" s="120">
        <v>0</v>
      </c>
      <c r="CX113" s="120">
        <v>0</v>
      </c>
      <c r="CY113" s="120">
        <v>0</v>
      </c>
      <c r="CZ113" s="120">
        <v>0</v>
      </c>
      <c r="DA113" s="209">
        <f>IFERROR(Opv.kohd.[[#This Row],[Järjestämisluvan mukaiset 13]]/Opv.kohd.[[#This Row],[Järjestämisluvan mukaiset 12]],0)</f>
        <v>0</v>
      </c>
      <c r="DB113" s="209">
        <f>IFERROR(Opv.kohd.[[#This Row],[Kohdentamat-tomat 13]]/Opv.kohd.[[#This Row],[Kohdentamat-tomat 12]],0)</f>
        <v>0</v>
      </c>
      <c r="DC113" s="209">
        <f>IFERROR(Opv.kohd.[[#This Row],[Työvoima-koulutus 13]]/Opv.kohd.[[#This Row],[Työvoima-koulutus 12]],0)</f>
        <v>0</v>
      </c>
      <c r="DD113" s="209">
        <f>IFERROR(Opv.kohd.[[#This Row],[Maahan-muuttajien koulutus 13]]/Opv.kohd.[[#This Row],[Maahan-muuttajien koulutus 12]],0)</f>
        <v>0</v>
      </c>
      <c r="DE113" s="209">
        <f>IFERROR(Opv.kohd.[[#This Row],[Nuorisotyöt. väh. ja osaamistarp. vast., muu kuin työvoima-koulutus 13]]/Opv.kohd.[[#This Row],[Nuorisotyöt. väh. ja osaamistarp. vast., muu kuin työvoima-koulutus 12]],0)</f>
        <v>0</v>
      </c>
      <c r="DF113" s="209">
        <f>IFERROR(Opv.kohd.[[#This Row],[Nuorisotyöt. väh. ja osaamistarp. vast., työvoima-koulutus 13]]/Opv.kohd.[[#This Row],[Nuorisotyöt. väh. ja osaamistarp. vast., työvoima-koulutus 12]],0)</f>
        <v>0</v>
      </c>
      <c r="DG113" s="209">
        <f>IFERROR(Opv.kohd.[[#This Row],[Yhteensä 13]]/Opv.kohd.[[#This Row],[Yhteensä 12]],0)</f>
        <v>0</v>
      </c>
      <c r="DH113" s="209">
        <f>IFERROR(Opv.kohd.[[#This Row],[Tavoitteelliset opiskelijavuodet yhteensä 13]]/Opv.kohd.[[#This Row],[Tavoitteelliset opiskelijavuodet yhteensä 12]],0)</f>
        <v>0</v>
      </c>
      <c r="DI113" s="207">
        <f>Opv.kohd.[[#This Row],[Järjestämisluvan mukaiset 12]]-Opv.kohd.[[#This Row],[Järjestämisluvan mukaiset 9]]</f>
        <v>-477</v>
      </c>
      <c r="DJ113" s="207">
        <f>Opv.kohd.[[#This Row],[Kohdentamat-tomat 12]]-Opv.kohd.[[#This Row],[Kohdentamat-tomat 9]]</f>
        <v>-100</v>
      </c>
      <c r="DK113" s="207">
        <f>Opv.kohd.[[#This Row],[Työvoima-koulutus 12]]-Opv.kohd.[[#This Row],[Työvoima-koulutus 9]]</f>
        <v>0</v>
      </c>
      <c r="DL113" s="207">
        <f>Opv.kohd.[[#This Row],[Maahan-muuttajien koulutus 12]]-Opv.kohd.[[#This Row],[Maahan-muuttajien koulutus 9]]</f>
        <v>0</v>
      </c>
      <c r="DM113" s="207">
        <f>Opv.kohd.[[#This Row],[Nuorisotyöt. väh. ja osaamistarp. vast., muu kuin työvoima-koulutus 12]]-Opv.kohd.[[#This Row],[Nuorisotyöt. väh. ja osaamistarp. vast., muu kuin työvoima-koulutus 9]]</f>
        <v>0</v>
      </c>
      <c r="DN113" s="207">
        <f>Opv.kohd.[[#This Row],[Nuorisotyöt. väh. ja osaamistarp. vast., työvoima-koulutus 12]]-Opv.kohd.[[#This Row],[Nuorisotyöt. väh. ja osaamistarp. vast., työvoima-koulutus 9]]</f>
        <v>0</v>
      </c>
      <c r="DO113" s="207">
        <f>Opv.kohd.[[#This Row],[Yhteensä 12]]-Opv.kohd.[[#This Row],[Yhteensä 9]]</f>
        <v>-100</v>
      </c>
      <c r="DP113" s="207">
        <f>Opv.kohd.[[#This Row],[Tavoitteelliset opiskelijavuodet yhteensä 12]]-Opv.kohd.[[#This Row],[Tavoitteelliset opiskelijavuodet yhteensä 9]]</f>
        <v>-577</v>
      </c>
      <c r="DQ113" s="209">
        <f>IFERROR(Opv.kohd.[[#This Row],[Järjestämisluvan mukaiset 15]]/Opv.kohd.[[#This Row],[Järjestämisluvan mukaiset 9]],0)</f>
        <v>-1</v>
      </c>
      <c r="DR113" s="209">
        <f t="shared" si="25"/>
        <v>0</v>
      </c>
      <c r="DS113" s="209">
        <f t="shared" si="26"/>
        <v>0</v>
      </c>
      <c r="DT113" s="209">
        <f t="shared" si="27"/>
        <v>0</v>
      </c>
      <c r="DU113" s="209">
        <f t="shared" si="28"/>
        <v>0</v>
      </c>
      <c r="DV113" s="209">
        <f t="shared" si="29"/>
        <v>0</v>
      </c>
      <c r="DW113" s="209">
        <f t="shared" si="30"/>
        <v>0</v>
      </c>
      <c r="DX113" s="209">
        <f t="shared" si="31"/>
        <v>0</v>
      </c>
    </row>
    <row r="114" spans="1:128" x14ac:dyDescent="0.25">
      <c r="A114" s="204" t="e">
        <f>IF(INDEX(#REF!,ROW(114:114)-1,1)=0,"",INDEX(#REF!,ROW(114:114)-1,1))</f>
        <v>#REF!</v>
      </c>
      <c r="B114" s="205" t="str">
        <f>IFERROR(VLOOKUP(Opv.kohd.[[#This Row],[Y-tunnus]],'0 Järjestäjätiedot'!$A:$H,2,FALSE),"")</f>
        <v/>
      </c>
      <c r="C114" s="204" t="str">
        <f>IFERROR(VLOOKUP(Opv.kohd.[[#This Row],[Y-tunnus]],'0 Järjestäjätiedot'!$A:$H,COLUMN('0 Järjestäjätiedot'!D:D),FALSE),"")</f>
        <v/>
      </c>
      <c r="D114" s="204" t="str">
        <f>IFERROR(VLOOKUP(Opv.kohd.[[#This Row],[Y-tunnus]],'0 Järjestäjätiedot'!$A:$H,COLUMN('0 Järjestäjätiedot'!H:H),FALSE),"")</f>
        <v/>
      </c>
      <c r="E114" s="204">
        <f>IFERROR(VLOOKUP(Opv.kohd.[[#This Row],[Y-tunnus]],#REF!,COLUMN(#REF!),FALSE),0)</f>
        <v>0</v>
      </c>
      <c r="F114" s="204">
        <f>IFERROR(VLOOKUP(Opv.kohd.[[#This Row],[Y-tunnus]],#REF!,COLUMN(#REF!),FALSE),0)</f>
        <v>0</v>
      </c>
      <c r="G114" s="204">
        <f>IFERROR(VLOOKUP(Opv.kohd.[[#This Row],[Y-tunnus]],#REF!,COLUMN(#REF!),FALSE),0)</f>
        <v>0</v>
      </c>
      <c r="H114" s="204">
        <f>IFERROR(VLOOKUP(Opv.kohd.[[#This Row],[Y-tunnus]],#REF!,COLUMN(#REF!),FALSE),0)</f>
        <v>0</v>
      </c>
      <c r="I114" s="204">
        <f>IFERROR(VLOOKUP(Opv.kohd.[[#This Row],[Y-tunnus]],#REF!,COLUMN(#REF!),FALSE),0)</f>
        <v>0</v>
      </c>
      <c r="J114" s="204">
        <f>IFERROR(VLOOKUP(Opv.kohd.[[#This Row],[Y-tunnus]],#REF!,COLUMN(#REF!),FALSE),0)</f>
        <v>0</v>
      </c>
      <c r="K11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14" s="204">
        <f>Opv.kohd.[[#This Row],[Järjestämisluvan mukaiset 1]]+Opv.kohd.[[#This Row],[Yhteensä  1]]</f>
        <v>0</v>
      </c>
      <c r="M114" s="204">
        <f>IFERROR(VLOOKUP(Opv.kohd.[[#This Row],[Y-tunnus]],#REF!,COLUMN(#REF!),FALSE),0)</f>
        <v>0</v>
      </c>
      <c r="N114" s="204">
        <f>IFERROR(VLOOKUP(Opv.kohd.[[#This Row],[Y-tunnus]],#REF!,COLUMN(#REF!),FALSE),0)</f>
        <v>0</v>
      </c>
      <c r="O114" s="204">
        <f>IFERROR(VLOOKUP(Opv.kohd.[[#This Row],[Y-tunnus]],#REF!,COLUMN(#REF!),FALSE)+VLOOKUP(Opv.kohd.[[#This Row],[Y-tunnus]],#REF!,COLUMN(#REF!),FALSE),0)</f>
        <v>0</v>
      </c>
      <c r="P114" s="204">
        <f>Opv.kohd.[[#This Row],[Talousarvion perusteella kohdentamattomat]]+Opv.kohd.[[#This Row],[Talousarvion perusteella työvoimakoulutus 1]]+Opv.kohd.[[#This Row],[Lisätalousarvioiden perusteella]]</f>
        <v>0</v>
      </c>
      <c r="Q114" s="204">
        <f>IFERROR(VLOOKUP(Opv.kohd.[[#This Row],[Y-tunnus]],#REF!,COLUMN(#REF!),FALSE),0)</f>
        <v>0</v>
      </c>
      <c r="R114" s="210">
        <f>IFERROR(VLOOKUP(Opv.kohd.[[#This Row],[Y-tunnus]],#REF!,COLUMN(#REF!),FALSE)-(Opv.kohd.[[#This Row],[Kohdentamaton työvoima-koulutus 2]]+Opv.kohd.[[#This Row],[Maahan-muuttajien koulutus 2]]+Opv.kohd.[[#This Row],[Lisätalousarvioiden perusteella jaetut 2]]),0)</f>
        <v>0</v>
      </c>
      <c r="S114" s="210">
        <f>IFERROR(VLOOKUP(Opv.kohd.[[#This Row],[Y-tunnus]],#REF!,COLUMN(#REF!),FALSE)+VLOOKUP(Opv.kohd.[[#This Row],[Y-tunnus]],#REF!,COLUMN(#REF!),FALSE),0)</f>
        <v>0</v>
      </c>
      <c r="T114" s="210">
        <f>IFERROR(VLOOKUP(Opv.kohd.[[#This Row],[Y-tunnus]],#REF!,COLUMN(#REF!),FALSE)+VLOOKUP(Opv.kohd.[[#This Row],[Y-tunnus]],#REF!,COLUMN(#REF!),FALSE),0)</f>
        <v>0</v>
      </c>
      <c r="U11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14" s="210">
        <f>Opv.kohd.[[#This Row],[Kohdentamat-tomat 2]]+Opv.kohd.[[#This Row],[Kohdentamaton työvoima-koulutus 2]]+Opv.kohd.[[#This Row],[Maahan-muuttajien koulutus 2]]+Opv.kohd.[[#This Row],[Lisätalousarvioiden perusteella jaetut 2]]</f>
        <v>0</v>
      </c>
      <c r="W114" s="210">
        <f>Opv.kohd.[[#This Row],[Kohdentamat-tomat 2]]-(Opv.kohd.[[#This Row],[Järjestämisluvan mukaiset 1]]+Opv.kohd.[[#This Row],[Kohdentamat-tomat 1]]+Opv.kohd.[[#This Row],[Nuorisotyöt. väh. ja osaamistarp. vast., muu kuin työvoima-koulutus 1]]+Opv.kohd.[[#This Row],[Talousarvion perusteella kohdentamattomat]])</f>
        <v>0</v>
      </c>
      <c r="X114" s="210">
        <f>Opv.kohd.[[#This Row],[Kohdentamaton työvoima-koulutus 2]]-(Opv.kohd.[[#This Row],[Työvoima-koulutus 1]]+Opv.kohd.[[#This Row],[Nuorisotyöt. väh. ja osaamistarp. vast., työvoima-koulutus 1]]+Opv.kohd.[[#This Row],[Talousarvion perusteella työvoimakoulutus 1]])</f>
        <v>0</v>
      </c>
      <c r="Y114" s="210">
        <f>Opv.kohd.[[#This Row],[Maahan-muuttajien koulutus 2]]-Opv.kohd.[[#This Row],[Maahan-muuttajien koulutus 1]]</f>
        <v>0</v>
      </c>
      <c r="Z114" s="210">
        <f>Opv.kohd.[[#This Row],[Lisätalousarvioiden perusteella jaetut 2]]-Opv.kohd.[[#This Row],[Lisätalousarvioiden perusteella]]</f>
        <v>0</v>
      </c>
      <c r="AA114" s="210">
        <f>Opv.kohd.[[#This Row],[Toteutuneet opiskelijavuodet yhteensä 2]]-Opv.kohd.[[#This Row],[Vuoden 2018 tavoitteelliset opiskelijavuodet yhteensä 1]]</f>
        <v>0</v>
      </c>
      <c r="AB114" s="207">
        <f>IFERROR(VLOOKUP(Opv.kohd.[[#This Row],[Y-tunnus]],#REF!,3,FALSE),0)</f>
        <v>0</v>
      </c>
      <c r="AC114" s="207">
        <f>IFERROR(VLOOKUP(Opv.kohd.[[#This Row],[Y-tunnus]],#REF!,4,FALSE),0)</f>
        <v>0</v>
      </c>
      <c r="AD114" s="207">
        <f>IFERROR(VLOOKUP(Opv.kohd.[[#This Row],[Y-tunnus]],#REF!,5,FALSE),0)</f>
        <v>0</v>
      </c>
      <c r="AE114" s="207">
        <f>IFERROR(VLOOKUP(Opv.kohd.[[#This Row],[Y-tunnus]],#REF!,6,FALSE),0)</f>
        <v>0</v>
      </c>
      <c r="AF114" s="207">
        <f>IFERROR(VLOOKUP(Opv.kohd.[[#This Row],[Y-tunnus]],#REF!,7,FALSE),0)</f>
        <v>0</v>
      </c>
      <c r="AG114" s="207">
        <f>IFERROR(VLOOKUP(Opv.kohd.[[#This Row],[Y-tunnus]],#REF!,8,FALSE),0)</f>
        <v>0</v>
      </c>
      <c r="AH114" s="207">
        <f>IFERROR(VLOOKUP(Opv.kohd.[[#This Row],[Y-tunnus]],#REF!,9,FALSE),0)</f>
        <v>0</v>
      </c>
      <c r="AI114" s="207">
        <f>IFERROR(VLOOKUP(Opv.kohd.[[#This Row],[Y-tunnus]],#REF!,10,FALSE),0)</f>
        <v>0</v>
      </c>
      <c r="AJ114" s="204">
        <f>Opv.kohd.[[#This Row],[Järjestämisluvan mukaiset 4]]-Opv.kohd.[[#This Row],[Järjestämisluvan mukaiset 1]]</f>
        <v>0</v>
      </c>
      <c r="AK114" s="204">
        <f>Opv.kohd.[[#This Row],[Kohdentamat-tomat 4]]-Opv.kohd.[[#This Row],[Kohdentamat-tomat 1]]</f>
        <v>0</v>
      </c>
      <c r="AL114" s="204">
        <f>Opv.kohd.[[#This Row],[Työvoima-koulutus 4]]-Opv.kohd.[[#This Row],[Työvoima-koulutus 1]]</f>
        <v>0</v>
      </c>
      <c r="AM114" s="204">
        <f>Opv.kohd.[[#This Row],[Maahan-muuttajien koulutus 4]]-Opv.kohd.[[#This Row],[Maahan-muuttajien koulutus 1]]</f>
        <v>0</v>
      </c>
      <c r="AN114" s="204">
        <f>Opv.kohd.[[#This Row],[Nuorisotyöt. väh. ja osaamistarp. vast., muu kuin työvoima-koulutus 4]]-Opv.kohd.[[#This Row],[Nuorisotyöt. väh. ja osaamistarp. vast., muu kuin työvoima-koulutus 1]]</f>
        <v>0</v>
      </c>
      <c r="AO114" s="204">
        <f>Opv.kohd.[[#This Row],[Nuorisotyöt. väh. ja osaamistarp. vast., työvoima-koulutus 4]]-Opv.kohd.[[#This Row],[Nuorisotyöt. väh. ja osaamistarp. vast., työvoima-koulutus 1]]</f>
        <v>0</v>
      </c>
      <c r="AP114" s="204">
        <f>Opv.kohd.[[#This Row],[Yhteensä 4]]-Opv.kohd.[[#This Row],[Yhteensä  1]]</f>
        <v>0</v>
      </c>
      <c r="AQ114" s="204">
        <f>Opv.kohd.[[#This Row],[Ensikertaisella suoritepäätöksellä jaetut tavoitteelliset opiskelijavuodet yhteensä 4]]-Opv.kohd.[[#This Row],[Ensikertaisella suoritepäätöksellä jaetut tavoitteelliset opiskelijavuodet yhteensä 1]]</f>
        <v>0</v>
      </c>
      <c r="AR114" s="208">
        <f>IFERROR(Opv.kohd.[[#This Row],[Järjestämisluvan mukaiset 5]]/Opv.kohd.[[#This Row],[Järjestämisluvan mukaiset 4]],0)</f>
        <v>0</v>
      </c>
      <c r="AS114" s="208">
        <f>IFERROR(Opv.kohd.[[#This Row],[Kohdentamat-tomat 5]]/Opv.kohd.[[#This Row],[Kohdentamat-tomat 4]],0)</f>
        <v>0</v>
      </c>
      <c r="AT114" s="208">
        <f>IFERROR(Opv.kohd.[[#This Row],[Työvoima-koulutus 5]]/Opv.kohd.[[#This Row],[Työvoima-koulutus 4]],0)</f>
        <v>0</v>
      </c>
      <c r="AU114" s="208">
        <f>IFERROR(Opv.kohd.[[#This Row],[Maahan-muuttajien koulutus 5]]/Opv.kohd.[[#This Row],[Maahan-muuttajien koulutus 4]],0)</f>
        <v>0</v>
      </c>
      <c r="AV114" s="208">
        <f>IFERROR(Opv.kohd.[[#This Row],[Nuorisotyöt. väh. ja osaamistarp. vast., muu kuin työvoima-koulutus 5]]/Opv.kohd.[[#This Row],[Nuorisotyöt. väh. ja osaamistarp. vast., muu kuin työvoima-koulutus 4]],0)</f>
        <v>0</v>
      </c>
      <c r="AW114" s="208">
        <f>IFERROR(Opv.kohd.[[#This Row],[Nuorisotyöt. väh. ja osaamistarp. vast., työvoima-koulutus 5]]/Opv.kohd.[[#This Row],[Nuorisotyöt. väh. ja osaamistarp. vast., työvoima-koulutus 4]],0)</f>
        <v>0</v>
      </c>
      <c r="AX114" s="208">
        <f>IFERROR(Opv.kohd.[[#This Row],[Yhteensä 5]]/Opv.kohd.[[#This Row],[Yhteensä 4]],0)</f>
        <v>0</v>
      </c>
      <c r="AY114" s="208">
        <f>IFERROR(Opv.kohd.[[#This Row],[Ensikertaisella suoritepäätöksellä jaetut tavoitteelliset opiskelijavuodet yhteensä 5]]/Opv.kohd.[[#This Row],[Ensikertaisella suoritepäätöksellä jaetut tavoitteelliset opiskelijavuodet yhteensä 4]],0)</f>
        <v>0</v>
      </c>
      <c r="AZ114" s="207">
        <f>Opv.kohd.[[#This Row],[Yhteensä 7a]]-Opv.kohd.[[#This Row],[Työvoima-koulutus 7a]]</f>
        <v>0</v>
      </c>
      <c r="BA114" s="207">
        <f>IFERROR(VLOOKUP(Opv.kohd.[[#This Row],[Y-tunnus]],#REF!,COLUMN(#REF!),FALSE),0)</f>
        <v>0</v>
      </c>
      <c r="BB114" s="207">
        <f>IFERROR(VLOOKUP(Opv.kohd.[[#This Row],[Y-tunnus]],#REF!,COLUMN(#REF!),FALSE),0)</f>
        <v>0</v>
      </c>
      <c r="BC114" s="207">
        <f>Opv.kohd.[[#This Row],[Muu kuin työvoima-koulutus 7c]]-Opv.kohd.[[#This Row],[Muu kuin työvoima-koulutus 7a]]</f>
        <v>0</v>
      </c>
      <c r="BD114" s="207">
        <f>Opv.kohd.[[#This Row],[Työvoima-koulutus 7c]]-Opv.kohd.[[#This Row],[Työvoima-koulutus 7a]]</f>
        <v>0</v>
      </c>
      <c r="BE114" s="207">
        <f>Opv.kohd.[[#This Row],[Yhteensä 7c]]-Opv.kohd.[[#This Row],[Yhteensä 7a]]</f>
        <v>0</v>
      </c>
      <c r="BF114" s="207">
        <f>Opv.kohd.[[#This Row],[Yhteensä 7c]]-Opv.kohd.[[#This Row],[Työvoima-koulutus 7c]]</f>
        <v>0</v>
      </c>
      <c r="BG114" s="207">
        <f>IFERROR(VLOOKUP(Opv.kohd.[[#This Row],[Y-tunnus]],#REF!,COLUMN(#REF!),FALSE),0)</f>
        <v>0</v>
      </c>
      <c r="BH114" s="207">
        <f>IFERROR(VLOOKUP(Opv.kohd.[[#This Row],[Y-tunnus]],#REF!,COLUMN(#REF!),FALSE),0)</f>
        <v>0</v>
      </c>
      <c r="BI114" s="207">
        <f>IFERROR(VLOOKUP(Opv.kohd.[[#This Row],[Y-tunnus]],#REF!,COLUMN(#REF!),FALSE),0)</f>
        <v>0</v>
      </c>
      <c r="BJ114" s="207">
        <f>IFERROR(VLOOKUP(Opv.kohd.[[#This Row],[Y-tunnus]],#REF!,COLUMN(#REF!),FALSE),0)</f>
        <v>0</v>
      </c>
      <c r="BK114" s="207">
        <f>Opv.kohd.[[#This Row],[Muu kuin työvoima-koulutus 7d]]+Opv.kohd.[[#This Row],[Työvoima-koulutus 7d]]</f>
        <v>0</v>
      </c>
      <c r="BL114" s="207">
        <f>Opv.kohd.[[#This Row],[Muu kuin työvoima-koulutus 7c]]-Opv.kohd.[[#This Row],[Muu kuin työvoima-koulutus 7d]]</f>
        <v>0</v>
      </c>
      <c r="BM114" s="207">
        <f>Opv.kohd.[[#This Row],[Työvoima-koulutus 7c]]-Opv.kohd.[[#This Row],[Työvoima-koulutus 7d]]</f>
        <v>0</v>
      </c>
      <c r="BN114" s="207">
        <f>Opv.kohd.[[#This Row],[Yhteensä 7c]]-Opv.kohd.[[#This Row],[Yhteensä 7d]]</f>
        <v>0</v>
      </c>
      <c r="BO114" s="207">
        <f>Opv.kohd.[[#This Row],[Muu kuin työvoima-koulutus 7e]]-(Opv.kohd.[[#This Row],[Järjestämisluvan mukaiset 4]]+Opv.kohd.[[#This Row],[Kohdentamat-tomat 4]]+Opv.kohd.[[#This Row],[Maahan-muuttajien koulutus 4]]+Opv.kohd.[[#This Row],[Nuorisotyöt. väh. ja osaamistarp. vast., muu kuin työvoima-koulutus 4]])</f>
        <v>0</v>
      </c>
      <c r="BP114" s="207">
        <f>Opv.kohd.[[#This Row],[Työvoima-koulutus 7e]]-(Opv.kohd.[[#This Row],[Työvoima-koulutus 4]]+Opv.kohd.[[#This Row],[Nuorisotyöt. väh. ja osaamistarp. vast., työvoima-koulutus 4]])</f>
        <v>0</v>
      </c>
      <c r="BQ114" s="207">
        <f>Opv.kohd.[[#This Row],[Yhteensä 7e]]-Opv.kohd.[[#This Row],[Ensikertaisella suoritepäätöksellä jaetut tavoitteelliset opiskelijavuodet yhteensä 4]]</f>
        <v>0</v>
      </c>
      <c r="BR114" s="263">
        <v>30</v>
      </c>
      <c r="BS114" s="263">
        <v>15</v>
      </c>
      <c r="BT114" s="263">
        <v>0</v>
      </c>
      <c r="BU114" s="263">
        <v>0</v>
      </c>
      <c r="BV114" s="263">
        <v>0</v>
      </c>
      <c r="BW114" s="263">
        <v>0</v>
      </c>
      <c r="BX114" s="263">
        <v>15</v>
      </c>
      <c r="BY114" s="263">
        <v>45</v>
      </c>
      <c r="BZ114" s="207">
        <f t="shared" si="17"/>
        <v>30</v>
      </c>
      <c r="CA114" s="207">
        <f t="shared" si="18"/>
        <v>15</v>
      </c>
      <c r="CB114" s="207">
        <f t="shared" si="19"/>
        <v>0</v>
      </c>
      <c r="CC114" s="207">
        <f t="shared" si="20"/>
        <v>0</v>
      </c>
      <c r="CD114" s="207">
        <f t="shared" si="21"/>
        <v>0</v>
      </c>
      <c r="CE114" s="207">
        <f t="shared" si="22"/>
        <v>0</v>
      </c>
      <c r="CF114" s="207">
        <f t="shared" si="23"/>
        <v>15</v>
      </c>
      <c r="CG114" s="207">
        <f t="shared" si="24"/>
        <v>45</v>
      </c>
      <c r="CH114" s="207">
        <f>Opv.kohd.[[#This Row],[Tavoitteelliset opiskelijavuodet yhteensä 9]]-Opv.kohd.[[#This Row],[Työvoima-koulutus 9]]-Opv.kohd.[[#This Row],[Nuorisotyöt. väh. ja osaamistarp. vast., työvoima-koulutus 9]]-Opv.kohd.[[#This Row],[Muu kuin työvoima-koulutus 7e]]</f>
        <v>45</v>
      </c>
      <c r="CI114" s="207">
        <f>(Opv.kohd.[[#This Row],[Työvoima-koulutus 9]]+Opv.kohd.[[#This Row],[Nuorisotyöt. väh. ja osaamistarp. vast., työvoima-koulutus 9]])-Opv.kohd.[[#This Row],[Työvoima-koulutus 7e]]</f>
        <v>0</v>
      </c>
      <c r="CJ114" s="207">
        <f>Opv.kohd.[[#This Row],[Tavoitteelliset opiskelijavuodet yhteensä 9]]-Opv.kohd.[[#This Row],[Yhteensä 7e]]</f>
        <v>45</v>
      </c>
      <c r="CK114" s="207">
        <f>Opv.kohd.[[#This Row],[Järjestämisluvan mukaiset 4]]+Opv.kohd.[[#This Row],[Järjestämisluvan mukaiset 13]]</f>
        <v>0</v>
      </c>
      <c r="CL114" s="207">
        <f>Opv.kohd.[[#This Row],[Kohdentamat-tomat 4]]+Opv.kohd.[[#This Row],[Kohdentamat-tomat 13]]</f>
        <v>0</v>
      </c>
      <c r="CM114" s="207">
        <f>Opv.kohd.[[#This Row],[Työvoima-koulutus 4]]+Opv.kohd.[[#This Row],[Työvoima-koulutus 13]]</f>
        <v>0</v>
      </c>
      <c r="CN114" s="207">
        <f>Opv.kohd.[[#This Row],[Maahan-muuttajien koulutus 4]]+Opv.kohd.[[#This Row],[Maahan-muuttajien koulutus 13]]</f>
        <v>0</v>
      </c>
      <c r="CO114" s="207">
        <f>Opv.kohd.[[#This Row],[Nuorisotyöt. väh. ja osaamistarp. vast., muu kuin työvoima-koulutus 4]]+Opv.kohd.[[#This Row],[Nuorisotyöt. väh. ja osaamistarp. vast., muu kuin työvoima-koulutus 13]]</f>
        <v>0</v>
      </c>
      <c r="CP114" s="207">
        <f>Opv.kohd.[[#This Row],[Nuorisotyöt. väh. ja osaamistarp. vast., työvoima-koulutus 4]]+Opv.kohd.[[#This Row],[Nuorisotyöt. väh. ja osaamistarp. vast., työvoima-koulutus 13]]</f>
        <v>0</v>
      </c>
      <c r="CQ114" s="207">
        <f>Opv.kohd.[[#This Row],[Yhteensä 4]]+Opv.kohd.[[#This Row],[Yhteensä 13]]</f>
        <v>0</v>
      </c>
      <c r="CR114" s="207">
        <f>Opv.kohd.[[#This Row],[Ensikertaisella suoritepäätöksellä jaetut tavoitteelliset opiskelijavuodet yhteensä 4]]+Opv.kohd.[[#This Row],[Tavoitteelliset opiskelijavuodet yhteensä 13]]</f>
        <v>0</v>
      </c>
      <c r="CS114" s="120">
        <v>0</v>
      </c>
      <c r="CT114" s="120">
        <v>0</v>
      </c>
      <c r="CU114" s="120">
        <v>0</v>
      </c>
      <c r="CV114" s="120">
        <v>0</v>
      </c>
      <c r="CW114" s="120">
        <v>0</v>
      </c>
      <c r="CX114" s="120">
        <v>0</v>
      </c>
      <c r="CY114" s="120">
        <v>0</v>
      </c>
      <c r="CZ114" s="120">
        <v>0</v>
      </c>
      <c r="DA114" s="209">
        <f>IFERROR(Opv.kohd.[[#This Row],[Järjestämisluvan mukaiset 13]]/Opv.kohd.[[#This Row],[Järjestämisluvan mukaiset 12]],0)</f>
        <v>0</v>
      </c>
      <c r="DB114" s="209">
        <f>IFERROR(Opv.kohd.[[#This Row],[Kohdentamat-tomat 13]]/Opv.kohd.[[#This Row],[Kohdentamat-tomat 12]],0)</f>
        <v>0</v>
      </c>
      <c r="DC114" s="209">
        <f>IFERROR(Opv.kohd.[[#This Row],[Työvoima-koulutus 13]]/Opv.kohd.[[#This Row],[Työvoima-koulutus 12]],0)</f>
        <v>0</v>
      </c>
      <c r="DD114" s="209">
        <f>IFERROR(Opv.kohd.[[#This Row],[Maahan-muuttajien koulutus 13]]/Opv.kohd.[[#This Row],[Maahan-muuttajien koulutus 12]],0)</f>
        <v>0</v>
      </c>
      <c r="DE114" s="209">
        <f>IFERROR(Opv.kohd.[[#This Row],[Nuorisotyöt. väh. ja osaamistarp. vast., muu kuin työvoima-koulutus 13]]/Opv.kohd.[[#This Row],[Nuorisotyöt. väh. ja osaamistarp. vast., muu kuin työvoima-koulutus 12]],0)</f>
        <v>0</v>
      </c>
      <c r="DF114" s="209">
        <f>IFERROR(Opv.kohd.[[#This Row],[Nuorisotyöt. väh. ja osaamistarp. vast., työvoima-koulutus 13]]/Opv.kohd.[[#This Row],[Nuorisotyöt. väh. ja osaamistarp. vast., työvoima-koulutus 12]],0)</f>
        <v>0</v>
      </c>
      <c r="DG114" s="209">
        <f>IFERROR(Opv.kohd.[[#This Row],[Yhteensä 13]]/Opv.kohd.[[#This Row],[Yhteensä 12]],0)</f>
        <v>0</v>
      </c>
      <c r="DH114" s="209">
        <f>IFERROR(Opv.kohd.[[#This Row],[Tavoitteelliset opiskelijavuodet yhteensä 13]]/Opv.kohd.[[#This Row],[Tavoitteelliset opiskelijavuodet yhteensä 12]],0)</f>
        <v>0</v>
      </c>
      <c r="DI114" s="207">
        <f>Opv.kohd.[[#This Row],[Järjestämisluvan mukaiset 12]]-Opv.kohd.[[#This Row],[Järjestämisluvan mukaiset 9]]</f>
        <v>-30</v>
      </c>
      <c r="DJ114" s="207">
        <f>Opv.kohd.[[#This Row],[Kohdentamat-tomat 12]]-Opv.kohd.[[#This Row],[Kohdentamat-tomat 9]]</f>
        <v>-15</v>
      </c>
      <c r="DK114" s="207">
        <f>Opv.kohd.[[#This Row],[Työvoima-koulutus 12]]-Opv.kohd.[[#This Row],[Työvoima-koulutus 9]]</f>
        <v>0</v>
      </c>
      <c r="DL114" s="207">
        <f>Opv.kohd.[[#This Row],[Maahan-muuttajien koulutus 12]]-Opv.kohd.[[#This Row],[Maahan-muuttajien koulutus 9]]</f>
        <v>0</v>
      </c>
      <c r="DM114" s="207">
        <f>Opv.kohd.[[#This Row],[Nuorisotyöt. väh. ja osaamistarp. vast., muu kuin työvoima-koulutus 12]]-Opv.kohd.[[#This Row],[Nuorisotyöt. väh. ja osaamistarp. vast., muu kuin työvoima-koulutus 9]]</f>
        <v>0</v>
      </c>
      <c r="DN114" s="207">
        <f>Opv.kohd.[[#This Row],[Nuorisotyöt. väh. ja osaamistarp. vast., työvoima-koulutus 12]]-Opv.kohd.[[#This Row],[Nuorisotyöt. väh. ja osaamistarp. vast., työvoima-koulutus 9]]</f>
        <v>0</v>
      </c>
      <c r="DO114" s="207">
        <f>Opv.kohd.[[#This Row],[Yhteensä 12]]-Opv.kohd.[[#This Row],[Yhteensä 9]]</f>
        <v>-15</v>
      </c>
      <c r="DP114" s="207">
        <f>Opv.kohd.[[#This Row],[Tavoitteelliset opiskelijavuodet yhteensä 12]]-Opv.kohd.[[#This Row],[Tavoitteelliset opiskelijavuodet yhteensä 9]]</f>
        <v>-45</v>
      </c>
      <c r="DQ114" s="209">
        <f>IFERROR(Opv.kohd.[[#This Row],[Järjestämisluvan mukaiset 15]]/Opv.kohd.[[#This Row],[Järjestämisluvan mukaiset 9]],0)</f>
        <v>-1</v>
      </c>
      <c r="DR114" s="209">
        <f t="shared" si="25"/>
        <v>0</v>
      </c>
      <c r="DS114" s="209">
        <f t="shared" si="26"/>
        <v>0</v>
      </c>
      <c r="DT114" s="209">
        <f t="shared" si="27"/>
        <v>0</v>
      </c>
      <c r="DU114" s="209">
        <f t="shared" si="28"/>
        <v>0</v>
      </c>
      <c r="DV114" s="209">
        <f t="shared" si="29"/>
        <v>0</v>
      </c>
      <c r="DW114" s="209">
        <f t="shared" si="30"/>
        <v>0</v>
      </c>
      <c r="DX114" s="209">
        <f t="shared" si="31"/>
        <v>0</v>
      </c>
    </row>
    <row r="115" spans="1:128" x14ac:dyDescent="0.25">
      <c r="A115" s="204" t="e">
        <f>IF(INDEX(#REF!,ROW(115:115)-1,1)=0,"",INDEX(#REF!,ROW(115:115)-1,1))</f>
        <v>#REF!</v>
      </c>
      <c r="B115" s="205" t="str">
        <f>IFERROR(VLOOKUP(Opv.kohd.[[#This Row],[Y-tunnus]],'0 Järjestäjätiedot'!$A:$H,2,FALSE),"")</f>
        <v/>
      </c>
      <c r="C115" s="204" t="str">
        <f>IFERROR(VLOOKUP(Opv.kohd.[[#This Row],[Y-tunnus]],'0 Järjestäjätiedot'!$A:$H,COLUMN('0 Järjestäjätiedot'!D:D),FALSE),"")</f>
        <v/>
      </c>
      <c r="D115" s="204" t="str">
        <f>IFERROR(VLOOKUP(Opv.kohd.[[#This Row],[Y-tunnus]],'0 Järjestäjätiedot'!$A:$H,COLUMN('0 Järjestäjätiedot'!H:H),FALSE),"")</f>
        <v/>
      </c>
      <c r="E115" s="204">
        <f>IFERROR(VLOOKUP(Opv.kohd.[[#This Row],[Y-tunnus]],#REF!,COLUMN(#REF!),FALSE),0)</f>
        <v>0</v>
      </c>
      <c r="F115" s="204">
        <f>IFERROR(VLOOKUP(Opv.kohd.[[#This Row],[Y-tunnus]],#REF!,COLUMN(#REF!),FALSE),0)</f>
        <v>0</v>
      </c>
      <c r="G115" s="204">
        <f>IFERROR(VLOOKUP(Opv.kohd.[[#This Row],[Y-tunnus]],#REF!,COLUMN(#REF!),FALSE),0)</f>
        <v>0</v>
      </c>
      <c r="H115" s="204">
        <f>IFERROR(VLOOKUP(Opv.kohd.[[#This Row],[Y-tunnus]],#REF!,COLUMN(#REF!),FALSE),0)</f>
        <v>0</v>
      </c>
      <c r="I115" s="204">
        <f>IFERROR(VLOOKUP(Opv.kohd.[[#This Row],[Y-tunnus]],#REF!,COLUMN(#REF!),FALSE),0)</f>
        <v>0</v>
      </c>
      <c r="J115" s="204">
        <f>IFERROR(VLOOKUP(Opv.kohd.[[#This Row],[Y-tunnus]],#REF!,COLUMN(#REF!),FALSE),0)</f>
        <v>0</v>
      </c>
      <c r="K11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15" s="204">
        <f>Opv.kohd.[[#This Row],[Järjestämisluvan mukaiset 1]]+Opv.kohd.[[#This Row],[Yhteensä  1]]</f>
        <v>0</v>
      </c>
      <c r="M115" s="204">
        <f>IFERROR(VLOOKUP(Opv.kohd.[[#This Row],[Y-tunnus]],#REF!,COLUMN(#REF!),FALSE),0)</f>
        <v>0</v>
      </c>
      <c r="N115" s="204">
        <f>IFERROR(VLOOKUP(Opv.kohd.[[#This Row],[Y-tunnus]],#REF!,COLUMN(#REF!),FALSE),0)</f>
        <v>0</v>
      </c>
      <c r="O115" s="204">
        <f>IFERROR(VLOOKUP(Opv.kohd.[[#This Row],[Y-tunnus]],#REF!,COLUMN(#REF!),FALSE)+VLOOKUP(Opv.kohd.[[#This Row],[Y-tunnus]],#REF!,COLUMN(#REF!),FALSE),0)</f>
        <v>0</v>
      </c>
      <c r="P115" s="204">
        <f>Opv.kohd.[[#This Row],[Talousarvion perusteella kohdentamattomat]]+Opv.kohd.[[#This Row],[Talousarvion perusteella työvoimakoulutus 1]]+Opv.kohd.[[#This Row],[Lisätalousarvioiden perusteella]]</f>
        <v>0</v>
      </c>
      <c r="Q115" s="204">
        <f>IFERROR(VLOOKUP(Opv.kohd.[[#This Row],[Y-tunnus]],#REF!,COLUMN(#REF!),FALSE),0)</f>
        <v>0</v>
      </c>
      <c r="R115" s="210">
        <f>IFERROR(VLOOKUP(Opv.kohd.[[#This Row],[Y-tunnus]],#REF!,COLUMN(#REF!),FALSE)-(Opv.kohd.[[#This Row],[Kohdentamaton työvoima-koulutus 2]]+Opv.kohd.[[#This Row],[Maahan-muuttajien koulutus 2]]+Opv.kohd.[[#This Row],[Lisätalousarvioiden perusteella jaetut 2]]),0)</f>
        <v>0</v>
      </c>
      <c r="S115" s="210">
        <f>IFERROR(VLOOKUP(Opv.kohd.[[#This Row],[Y-tunnus]],#REF!,COLUMN(#REF!),FALSE)+VLOOKUP(Opv.kohd.[[#This Row],[Y-tunnus]],#REF!,COLUMN(#REF!),FALSE),0)</f>
        <v>0</v>
      </c>
      <c r="T115" s="210">
        <f>IFERROR(VLOOKUP(Opv.kohd.[[#This Row],[Y-tunnus]],#REF!,COLUMN(#REF!),FALSE)+VLOOKUP(Opv.kohd.[[#This Row],[Y-tunnus]],#REF!,COLUMN(#REF!),FALSE),0)</f>
        <v>0</v>
      </c>
      <c r="U11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15" s="210">
        <f>Opv.kohd.[[#This Row],[Kohdentamat-tomat 2]]+Opv.kohd.[[#This Row],[Kohdentamaton työvoima-koulutus 2]]+Opv.kohd.[[#This Row],[Maahan-muuttajien koulutus 2]]+Opv.kohd.[[#This Row],[Lisätalousarvioiden perusteella jaetut 2]]</f>
        <v>0</v>
      </c>
      <c r="W115" s="210">
        <f>Opv.kohd.[[#This Row],[Kohdentamat-tomat 2]]-(Opv.kohd.[[#This Row],[Järjestämisluvan mukaiset 1]]+Opv.kohd.[[#This Row],[Kohdentamat-tomat 1]]+Opv.kohd.[[#This Row],[Nuorisotyöt. väh. ja osaamistarp. vast., muu kuin työvoima-koulutus 1]]+Opv.kohd.[[#This Row],[Talousarvion perusteella kohdentamattomat]])</f>
        <v>0</v>
      </c>
      <c r="X115" s="210">
        <f>Opv.kohd.[[#This Row],[Kohdentamaton työvoima-koulutus 2]]-(Opv.kohd.[[#This Row],[Työvoima-koulutus 1]]+Opv.kohd.[[#This Row],[Nuorisotyöt. väh. ja osaamistarp. vast., työvoima-koulutus 1]]+Opv.kohd.[[#This Row],[Talousarvion perusteella työvoimakoulutus 1]])</f>
        <v>0</v>
      </c>
      <c r="Y115" s="210">
        <f>Opv.kohd.[[#This Row],[Maahan-muuttajien koulutus 2]]-Opv.kohd.[[#This Row],[Maahan-muuttajien koulutus 1]]</f>
        <v>0</v>
      </c>
      <c r="Z115" s="210">
        <f>Opv.kohd.[[#This Row],[Lisätalousarvioiden perusteella jaetut 2]]-Opv.kohd.[[#This Row],[Lisätalousarvioiden perusteella]]</f>
        <v>0</v>
      </c>
      <c r="AA115" s="210">
        <f>Opv.kohd.[[#This Row],[Toteutuneet opiskelijavuodet yhteensä 2]]-Opv.kohd.[[#This Row],[Vuoden 2018 tavoitteelliset opiskelijavuodet yhteensä 1]]</f>
        <v>0</v>
      </c>
      <c r="AB115" s="207">
        <f>IFERROR(VLOOKUP(Opv.kohd.[[#This Row],[Y-tunnus]],#REF!,3,FALSE),0)</f>
        <v>0</v>
      </c>
      <c r="AC115" s="207">
        <f>IFERROR(VLOOKUP(Opv.kohd.[[#This Row],[Y-tunnus]],#REF!,4,FALSE),0)</f>
        <v>0</v>
      </c>
      <c r="AD115" s="207">
        <f>IFERROR(VLOOKUP(Opv.kohd.[[#This Row],[Y-tunnus]],#REF!,5,FALSE),0)</f>
        <v>0</v>
      </c>
      <c r="AE115" s="207">
        <f>IFERROR(VLOOKUP(Opv.kohd.[[#This Row],[Y-tunnus]],#REF!,6,FALSE),0)</f>
        <v>0</v>
      </c>
      <c r="AF115" s="207">
        <f>IFERROR(VLOOKUP(Opv.kohd.[[#This Row],[Y-tunnus]],#REF!,7,FALSE),0)</f>
        <v>0</v>
      </c>
      <c r="AG115" s="207">
        <f>IFERROR(VLOOKUP(Opv.kohd.[[#This Row],[Y-tunnus]],#REF!,8,FALSE),0)</f>
        <v>0</v>
      </c>
      <c r="AH115" s="207">
        <f>IFERROR(VLOOKUP(Opv.kohd.[[#This Row],[Y-tunnus]],#REF!,9,FALSE),0)</f>
        <v>0</v>
      </c>
      <c r="AI115" s="207">
        <f>IFERROR(VLOOKUP(Opv.kohd.[[#This Row],[Y-tunnus]],#REF!,10,FALSE),0)</f>
        <v>0</v>
      </c>
      <c r="AJ115" s="204">
        <f>Opv.kohd.[[#This Row],[Järjestämisluvan mukaiset 4]]-Opv.kohd.[[#This Row],[Järjestämisluvan mukaiset 1]]</f>
        <v>0</v>
      </c>
      <c r="AK115" s="204">
        <f>Opv.kohd.[[#This Row],[Kohdentamat-tomat 4]]-Opv.kohd.[[#This Row],[Kohdentamat-tomat 1]]</f>
        <v>0</v>
      </c>
      <c r="AL115" s="204">
        <f>Opv.kohd.[[#This Row],[Työvoima-koulutus 4]]-Opv.kohd.[[#This Row],[Työvoima-koulutus 1]]</f>
        <v>0</v>
      </c>
      <c r="AM115" s="204">
        <f>Opv.kohd.[[#This Row],[Maahan-muuttajien koulutus 4]]-Opv.kohd.[[#This Row],[Maahan-muuttajien koulutus 1]]</f>
        <v>0</v>
      </c>
      <c r="AN115" s="204">
        <f>Opv.kohd.[[#This Row],[Nuorisotyöt. väh. ja osaamistarp. vast., muu kuin työvoima-koulutus 4]]-Opv.kohd.[[#This Row],[Nuorisotyöt. väh. ja osaamistarp. vast., muu kuin työvoima-koulutus 1]]</f>
        <v>0</v>
      </c>
      <c r="AO115" s="204">
        <f>Opv.kohd.[[#This Row],[Nuorisotyöt. väh. ja osaamistarp. vast., työvoima-koulutus 4]]-Opv.kohd.[[#This Row],[Nuorisotyöt. väh. ja osaamistarp. vast., työvoima-koulutus 1]]</f>
        <v>0</v>
      </c>
      <c r="AP115" s="204">
        <f>Opv.kohd.[[#This Row],[Yhteensä 4]]-Opv.kohd.[[#This Row],[Yhteensä  1]]</f>
        <v>0</v>
      </c>
      <c r="AQ115" s="204">
        <f>Opv.kohd.[[#This Row],[Ensikertaisella suoritepäätöksellä jaetut tavoitteelliset opiskelijavuodet yhteensä 4]]-Opv.kohd.[[#This Row],[Ensikertaisella suoritepäätöksellä jaetut tavoitteelliset opiskelijavuodet yhteensä 1]]</f>
        <v>0</v>
      </c>
      <c r="AR115" s="208">
        <f>IFERROR(Opv.kohd.[[#This Row],[Järjestämisluvan mukaiset 5]]/Opv.kohd.[[#This Row],[Järjestämisluvan mukaiset 4]],0)</f>
        <v>0</v>
      </c>
      <c r="AS115" s="208">
        <f>IFERROR(Opv.kohd.[[#This Row],[Kohdentamat-tomat 5]]/Opv.kohd.[[#This Row],[Kohdentamat-tomat 4]],0)</f>
        <v>0</v>
      </c>
      <c r="AT115" s="208">
        <f>IFERROR(Opv.kohd.[[#This Row],[Työvoima-koulutus 5]]/Opv.kohd.[[#This Row],[Työvoima-koulutus 4]],0)</f>
        <v>0</v>
      </c>
      <c r="AU115" s="208">
        <f>IFERROR(Opv.kohd.[[#This Row],[Maahan-muuttajien koulutus 5]]/Opv.kohd.[[#This Row],[Maahan-muuttajien koulutus 4]],0)</f>
        <v>0</v>
      </c>
      <c r="AV115" s="208">
        <f>IFERROR(Opv.kohd.[[#This Row],[Nuorisotyöt. väh. ja osaamistarp. vast., muu kuin työvoima-koulutus 5]]/Opv.kohd.[[#This Row],[Nuorisotyöt. väh. ja osaamistarp. vast., muu kuin työvoima-koulutus 4]],0)</f>
        <v>0</v>
      </c>
      <c r="AW115" s="208">
        <f>IFERROR(Opv.kohd.[[#This Row],[Nuorisotyöt. väh. ja osaamistarp. vast., työvoima-koulutus 5]]/Opv.kohd.[[#This Row],[Nuorisotyöt. väh. ja osaamistarp. vast., työvoima-koulutus 4]],0)</f>
        <v>0</v>
      </c>
      <c r="AX115" s="208">
        <f>IFERROR(Opv.kohd.[[#This Row],[Yhteensä 5]]/Opv.kohd.[[#This Row],[Yhteensä 4]],0)</f>
        <v>0</v>
      </c>
      <c r="AY115" s="208">
        <f>IFERROR(Opv.kohd.[[#This Row],[Ensikertaisella suoritepäätöksellä jaetut tavoitteelliset opiskelijavuodet yhteensä 5]]/Opv.kohd.[[#This Row],[Ensikertaisella suoritepäätöksellä jaetut tavoitteelliset opiskelijavuodet yhteensä 4]],0)</f>
        <v>0</v>
      </c>
      <c r="AZ115" s="207">
        <f>Opv.kohd.[[#This Row],[Yhteensä 7a]]-Opv.kohd.[[#This Row],[Työvoima-koulutus 7a]]</f>
        <v>0</v>
      </c>
      <c r="BA115" s="207">
        <f>IFERROR(VLOOKUP(Opv.kohd.[[#This Row],[Y-tunnus]],#REF!,COLUMN(#REF!),FALSE),0)</f>
        <v>0</v>
      </c>
      <c r="BB115" s="207">
        <f>IFERROR(VLOOKUP(Opv.kohd.[[#This Row],[Y-tunnus]],#REF!,COLUMN(#REF!),FALSE),0)</f>
        <v>0</v>
      </c>
      <c r="BC115" s="207">
        <f>Opv.kohd.[[#This Row],[Muu kuin työvoima-koulutus 7c]]-Opv.kohd.[[#This Row],[Muu kuin työvoima-koulutus 7a]]</f>
        <v>0</v>
      </c>
      <c r="BD115" s="207">
        <f>Opv.kohd.[[#This Row],[Työvoima-koulutus 7c]]-Opv.kohd.[[#This Row],[Työvoima-koulutus 7a]]</f>
        <v>0</v>
      </c>
      <c r="BE115" s="207">
        <f>Opv.kohd.[[#This Row],[Yhteensä 7c]]-Opv.kohd.[[#This Row],[Yhteensä 7a]]</f>
        <v>0</v>
      </c>
      <c r="BF115" s="207">
        <f>Opv.kohd.[[#This Row],[Yhteensä 7c]]-Opv.kohd.[[#This Row],[Työvoima-koulutus 7c]]</f>
        <v>0</v>
      </c>
      <c r="BG115" s="207">
        <f>IFERROR(VLOOKUP(Opv.kohd.[[#This Row],[Y-tunnus]],#REF!,COLUMN(#REF!),FALSE),0)</f>
        <v>0</v>
      </c>
      <c r="BH115" s="207">
        <f>IFERROR(VLOOKUP(Opv.kohd.[[#This Row],[Y-tunnus]],#REF!,COLUMN(#REF!),FALSE),0)</f>
        <v>0</v>
      </c>
      <c r="BI115" s="207">
        <f>IFERROR(VLOOKUP(Opv.kohd.[[#This Row],[Y-tunnus]],#REF!,COLUMN(#REF!),FALSE),0)</f>
        <v>0</v>
      </c>
      <c r="BJ115" s="207">
        <f>IFERROR(VLOOKUP(Opv.kohd.[[#This Row],[Y-tunnus]],#REF!,COLUMN(#REF!),FALSE),0)</f>
        <v>0</v>
      </c>
      <c r="BK115" s="207">
        <f>Opv.kohd.[[#This Row],[Muu kuin työvoima-koulutus 7d]]+Opv.kohd.[[#This Row],[Työvoima-koulutus 7d]]</f>
        <v>0</v>
      </c>
      <c r="BL115" s="207">
        <f>Opv.kohd.[[#This Row],[Muu kuin työvoima-koulutus 7c]]-Opv.kohd.[[#This Row],[Muu kuin työvoima-koulutus 7d]]</f>
        <v>0</v>
      </c>
      <c r="BM115" s="207">
        <f>Opv.kohd.[[#This Row],[Työvoima-koulutus 7c]]-Opv.kohd.[[#This Row],[Työvoima-koulutus 7d]]</f>
        <v>0</v>
      </c>
      <c r="BN115" s="207">
        <f>Opv.kohd.[[#This Row],[Yhteensä 7c]]-Opv.kohd.[[#This Row],[Yhteensä 7d]]</f>
        <v>0</v>
      </c>
      <c r="BO115" s="207">
        <f>Opv.kohd.[[#This Row],[Muu kuin työvoima-koulutus 7e]]-(Opv.kohd.[[#This Row],[Järjestämisluvan mukaiset 4]]+Opv.kohd.[[#This Row],[Kohdentamat-tomat 4]]+Opv.kohd.[[#This Row],[Maahan-muuttajien koulutus 4]]+Opv.kohd.[[#This Row],[Nuorisotyöt. väh. ja osaamistarp. vast., muu kuin työvoima-koulutus 4]])</f>
        <v>0</v>
      </c>
      <c r="BP115" s="207">
        <f>Opv.kohd.[[#This Row],[Työvoima-koulutus 7e]]-(Opv.kohd.[[#This Row],[Työvoima-koulutus 4]]+Opv.kohd.[[#This Row],[Nuorisotyöt. väh. ja osaamistarp. vast., työvoima-koulutus 4]])</f>
        <v>0</v>
      </c>
      <c r="BQ115" s="207">
        <f>Opv.kohd.[[#This Row],[Yhteensä 7e]]-Opv.kohd.[[#This Row],[Ensikertaisella suoritepäätöksellä jaetut tavoitteelliset opiskelijavuodet yhteensä 4]]</f>
        <v>0</v>
      </c>
      <c r="BR115" s="263">
        <v>37</v>
      </c>
      <c r="BS115" s="263">
        <v>12</v>
      </c>
      <c r="BT115" s="263">
        <v>0</v>
      </c>
      <c r="BU115" s="263">
        <v>0</v>
      </c>
      <c r="BV115" s="263">
        <v>0</v>
      </c>
      <c r="BW115" s="263">
        <v>0</v>
      </c>
      <c r="BX115" s="263">
        <v>12</v>
      </c>
      <c r="BY115" s="263">
        <v>49</v>
      </c>
      <c r="BZ115" s="207">
        <f t="shared" si="17"/>
        <v>37</v>
      </c>
      <c r="CA115" s="207">
        <f t="shared" si="18"/>
        <v>12</v>
      </c>
      <c r="CB115" s="207">
        <f t="shared" si="19"/>
        <v>0</v>
      </c>
      <c r="CC115" s="207">
        <f t="shared" si="20"/>
        <v>0</v>
      </c>
      <c r="CD115" s="207">
        <f t="shared" si="21"/>
        <v>0</v>
      </c>
      <c r="CE115" s="207">
        <f t="shared" si="22"/>
        <v>0</v>
      </c>
      <c r="CF115" s="207">
        <f t="shared" si="23"/>
        <v>12</v>
      </c>
      <c r="CG115" s="207">
        <f t="shared" si="24"/>
        <v>49</v>
      </c>
      <c r="CH115" s="207">
        <f>Opv.kohd.[[#This Row],[Tavoitteelliset opiskelijavuodet yhteensä 9]]-Opv.kohd.[[#This Row],[Työvoima-koulutus 9]]-Opv.kohd.[[#This Row],[Nuorisotyöt. väh. ja osaamistarp. vast., työvoima-koulutus 9]]-Opv.kohd.[[#This Row],[Muu kuin työvoima-koulutus 7e]]</f>
        <v>49</v>
      </c>
      <c r="CI115" s="207">
        <f>(Opv.kohd.[[#This Row],[Työvoima-koulutus 9]]+Opv.kohd.[[#This Row],[Nuorisotyöt. väh. ja osaamistarp. vast., työvoima-koulutus 9]])-Opv.kohd.[[#This Row],[Työvoima-koulutus 7e]]</f>
        <v>0</v>
      </c>
      <c r="CJ115" s="207">
        <f>Opv.kohd.[[#This Row],[Tavoitteelliset opiskelijavuodet yhteensä 9]]-Opv.kohd.[[#This Row],[Yhteensä 7e]]</f>
        <v>49</v>
      </c>
      <c r="CK115" s="207">
        <f>Opv.kohd.[[#This Row],[Järjestämisluvan mukaiset 4]]+Opv.kohd.[[#This Row],[Järjestämisluvan mukaiset 13]]</f>
        <v>0</v>
      </c>
      <c r="CL115" s="207">
        <f>Opv.kohd.[[#This Row],[Kohdentamat-tomat 4]]+Opv.kohd.[[#This Row],[Kohdentamat-tomat 13]]</f>
        <v>0</v>
      </c>
      <c r="CM115" s="207">
        <f>Opv.kohd.[[#This Row],[Työvoima-koulutus 4]]+Opv.kohd.[[#This Row],[Työvoima-koulutus 13]]</f>
        <v>0</v>
      </c>
      <c r="CN115" s="207">
        <f>Opv.kohd.[[#This Row],[Maahan-muuttajien koulutus 4]]+Opv.kohd.[[#This Row],[Maahan-muuttajien koulutus 13]]</f>
        <v>0</v>
      </c>
      <c r="CO115" s="207">
        <f>Opv.kohd.[[#This Row],[Nuorisotyöt. väh. ja osaamistarp. vast., muu kuin työvoima-koulutus 4]]+Opv.kohd.[[#This Row],[Nuorisotyöt. väh. ja osaamistarp. vast., muu kuin työvoima-koulutus 13]]</f>
        <v>0</v>
      </c>
      <c r="CP115" s="207">
        <f>Opv.kohd.[[#This Row],[Nuorisotyöt. väh. ja osaamistarp. vast., työvoima-koulutus 4]]+Opv.kohd.[[#This Row],[Nuorisotyöt. väh. ja osaamistarp. vast., työvoima-koulutus 13]]</f>
        <v>0</v>
      </c>
      <c r="CQ115" s="207">
        <f>Opv.kohd.[[#This Row],[Yhteensä 4]]+Opv.kohd.[[#This Row],[Yhteensä 13]]</f>
        <v>0</v>
      </c>
      <c r="CR115" s="207">
        <f>Opv.kohd.[[#This Row],[Ensikertaisella suoritepäätöksellä jaetut tavoitteelliset opiskelijavuodet yhteensä 4]]+Opv.kohd.[[#This Row],[Tavoitteelliset opiskelijavuodet yhteensä 13]]</f>
        <v>0</v>
      </c>
      <c r="CS115" s="120">
        <v>0</v>
      </c>
      <c r="CT115" s="120">
        <v>0</v>
      </c>
      <c r="CU115" s="120">
        <v>0</v>
      </c>
      <c r="CV115" s="120">
        <v>0</v>
      </c>
      <c r="CW115" s="120">
        <v>0</v>
      </c>
      <c r="CX115" s="120">
        <v>0</v>
      </c>
      <c r="CY115" s="120">
        <v>0</v>
      </c>
      <c r="CZ115" s="120">
        <v>0</v>
      </c>
      <c r="DA115" s="209">
        <f>IFERROR(Opv.kohd.[[#This Row],[Järjestämisluvan mukaiset 13]]/Opv.kohd.[[#This Row],[Järjestämisluvan mukaiset 12]],0)</f>
        <v>0</v>
      </c>
      <c r="DB115" s="209">
        <f>IFERROR(Opv.kohd.[[#This Row],[Kohdentamat-tomat 13]]/Opv.kohd.[[#This Row],[Kohdentamat-tomat 12]],0)</f>
        <v>0</v>
      </c>
      <c r="DC115" s="209">
        <f>IFERROR(Opv.kohd.[[#This Row],[Työvoima-koulutus 13]]/Opv.kohd.[[#This Row],[Työvoima-koulutus 12]],0)</f>
        <v>0</v>
      </c>
      <c r="DD115" s="209">
        <f>IFERROR(Opv.kohd.[[#This Row],[Maahan-muuttajien koulutus 13]]/Opv.kohd.[[#This Row],[Maahan-muuttajien koulutus 12]],0)</f>
        <v>0</v>
      </c>
      <c r="DE115" s="209">
        <f>IFERROR(Opv.kohd.[[#This Row],[Nuorisotyöt. väh. ja osaamistarp. vast., muu kuin työvoima-koulutus 13]]/Opv.kohd.[[#This Row],[Nuorisotyöt. väh. ja osaamistarp. vast., muu kuin työvoima-koulutus 12]],0)</f>
        <v>0</v>
      </c>
      <c r="DF115" s="209">
        <f>IFERROR(Opv.kohd.[[#This Row],[Nuorisotyöt. väh. ja osaamistarp. vast., työvoima-koulutus 13]]/Opv.kohd.[[#This Row],[Nuorisotyöt. väh. ja osaamistarp. vast., työvoima-koulutus 12]],0)</f>
        <v>0</v>
      </c>
      <c r="DG115" s="209">
        <f>IFERROR(Opv.kohd.[[#This Row],[Yhteensä 13]]/Opv.kohd.[[#This Row],[Yhteensä 12]],0)</f>
        <v>0</v>
      </c>
      <c r="DH115" s="209">
        <f>IFERROR(Opv.kohd.[[#This Row],[Tavoitteelliset opiskelijavuodet yhteensä 13]]/Opv.kohd.[[#This Row],[Tavoitteelliset opiskelijavuodet yhteensä 12]],0)</f>
        <v>0</v>
      </c>
      <c r="DI115" s="207">
        <f>Opv.kohd.[[#This Row],[Järjestämisluvan mukaiset 12]]-Opv.kohd.[[#This Row],[Järjestämisluvan mukaiset 9]]</f>
        <v>-37</v>
      </c>
      <c r="DJ115" s="207">
        <f>Opv.kohd.[[#This Row],[Kohdentamat-tomat 12]]-Opv.kohd.[[#This Row],[Kohdentamat-tomat 9]]</f>
        <v>-12</v>
      </c>
      <c r="DK115" s="207">
        <f>Opv.kohd.[[#This Row],[Työvoima-koulutus 12]]-Opv.kohd.[[#This Row],[Työvoima-koulutus 9]]</f>
        <v>0</v>
      </c>
      <c r="DL115" s="207">
        <f>Opv.kohd.[[#This Row],[Maahan-muuttajien koulutus 12]]-Opv.kohd.[[#This Row],[Maahan-muuttajien koulutus 9]]</f>
        <v>0</v>
      </c>
      <c r="DM115" s="207">
        <f>Opv.kohd.[[#This Row],[Nuorisotyöt. väh. ja osaamistarp. vast., muu kuin työvoima-koulutus 12]]-Opv.kohd.[[#This Row],[Nuorisotyöt. väh. ja osaamistarp. vast., muu kuin työvoima-koulutus 9]]</f>
        <v>0</v>
      </c>
      <c r="DN115" s="207">
        <f>Opv.kohd.[[#This Row],[Nuorisotyöt. väh. ja osaamistarp. vast., työvoima-koulutus 12]]-Opv.kohd.[[#This Row],[Nuorisotyöt. väh. ja osaamistarp. vast., työvoima-koulutus 9]]</f>
        <v>0</v>
      </c>
      <c r="DO115" s="207">
        <f>Opv.kohd.[[#This Row],[Yhteensä 12]]-Opv.kohd.[[#This Row],[Yhteensä 9]]</f>
        <v>-12</v>
      </c>
      <c r="DP115" s="207">
        <f>Opv.kohd.[[#This Row],[Tavoitteelliset opiskelijavuodet yhteensä 12]]-Opv.kohd.[[#This Row],[Tavoitteelliset opiskelijavuodet yhteensä 9]]</f>
        <v>-49</v>
      </c>
      <c r="DQ115" s="209">
        <f>IFERROR(Opv.kohd.[[#This Row],[Järjestämisluvan mukaiset 15]]/Opv.kohd.[[#This Row],[Järjestämisluvan mukaiset 9]],0)</f>
        <v>-1</v>
      </c>
      <c r="DR115" s="209">
        <f t="shared" si="25"/>
        <v>0</v>
      </c>
      <c r="DS115" s="209">
        <f t="shared" si="26"/>
        <v>0</v>
      </c>
      <c r="DT115" s="209">
        <f t="shared" si="27"/>
        <v>0</v>
      </c>
      <c r="DU115" s="209">
        <f t="shared" si="28"/>
        <v>0</v>
      </c>
      <c r="DV115" s="209">
        <f t="shared" si="29"/>
        <v>0</v>
      </c>
      <c r="DW115" s="209">
        <f t="shared" si="30"/>
        <v>0</v>
      </c>
      <c r="DX115" s="209">
        <f t="shared" si="31"/>
        <v>0</v>
      </c>
    </row>
    <row r="116" spans="1:128" x14ac:dyDescent="0.25">
      <c r="A116" s="204" t="e">
        <f>IF(INDEX(#REF!,ROW(116:116)-1,1)=0,"",INDEX(#REF!,ROW(116:116)-1,1))</f>
        <v>#REF!</v>
      </c>
      <c r="B116" s="205" t="str">
        <f>IFERROR(VLOOKUP(Opv.kohd.[[#This Row],[Y-tunnus]],'0 Järjestäjätiedot'!$A:$H,2,FALSE),"")</f>
        <v/>
      </c>
      <c r="C116" s="204" t="str">
        <f>IFERROR(VLOOKUP(Opv.kohd.[[#This Row],[Y-tunnus]],'0 Järjestäjätiedot'!$A:$H,COLUMN('0 Järjestäjätiedot'!D:D),FALSE),"")</f>
        <v/>
      </c>
      <c r="D116" s="204" t="str">
        <f>IFERROR(VLOOKUP(Opv.kohd.[[#This Row],[Y-tunnus]],'0 Järjestäjätiedot'!$A:$H,COLUMN('0 Järjestäjätiedot'!H:H),FALSE),"")</f>
        <v/>
      </c>
      <c r="E116" s="204">
        <f>IFERROR(VLOOKUP(Opv.kohd.[[#This Row],[Y-tunnus]],#REF!,COLUMN(#REF!),FALSE),0)</f>
        <v>0</v>
      </c>
      <c r="F116" s="204">
        <f>IFERROR(VLOOKUP(Opv.kohd.[[#This Row],[Y-tunnus]],#REF!,COLUMN(#REF!),FALSE),0)</f>
        <v>0</v>
      </c>
      <c r="G116" s="204">
        <f>IFERROR(VLOOKUP(Opv.kohd.[[#This Row],[Y-tunnus]],#REF!,COLUMN(#REF!),FALSE),0)</f>
        <v>0</v>
      </c>
      <c r="H116" s="204">
        <f>IFERROR(VLOOKUP(Opv.kohd.[[#This Row],[Y-tunnus]],#REF!,COLUMN(#REF!),FALSE),0)</f>
        <v>0</v>
      </c>
      <c r="I116" s="204">
        <f>IFERROR(VLOOKUP(Opv.kohd.[[#This Row],[Y-tunnus]],#REF!,COLUMN(#REF!),FALSE),0)</f>
        <v>0</v>
      </c>
      <c r="J116" s="204">
        <f>IFERROR(VLOOKUP(Opv.kohd.[[#This Row],[Y-tunnus]],#REF!,COLUMN(#REF!),FALSE),0)</f>
        <v>0</v>
      </c>
      <c r="K11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16" s="204">
        <f>Opv.kohd.[[#This Row],[Järjestämisluvan mukaiset 1]]+Opv.kohd.[[#This Row],[Yhteensä  1]]</f>
        <v>0</v>
      </c>
      <c r="M116" s="204">
        <f>IFERROR(VLOOKUP(Opv.kohd.[[#This Row],[Y-tunnus]],#REF!,COLUMN(#REF!),FALSE),0)</f>
        <v>0</v>
      </c>
      <c r="N116" s="204">
        <f>IFERROR(VLOOKUP(Opv.kohd.[[#This Row],[Y-tunnus]],#REF!,COLUMN(#REF!),FALSE),0)</f>
        <v>0</v>
      </c>
      <c r="O116" s="204">
        <f>IFERROR(VLOOKUP(Opv.kohd.[[#This Row],[Y-tunnus]],#REF!,COLUMN(#REF!),FALSE)+VLOOKUP(Opv.kohd.[[#This Row],[Y-tunnus]],#REF!,COLUMN(#REF!),FALSE),0)</f>
        <v>0</v>
      </c>
      <c r="P116" s="204">
        <f>Opv.kohd.[[#This Row],[Talousarvion perusteella kohdentamattomat]]+Opv.kohd.[[#This Row],[Talousarvion perusteella työvoimakoulutus 1]]+Opv.kohd.[[#This Row],[Lisätalousarvioiden perusteella]]</f>
        <v>0</v>
      </c>
      <c r="Q116" s="204">
        <f>IFERROR(VLOOKUP(Opv.kohd.[[#This Row],[Y-tunnus]],#REF!,COLUMN(#REF!),FALSE),0)</f>
        <v>0</v>
      </c>
      <c r="R116" s="210">
        <f>IFERROR(VLOOKUP(Opv.kohd.[[#This Row],[Y-tunnus]],#REF!,COLUMN(#REF!),FALSE)-(Opv.kohd.[[#This Row],[Kohdentamaton työvoima-koulutus 2]]+Opv.kohd.[[#This Row],[Maahan-muuttajien koulutus 2]]+Opv.kohd.[[#This Row],[Lisätalousarvioiden perusteella jaetut 2]]),0)</f>
        <v>0</v>
      </c>
      <c r="S116" s="210">
        <f>IFERROR(VLOOKUP(Opv.kohd.[[#This Row],[Y-tunnus]],#REF!,COLUMN(#REF!),FALSE)+VLOOKUP(Opv.kohd.[[#This Row],[Y-tunnus]],#REF!,COLUMN(#REF!),FALSE),0)</f>
        <v>0</v>
      </c>
      <c r="T116" s="210">
        <f>IFERROR(VLOOKUP(Opv.kohd.[[#This Row],[Y-tunnus]],#REF!,COLUMN(#REF!),FALSE)+VLOOKUP(Opv.kohd.[[#This Row],[Y-tunnus]],#REF!,COLUMN(#REF!),FALSE),0)</f>
        <v>0</v>
      </c>
      <c r="U11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16" s="210">
        <f>Opv.kohd.[[#This Row],[Kohdentamat-tomat 2]]+Opv.kohd.[[#This Row],[Kohdentamaton työvoima-koulutus 2]]+Opv.kohd.[[#This Row],[Maahan-muuttajien koulutus 2]]+Opv.kohd.[[#This Row],[Lisätalousarvioiden perusteella jaetut 2]]</f>
        <v>0</v>
      </c>
      <c r="W116" s="210">
        <f>Opv.kohd.[[#This Row],[Kohdentamat-tomat 2]]-(Opv.kohd.[[#This Row],[Järjestämisluvan mukaiset 1]]+Opv.kohd.[[#This Row],[Kohdentamat-tomat 1]]+Opv.kohd.[[#This Row],[Nuorisotyöt. väh. ja osaamistarp. vast., muu kuin työvoima-koulutus 1]]+Opv.kohd.[[#This Row],[Talousarvion perusteella kohdentamattomat]])</f>
        <v>0</v>
      </c>
      <c r="X116" s="210">
        <f>Opv.kohd.[[#This Row],[Kohdentamaton työvoima-koulutus 2]]-(Opv.kohd.[[#This Row],[Työvoima-koulutus 1]]+Opv.kohd.[[#This Row],[Nuorisotyöt. väh. ja osaamistarp. vast., työvoima-koulutus 1]]+Opv.kohd.[[#This Row],[Talousarvion perusteella työvoimakoulutus 1]])</f>
        <v>0</v>
      </c>
      <c r="Y116" s="210">
        <f>Opv.kohd.[[#This Row],[Maahan-muuttajien koulutus 2]]-Opv.kohd.[[#This Row],[Maahan-muuttajien koulutus 1]]</f>
        <v>0</v>
      </c>
      <c r="Z116" s="210">
        <f>Opv.kohd.[[#This Row],[Lisätalousarvioiden perusteella jaetut 2]]-Opv.kohd.[[#This Row],[Lisätalousarvioiden perusteella]]</f>
        <v>0</v>
      </c>
      <c r="AA116" s="210">
        <f>Opv.kohd.[[#This Row],[Toteutuneet opiskelijavuodet yhteensä 2]]-Opv.kohd.[[#This Row],[Vuoden 2018 tavoitteelliset opiskelijavuodet yhteensä 1]]</f>
        <v>0</v>
      </c>
      <c r="AB116" s="207">
        <f>IFERROR(VLOOKUP(Opv.kohd.[[#This Row],[Y-tunnus]],#REF!,3,FALSE),0)</f>
        <v>0</v>
      </c>
      <c r="AC116" s="207">
        <f>IFERROR(VLOOKUP(Opv.kohd.[[#This Row],[Y-tunnus]],#REF!,4,FALSE),0)</f>
        <v>0</v>
      </c>
      <c r="AD116" s="207">
        <f>IFERROR(VLOOKUP(Opv.kohd.[[#This Row],[Y-tunnus]],#REF!,5,FALSE),0)</f>
        <v>0</v>
      </c>
      <c r="AE116" s="207">
        <f>IFERROR(VLOOKUP(Opv.kohd.[[#This Row],[Y-tunnus]],#REF!,6,FALSE),0)</f>
        <v>0</v>
      </c>
      <c r="AF116" s="207">
        <f>IFERROR(VLOOKUP(Opv.kohd.[[#This Row],[Y-tunnus]],#REF!,7,FALSE),0)</f>
        <v>0</v>
      </c>
      <c r="AG116" s="207">
        <f>IFERROR(VLOOKUP(Opv.kohd.[[#This Row],[Y-tunnus]],#REF!,8,FALSE),0)</f>
        <v>0</v>
      </c>
      <c r="AH116" s="207">
        <f>IFERROR(VLOOKUP(Opv.kohd.[[#This Row],[Y-tunnus]],#REF!,9,FALSE),0)</f>
        <v>0</v>
      </c>
      <c r="AI116" s="207">
        <f>IFERROR(VLOOKUP(Opv.kohd.[[#This Row],[Y-tunnus]],#REF!,10,FALSE),0)</f>
        <v>0</v>
      </c>
      <c r="AJ116" s="204">
        <f>Opv.kohd.[[#This Row],[Järjestämisluvan mukaiset 4]]-Opv.kohd.[[#This Row],[Järjestämisluvan mukaiset 1]]</f>
        <v>0</v>
      </c>
      <c r="AK116" s="204">
        <f>Opv.kohd.[[#This Row],[Kohdentamat-tomat 4]]-Opv.kohd.[[#This Row],[Kohdentamat-tomat 1]]</f>
        <v>0</v>
      </c>
      <c r="AL116" s="204">
        <f>Opv.kohd.[[#This Row],[Työvoima-koulutus 4]]-Opv.kohd.[[#This Row],[Työvoima-koulutus 1]]</f>
        <v>0</v>
      </c>
      <c r="AM116" s="204">
        <f>Opv.kohd.[[#This Row],[Maahan-muuttajien koulutus 4]]-Opv.kohd.[[#This Row],[Maahan-muuttajien koulutus 1]]</f>
        <v>0</v>
      </c>
      <c r="AN116" s="204">
        <f>Opv.kohd.[[#This Row],[Nuorisotyöt. väh. ja osaamistarp. vast., muu kuin työvoima-koulutus 4]]-Opv.kohd.[[#This Row],[Nuorisotyöt. väh. ja osaamistarp. vast., muu kuin työvoima-koulutus 1]]</f>
        <v>0</v>
      </c>
      <c r="AO116" s="204">
        <f>Opv.kohd.[[#This Row],[Nuorisotyöt. väh. ja osaamistarp. vast., työvoima-koulutus 4]]-Opv.kohd.[[#This Row],[Nuorisotyöt. väh. ja osaamistarp. vast., työvoima-koulutus 1]]</f>
        <v>0</v>
      </c>
      <c r="AP116" s="204">
        <f>Opv.kohd.[[#This Row],[Yhteensä 4]]-Opv.kohd.[[#This Row],[Yhteensä  1]]</f>
        <v>0</v>
      </c>
      <c r="AQ116" s="204">
        <f>Opv.kohd.[[#This Row],[Ensikertaisella suoritepäätöksellä jaetut tavoitteelliset opiskelijavuodet yhteensä 4]]-Opv.kohd.[[#This Row],[Ensikertaisella suoritepäätöksellä jaetut tavoitteelliset opiskelijavuodet yhteensä 1]]</f>
        <v>0</v>
      </c>
      <c r="AR116" s="208">
        <f>IFERROR(Opv.kohd.[[#This Row],[Järjestämisluvan mukaiset 5]]/Opv.kohd.[[#This Row],[Järjestämisluvan mukaiset 4]],0)</f>
        <v>0</v>
      </c>
      <c r="AS116" s="208">
        <f>IFERROR(Opv.kohd.[[#This Row],[Kohdentamat-tomat 5]]/Opv.kohd.[[#This Row],[Kohdentamat-tomat 4]],0)</f>
        <v>0</v>
      </c>
      <c r="AT116" s="208">
        <f>IFERROR(Opv.kohd.[[#This Row],[Työvoima-koulutus 5]]/Opv.kohd.[[#This Row],[Työvoima-koulutus 4]],0)</f>
        <v>0</v>
      </c>
      <c r="AU116" s="208">
        <f>IFERROR(Opv.kohd.[[#This Row],[Maahan-muuttajien koulutus 5]]/Opv.kohd.[[#This Row],[Maahan-muuttajien koulutus 4]],0)</f>
        <v>0</v>
      </c>
      <c r="AV116" s="208">
        <f>IFERROR(Opv.kohd.[[#This Row],[Nuorisotyöt. väh. ja osaamistarp. vast., muu kuin työvoima-koulutus 5]]/Opv.kohd.[[#This Row],[Nuorisotyöt. väh. ja osaamistarp. vast., muu kuin työvoima-koulutus 4]],0)</f>
        <v>0</v>
      </c>
      <c r="AW116" s="208">
        <f>IFERROR(Opv.kohd.[[#This Row],[Nuorisotyöt. väh. ja osaamistarp. vast., työvoima-koulutus 5]]/Opv.kohd.[[#This Row],[Nuorisotyöt. väh. ja osaamistarp. vast., työvoima-koulutus 4]],0)</f>
        <v>0</v>
      </c>
      <c r="AX116" s="208">
        <f>IFERROR(Opv.kohd.[[#This Row],[Yhteensä 5]]/Opv.kohd.[[#This Row],[Yhteensä 4]],0)</f>
        <v>0</v>
      </c>
      <c r="AY116" s="208">
        <f>IFERROR(Opv.kohd.[[#This Row],[Ensikertaisella suoritepäätöksellä jaetut tavoitteelliset opiskelijavuodet yhteensä 5]]/Opv.kohd.[[#This Row],[Ensikertaisella suoritepäätöksellä jaetut tavoitteelliset opiskelijavuodet yhteensä 4]],0)</f>
        <v>0</v>
      </c>
      <c r="AZ116" s="207">
        <f>Opv.kohd.[[#This Row],[Yhteensä 7a]]-Opv.kohd.[[#This Row],[Työvoima-koulutus 7a]]</f>
        <v>0</v>
      </c>
      <c r="BA116" s="207">
        <f>IFERROR(VLOOKUP(Opv.kohd.[[#This Row],[Y-tunnus]],#REF!,COLUMN(#REF!),FALSE),0)</f>
        <v>0</v>
      </c>
      <c r="BB116" s="207">
        <f>IFERROR(VLOOKUP(Opv.kohd.[[#This Row],[Y-tunnus]],#REF!,COLUMN(#REF!),FALSE),0)</f>
        <v>0</v>
      </c>
      <c r="BC116" s="207">
        <f>Opv.kohd.[[#This Row],[Muu kuin työvoima-koulutus 7c]]-Opv.kohd.[[#This Row],[Muu kuin työvoima-koulutus 7a]]</f>
        <v>0</v>
      </c>
      <c r="BD116" s="207">
        <f>Opv.kohd.[[#This Row],[Työvoima-koulutus 7c]]-Opv.kohd.[[#This Row],[Työvoima-koulutus 7a]]</f>
        <v>0</v>
      </c>
      <c r="BE116" s="207">
        <f>Opv.kohd.[[#This Row],[Yhteensä 7c]]-Opv.kohd.[[#This Row],[Yhteensä 7a]]</f>
        <v>0</v>
      </c>
      <c r="BF116" s="207">
        <f>Opv.kohd.[[#This Row],[Yhteensä 7c]]-Opv.kohd.[[#This Row],[Työvoima-koulutus 7c]]</f>
        <v>0</v>
      </c>
      <c r="BG116" s="207">
        <f>IFERROR(VLOOKUP(Opv.kohd.[[#This Row],[Y-tunnus]],#REF!,COLUMN(#REF!),FALSE),0)</f>
        <v>0</v>
      </c>
      <c r="BH116" s="207">
        <f>IFERROR(VLOOKUP(Opv.kohd.[[#This Row],[Y-tunnus]],#REF!,COLUMN(#REF!),FALSE),0)</f>
        <v>0</v>
      </c>
      <c r="BI116" s="207">
        <f>IFERROR(VLOOKUP(Opv.kohd.[[#This Row],[Y-tunnus]],#REF!,COLUMN(#REF!),FALSE),0)</f>
        <v>0</v>
      </c>
      <c r="BJ116" s="207">
        <f>IFERROR(VLOOKUP(Opv.kohd.[[#This Row],[Y-tunnus]],#REF!,COLUMN(#REF!),FALSE),0)</f>
        <v>0</v>
      </c>
      <c r="BK116" s="207">
        <f>Opv.kohd.[[#This Row],[Muu kuin työvoima-koulutus 7d]]+Opv.kohd.[[#This Row],[Työvoima-koulutus 7d]]</f>
        <v>0</v>
      </c>
      <c r="BL116" s="207">
        <f>Opv.kohd.[[#This Row],[Muu kuin työvoima-koulutus 7c]]-Opv.kohd.[[#This Row],[Muu kuin työvoima-koulutus 7d]]</f>
        <v>0</v>
      </c>
      <c r="BM116" s="207">
        <f>Opv.kohd.[[#This Row],[Työvoima-koulutus 7c]]-Opv.kohd.[[#This Row],[Työvoima-koulutus 7d]]</f>
        <v>0</v>
      </c>
      <c r="BN116" s="207">
        <f>Opv.kohd.[[#This Row],[Yhteensä 7c]]-Opv.kohd.[[#This Row],[Yhteensä 7d]]</f>
        <v>0</v>
      </c>
      <c r="BO116" s="207">
        <f>Opv.kohd.[[#This Row],[Muu kuin työvoima-koulutus 7e]]-(Opv.kohd.[[#This Row],[Järjestämisluvan mukaiset 4]]+Opv.kohd.[[#This Row],[Kohdentamat-tomat 4]]+Opv.kohd.[[#This Row],[Maahan-muuttajien koulutus 4]]+Opv.kohd.[[#This Row],[Nuorisotyöt. väh. ja osaamistarp. vast., muu kuin työvoima-koulutus 4]])</f>
        <v>0</v>
      </c>
      <c r="BP116" s="207">
        <f>Opv.kohd.[[#This Row],[Työvoima-koulutus 7e]]-(Opv.kohd.[[#This Row],[Työvoima-koulutus 4]]+Opv.kohd.[[#This Row],[Nuorisotyöt. väh. ja osaamistarp. vast., työvoima-koulutus 4]])</f>
        <v>0</v>
      </c>
      <c r="BQ116" s="207">
        <f>Opv.kohd.[[#This Row],[Yhteensä 7e]]-Opv.kohd.[[#This Row],[Ensikertaisella suoritepäätöksellä jaetut tavoitteelliset opiskelijavuodet yhteensä 4]]</f>
        <v>0</v>
      </c>
      <c r="BR116" s="263">
        <v>0</v>
      </c>
      <c r="BS116" s="263">
        <v>10</v>
      </c>
      <c r="BT116" s="263">
        <v>0</v>
      </c>
      <c r="BU116" s="263">
        <v>0</v>
      </c>
      <c r="BV116" s="263">
        <v>0</v>
      </c>
      <c r="BW116" s="263">
        <v>0</v>
      </c>
      <c r="BX116" s="263">
        <v>10</v>
      </c>
      <c r="BY116" s="263">
        <v>10</v>
      </c>
      <c r="BZ116" s="207">
        <f t="shared" si="17"/>
        <v>0</v>
      </c>
      <c r="CA116" s="207">
        <f t="shared" si="18"/>
        <v>10</v>
      </c>
      <c r="CB116" s="207">
        <f t="shared" si="19"/>
        <v>0</v>
      </c>
      <c r="CC116" s="207">
        <f t="shared" si="20"/>
        <v>0</v>
      </c>
      <c r="CD116" s="207">
        <f t="shared" si="21"/>
        <v>0</v>
      </c>
      <c r="CE116" s="207">
        <f t="shared" si="22"/>
        <v>0</v>
      </c>
      <c r="CF116" s="207">
        <f t="shared" si="23"/>
        <v>10</v>
      </c>
      <c r="CG116" s="207">
        <f t="shared" si="24"/>
        <v>10</v>
      </c>
      <c r="CH116" s="207">
        <f>Opv.kohd.[[#This Row],[Tavoitteelliset opiskelijavuodet yhteensä 9]]-Opv.kohd.[[#This Row],[Työvoima-koulutus 9]]-Opv.kohd.[[#This Row],[Nuorisotyöt. väh. ja osaamistarp. vast., työvoima-koulutus 9]]-Opv.kohd.[[#This Row],[Muu kuin työvoima-koulutus 7e]]</f>
        <v>10</v>
      </c>
      <c r="CI116" s="207">
        <f>(Opv.kohd.[[#This Row],[Työvoima-koulutus 9]]+Opv.kohd.[[#This Row],[Nuorisotyöt. väh. ja osaamistarp. vast., työvoima-koulutus 9]])-Opv.kohd.[[#This Row],[Työvoima-koulutus 7e]]</f>
        <v>0</v>
      </c>
      <c r="CJ116" s="207">
        <f>Opv.kohd.[[#This Row],[Tavoitteelliset opiskelijavuodet yhteensä 9]]-Opv.kohd.[[#This Row],[Yhteensä 7e]]</f>
        <v>10</v>
      </c>
      <c r="CK116" s="207">
        <f>Opv.kohd.[[#This Row],[Järjestämisluvan mukaiset 4]]+Opv.kohd.[[#This Row],[Järjestämisluvan mukaiset 13]]</f>
        <v>0</v>
      </c>
      <c r="CL116" s="207">
        <f>Opv.kohd.[[#This Row],[Kohdentamat-tomat 4]]+Opv.kohd.[[#This Row],[Kohdentamat-tomat 13]]</f>
        <v>0</v>
      </c>
      <c r="CM116" s="207">
        <f>Opv.kohd.[[#This Row],[Työvoima-koulutus 4]]+Opv.kohd.[[#This Row],[Työvoima-koulutus 13]]</f>
        <v>0</v>
      </c>
      <c r="CN116" s="207">
        <f>Opv.kohd.[[#This Row],[Maahan-muuttajien koulutus 4]]+Opv.kohd.[[#This Row],[Maahan-muuttajien koulutus 13]]</f>
        <v>0</v>
      </c>
      <c r="CO116" s="207">
        <f>Opv.kohd.[[#This Row],[Nuorisotyöt. väh. ja osaamistarp. vast., muu kuin työvoima-koulutus 4]]+Opv.kohd.[[#This Row],[Nuorisotyöt. väh. ja osaamistarp. vast., muu kuin työvoima-koulutus 13]]</f>
        <v>0</v>
      </c>
      <c r="CP116" s="207">
        <f>Opv.kohd.[[#This Row],[Nuorisotyöt. väh. ja osaamistarp. vast., työvoima-koulutus 4]]+Opv.kohd.[[#This Row],[Nuorisotyöt. väh. ja osaamistarp. vast., työvoima-koulutus 13]]</f>
        <v>0</v>
      </c>
      <c r="CQ116" s="207">
        <f>Opv.kohd.[[#This Row],[Yhteensä 4]]+Opv.kohd.[[#This Row],[Yhteensä 13]]</f>
        <v>0</v>
      </c>
      <c r="CR116" s="207">
        <f>Opv.kohd.[[#This Row],[Ensikertaisella suoritepäätöksellä jaetut tavoitteelliset opiskelijavuodet yhteensä 4]]+Opv.kohd.[[#This Row],[Tavoitteelliset opiskelijavuodet yhteensä 13]]</f>
        <v>0</v>
      </c>
      <c r="CS116" s="120">
        <v>0</v>
      </c>
      <c r="CT116" s="120">
        <v>0</v>
      </c>
      <c r="CU116" s="120">
        <v>0</v>
      </c>
      <c r="CV116" s="120">
        <v>0</v>
      </c>
      <c r="CW116" s="120">
        <v>0</v>
      </c>
      <c r="CX116" s="120">
        <v>0</v>
      </c>
      <c r="CY116" s="120">
        <v>0</v>
      </c>
      <c r="CZ116" s="120">
        <v>0</v>
      </c>
      <c r="DA116" s="209">
        <f>IFERROR(Opv.kohd.[[#This Row],[Järjestämisluvan mukaiset 13]]/Opv.kohd.[[#This Row],[Järjestämisluvan mukaiset 12]],0)</f>
        <v>0</v>
      </c>
      <c r="DB116" s="209">
        <f>IFERROR(Opv.kohd.[[#This Row],[Kohdentamat-tomat 13]]/Opv.kohd.[[#This Row],[Kohdentamat-tomat 12]],0)</f>
        <v>0</v>
      </c>
      <c r="DC116" s="209">
        <f>IFERROR(Opv.kohd.[[#This Row],[Työvoima-koulutus 13]]/Opv.kohd.[[#This Row],[Työvoima-koulutus 12]],0)</f>
        <v>0</v>
      </c>
      <c r="DD116" s="209">
        <f>IFERROR(Opv.kohd.[[#This Row],[Maahan-muuttajien koulutus 13]]/Opv.kohd.[[#This Row],[Maahan-muuttajien koulutus 12]],0)</f>
        <v>0</v>
      </c>
      <c r="DE116" s="209">
        <f>IFERROR(Opv.kohd.[[#This Row],[Nuorisotyöt. väh. ja osaamistarp. vast., muu kuin työvoima-koulutus 13]]/Opv.kohd.[[#This Row],[Nuorisotyöt. väh. ja osaamistarp. vast., muu kuin työvoima-koulutus 12]],0)</f>
        <v>0</v>
      </c>
      <c r="DF116" s="209">
        <f>IFERROR(Opv.kohd.[[#This Row],[Nuorisotyöt. väh. ja osaamistarp. vast., työvoima-koulutus 13]]/Opv.kohd.[[#This Row],[Nuorisotyöt. väh. ja osaamistarp. vast., työvoima-koulutus 12]],0)</f>
        <v>0</v>
      </c>
      <c r="DG116" s="209">
        <f>IFERROR(Opv.kohd.[[#This Row],[Yhteensä 13]]/Opv.kohd.[[#This Row],[Yhteensä 12]],0)</f>
        <v>0</v>
      </c>
      <c r="DH116" s="209">
        <f>IFERROR(Opv.kohd.[[#This Row],[Tavoitteelliset opiskelijavuodet yhteensä 13]]/Opv.kohd.[[#This Row],[Tavoitteelliset opiskelijavuodet yhteensä 12]],0)</f>
        <v>0</v>
      </c>
      <c r="DI116" s="207">
        <f>Opv.kohd.[[#This Row],[Järjestämisluvan mukaiset 12]]-Opv.kohd.[[#This Row],[Järjestämisluvan mukaiset 9]]</f>
        <v>0</v>
      </c>
      <c r="DJ116" s="207">
        <f>Opv.kohd.[[#This Row],[Kohdentamat-tomat 12]]-Opv.kohd.[[#This Row],[Kohdentamat-tomat 9]]</f>
        <v>-10</v>
      </c>
      <c r="DK116" s="207">
        <f>Opv.kohd.[[#This Row],[Työvoima-koulutus 12]]-Opv.kohd.[[#This Row],[Työvoima-koulutus 9]]</f>
        <v>0</v>
      </c>
      <c r="DL116" s="207">
        <f>Opv.kohd.[[#This Row],[Maahan-muuttajien koulutus 12]]-Opv.kohd.[[#This Row],[Maahan-muuttajien koulutus 9]]</f>
        <v>0</v>
      </c>
      <c r="DM116" s="207">
        <f>Opv.kohd.[[#This Row],[Nuorisotyöt. väh. ja osaamistarp. vast., muu kuin työvoima-koulutus 12]]-Opv.kohd.[[#This Row],[Nuorisotyöt. väh. ja osaamistarp. vast., muu kuin työvoima-koulutus 9]]</f>
        <v>0</v>
      </c>
      <c r="DN116" s="207">
        <f>Opv.kohd.[[#This Row],[Nuorisotyöt. väh. ja osaamistarp. vast., työvoima-koulutus 12]]-Opv.kohd.[[#This Row],[Nuorisotyöt. väh. ja osaamistarp. vast., työvoima-koulutus 9]]</f>
        <v>0</v>
      </c>
      <c r="DO116" s="207">
        <f>Opv.kohd.[[#This Row],[Yhteensä 12]]-Opv.kohd.[[#This Row],[Yhteensä 9]]</f>
        <v>-10</v>
      </c>
      <c r="DP116" s="207">
        <f>Opv.kohd.[[#This Row],[Tavoitteelliset opiskelijavuodet yhteensä 12]]-Opv.kohd.[[#This Row],[Tavoitteelliset opiskelijavuodet yhteensä 9]]</f>
        <v>-10</v>
      </c>
      <c r="DQ116" s="209">
        <f>IFERROR(Opv.kohd.[[#This Row],[Järjestämisluvan mukaiset 15]]/Opv.kohd.[[#This Row],[Järjestämisluvan mukaiset 9]],0)</f>
        <v>0</v>
      </c>
      <c r="DR116" s="209">
        <f t="shared" si="25"/>
        <v>0</v>
      </c>
      <c r="DS116" s="209">
        <f t="shared" si="26"/>
        <v>0</v>
      </c>
      <c r="DT116" s="209">
        <f t="shared" si="27"/>
        <v>0</v>
      </c>
      <c r="DU116" s="209">
        <f t="shared" si="28"/>
        <v>0</v>
      </c>
      <c r="DV116" s="209">
        <f t="shared" si="29"/>
        <v>0</v>
      </c>
      <c r="DW116" s="209">
        <f t="shared" si="30"/>
        <v>0</v>
      </c>
      <c r="DX116" s="209">
        <f t="shared" si="31"/>
        <v>0</v>
      </c>
    </row>
    <row r="117" spans="1:128" x14ac:dyDescent="0.25">
      <c r="A117" s="204" t="e">
        <f>IF(INDEX(#REF!,ROW(117:117)-1,1)=0,"",INDEX(#REF!,ROW(117:117)-1,1))</f>
        <v>#REF!</v>
      </c>
      <c r="B117" s="205" t="str">
        <f>IFERROR(VLOOKUP(Opv.kohd.[[#This Row],[Y-tunnus]],'0 Järjestäjätiedot'!$A:$H,2,FALSE),"")</f>
        <v/>
      </c>
      <c r="C117" s="204" t="str">
        <f>IFERROR(VLOOKUP(Opv.kohd.[[#This Row],[Y-tunnus]],'0 Järjestäjätiedot'!$A:$H,COLUMN('0 Järjestäjätiedot'!D:D),FALSE),"")</f>
        <v/>
      </c>
      <c r="D117" s="204" t="str">
        <f>IFERROR(VLOOKUP(Opv.kohd.[[#This Row],[Y-tunnus]],'0 Järjestäjätiedot'!$A:$H,COLUMN('0 Järjestäjätiedot'!H:H),FALSE),"")</f>
        <v/>
      </c>
      <c r="E117" s="204">
        <f>IFERROR(VLOOKUP(Opv.kohd.[[#This Row],[Y-tunnus]],#REF!,COLUMN(#REF!),FALSE),0)</f>
        <v>0</v>
      </c>
      <c r="F117" s="204">
        <f>IFERROR(VLOOKUP(Opv.kohd.[[#This Row],[Y-tunnus]],#REF!,COLUMN(#REF!),FALSE),0)</f>
        <v>0</v>
      </c>
      <c r="G117" s="204">
        <f>IFERROR(VLOOKUP(Opv.kohd.[[#This Row],[Y-tunnus]],#REF!,COLUMN(#REF!),FALSE),0)</f>
        <v>0</v>
      </c>
      <c r="H117" s="204">
        <f>IFERROR(VLOOKUP(Opv.kohd.[[#This Row],[Y-tunnus]],#REF!,COLUMN(#REF!),FALSE),0)</f>
        <v>0</v>
      </c>
      <c r="I117" s="204">
        <f>IFERROR(VLOOKUP(Opv.kohd.[[#This Row],[Y-tunnus]],#REF!,COLUMN(#REF!),FALSE),0)</f>
        <v>0</v>
      </c>
      <c r="J117" s="204">
        <f>IFERROR(VLOOKUP(Opv.kohd.[[#This Row],[Y-tunnus]],#REF!,COLUMN(#REF!),FALSE),0)</f>
        <v>0</v>
      </c>
      <c r="K11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17" s="204">
        <f>Opv.kohd.[[#This Row],[Järjestämisluvan mukaiset 1]]+Opv.kohd.[[#This Row],[Yhteensä  1]]</f>
        <v>0</v>
      </c>
      <c r="M117" s="204">
        <f>IFERROR(VLOOKUP(Opv.kohd.[[#This Row],[Y-tunnus]],#REF!,COLUMN(#REF!),FALSE),0)</f>
        <v>0</v>
      </c>
      <c r="N117" s="204">
        <f>IFERROR(VLOOKUP(Opv.kohd.[[#This Row],[Y-tunnus]],#REF!,COLUMN(#REF!),FALSE),0)</f>
        <v>0</v>
      </c>
      <c r="O117" s="204">
        <f>IFERROR(VLOOKUP(Opv.kohd.[[#This Row],[Y-tunnus]],#REF!,COLUMN(#REF!),FALSE)+VLOOKUP(Opv.kohd.[[#This Row],[Y-tunnus]],#REF!,COLUMN(#REF!),FALSE),0)</f>
        <v>0</v>
      </c>
      <c r="P117" s="204">
        <f>Opv.kohd.[[#This Row],[Talousarvion perusteella kohdentamattomat]]+Opv.kohd.[[#This Row],[Talousarvion perusteella työvoimakoulutus 1]]+Opv.kohd.[[#This Row],[Lisätalousarvioiden perusteella]]</f>
        <v>0</v>
      </c>
      <c r="Q117" s="204">
        <f>IFERROR(VLOOKUP(Opv.kohd.[[#This Row],[Y-tunnus]],#REF!,COLUMN(#REF!),FALSE),0)</f>
        <v>0</v>
      </c>
      <c r="R117" s="210">
        <f>IFERROR(VLOOKUP(Opv.kohd.[[#This Row],[Y-tunnus]],#REF!,COLUMN(#REF!),FALSE)-(Opv.kohd.[[#This Row],[Kohdentamaton työvoima-koulutus 2]]+Opv.kohd.[[#This Row],[Maahan-muuttajien koulutus 2]]+Opv.kohd.[[#This Row],[Lisätalousarvioiden perusteella jaetut 2]]),0)</f>
        <v>0</v>
      </c>
      <c r="S117" s="210">
        <f>IFERROR(VLOOKUP(Opv.kohd.[[#This Row],[Y-tunnus]],#REF!,COLUMN(#REF!),FALSE)+VLOOKUP(Opv.kohd.[[#This Row],[Y-tunnus]],#REF!,COLUMN(#REF!),FALSE),0)</f>
        <v>0</v>
      </c>
      <c r="T117" s="210">
        <f>IFERROR(VLOOKUP(Opv.kohd.[[#This Row],[Y-tunnus]],#REF!,COLUMN(#REF!),FALSE)+VLOOKUP(Opv.kohd.[[#This Row],[Y-tunnus]],#REF!,COLUMN(#REF!),FALSE),0)</f>
        <v>0</v>
      </c>
      <c r="U11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17" s="210">
        <f>Opv.kohd.[[#This Row],[Kohdentamat-tomat 2]]+Opv.kohd.[[#This Row],[Kohdentamaton työvoima-koulutus 2]]+Opv.kohd.[[#This Row],[Maahan-muuttajien koulutus 2]]+Opv.kohd.[[#This Row],[Lisätalousarvioiden perusteella jaetut 2]]</f>
        <v>0</v>
      </c>
      <c r="W117" s="210">
        <f>Opv.kohd.[[#This Row],[Kohdentamat-tomat 2]]-(Opv.kohd.[[#This Row],[Järjestämisluvan mukaiset 1]]+Opv.kohd.[[#This Row],[Kohdentamat-tomat 1]]+Opv.kohd.[[#This Row],[Nuorisotyöt. väh. ja osaamistarp. vast., muu kuin työvoima-koulutus 1]]+Opv.kohd.[[#This Row],[Talousarvion perusteella kohdentamattomat]])</f>
        <v>0</v>
      </c>
      <c r="X117" s="210">
        <f>Opv.kohd.[[#This Row],[Kohdentamaton työvoima-koulutus 2]]-(Opv.kohd.[[#This Row],[Työvoima-koulutus 1]]+Opv.kohd.[[#This Row],[Nuorisotyöt. väh. ja osaamistarp. vast., työvoima-koulutus 1]]+Opv.kohd.[[#This Row],[Talousarvion perusteella työvoimakoulutus 1]])</f>
        <v>0</v>
      </c>
      <c r="Y117" s="210">
        <f>Opv.kohd.[[#This Row],[Maahan-muuttajien koulutus 2]]-Opv.kohd.[[#This Row],[Maahan-muuttajien koulutus 1]]</f>
        <v>0</v>
      </c>
      <c r="Z117" s="210">
        <f>Opv.kohd.[[#This Row],[Lisätalousarvioiden perusteella jaetut 2]]-Opv.kohd.[[#This Row],[Lisätalousarvioiden perusteella]]</f>
        <v>0</v>
      </c>
      <c r="AA117" s="210">
        <f>Opv.kohd.[[#This Row],[Toteutuneet opiskelijavuodet yhteensä 2]]-Opv.kohd.[[#This Row],[Vuoden 2018 tavoitteelliset opiskelijavuodet yhteensä 1]]</f>
        <v>0</v>
      </c>
      <c r="AB117" s="207">
        <f>IFERROR(VLOOKUP(Opv.kohd.[[#This Row],[Y-tunnus]],#REF!,3,FALSE),0)</f>
        <v>0</v>
      </c>
      <c r="AC117" s="207">
        <f>IFERROR(VLOOKUP(Opv.kohd.[[#This Row],[Y-tunnus]],#REF!,4,FALSE),0)</f>
        <v>0</v>
      </c>
      <c r="AD117" s="207">
        <f>IFERROR(VLOOKUP(Opv.kohd.[[#This Row],[Y-tunnus]],#REF!,5,FALSE),0)</f>
        <v>0</v>
      </c>
      <c r="AE117" s="207">
        <f>IFERROR(VLOOKUP(Opv.kohd.[[#This Row],[Y-tunnus]],#REF!,6,FALSE),0)</f>
        <v>0</v>
      </c>
      <c r="AF117" s="207">
        <f>IFERROR(VLOOKUP(Opv.kohd.[[#This Row],[Y-tunnus]],#REF!,7,FALSE),0)</f>
        <v>0</v>
      </c>
      <c r="AG117" s="207">
        <f>IFERROR(VLOOKUP(Opv.kohd.[[#This Row],[Y-tunnus]],#REF!,8,FALSE),0)</f>
        <v>0</v>
      </c>
      <c r="AH117" s="207">
        <f>IFERROR(VLOOKUP(Opv.kohd.[[#This Row],[Y-tunnus]],#REF!,9,FALSE),0)</f>
        <v>0</v>
      </c>
      <c r="AI117" s="207">
        <f>IFERROR(VLOOKUP(Opv.kohd.[[#This Row],[Y-tunnus]],#REF!,10,FALSE),0)</f>
        <v>0</v>
      </c>
      <c r="AJ117" s="204">
        <f>Opv.kohd.[[#This Row],[Järjestämisluvan mukaiset 4]]-Opv.kohd.[[#This Row],[Järjestämisluvan mukaiset 1]]</f>
        <v>0</v>
      </c>
      <c r="AK117" s="204">
        <f>Opv.kohd.[[#This Row],[Kohdentamat-tomat 4]]-Opv.kohd.[[#This Row],[Kohdentamat-tomat 1]]</f>
        <v>0</v>
      </c>
      <c r="AL117" s="204">
        <f>Opv.kohd.[[#This Row],[Työvoima-koulutus 4]]-Opv.kohd.[[#This Row],[Työvoima-koulutus 1]]</f>
        <v>0</v>
      </c>
      <c r="AM117" s="204">
        <f>Opv.kohd.[[#This Row],[Maahan-muuttajien koulutus 4]]-Opv.kohd.[[#This Row],[Maahan-muuttajien koulutus 1]]</f>
        <v>0</v>
      </c>
      <c r="AN117" s="204">
        <f>Opv.kohd.[[#This Row],[Nuorisotyöt. väh. ja osaamistarp. vast., muu kuin työvoima-koulutus 4]]-Opv.kohd.[[#This Row],[Nuorisotyöt. väh. ja osaamistarp. vast., muu kuin työvoima-koulutus 1]]</f>
        <v>0</v>
      </c>
      <c r="AO117" s="204">
        <f>Opv.kohd.[[#This Row],[Nuorisotyöt. väh. ja osaamistarp. vast., työvoima-koulutus 4]]-Opv.kohd.[[#This Row],[Nuorisotyöt. väh. ja osaamistarp. vast., työvoima-koulutus 1]]</f>
        <v>0</v>
      </c>
      <c r="AP117" s="204">
        <f>Opv.kohd.[[#This Row],[Yhteensä 4]]-Opv.kohd.[[#This Row],[Yhteensä  1]]</f>
        <v>0</v>
      </c>
      <c r="AQ117" s="204">
        <f>Opv.kohd.[[#This Row],[Ensikertaisella suoritepäätöksellä jaetut tavoitteelliset opiskelijavuodet yhteensä 4]]-Opv.kohd.[[#This Row],[Ensikertaisella suoritepäätöksellä jaetut tavoitteelliset opiskelijavuodet yhteensä 1]]</f>
        <v>0</v>
      </c>
      <c r="AR117" s="208">
        <f>IFERROR(Opv.kohd.[[#This Row],[Järjestämisluvan mukaiset 5]]/Opv.kohd.[[#This Row],[Järjestämisluvan mukaiset 4]],0)</f>
        <v>0</v>
      </c>
      <c r="AS117" s="208">
        <f>IFERROR(Opv.kohd.[[#This Row],[Kohdentamat-tomat 5]]/Opv.kohd.[[#This Row],[Kohdentamat-tomat 4]],0)</f>
        <v>0</v>
      </c>
      <c r="AT117" s="208">
        <f>IFERROR(Opv.kohd.[[#This Row],[Työvoima-koulutus 5]]/Opv.kohd.[[#This Row],[Työvoima-koulutus 4]],0)</f>
        <v>0</v>
      </c>
      <c r="AU117" s="208">
        <f>IFERROR(Opv.kohd.[[#This Row],[Maahan-muuttajien koulutus 5]]/Opv.kohd.[[#This Row],[Maahan-muuttajien koulutus 4]],0)</f>
        <v>0</v>
      </c>
      <c r="AV117" s="208">
        <f>IFERROR(Opv.kohd.[[#This Row],[Nuorisotyöt. väh. ja osaamistarp. vast., muu kuin työvoima-koulutus 5]]/Opv.kohd.[[#This Row],[Nuorisotyöt. väh. ja osaamistarp. vast., muu kuin työvoima-koulutus 4]],0)</f>
        <v>0</v>
      </c>
      <c r="AW117" s="208">
        <f>IFERROR(Opv.kohd.[[#This Row],[Nuorisotyöt. väh. ja osaamistarp. vast., työvoima-koulutus 5]]/Opv.kohd.[[#This Row],[Nuorisotyöt. väh. ja osaamistarp. vast., työvoima-koulutus 4]],0)</f>
        <v>0</v>
      </c>
      <c r="AX117" s="208">
        <f>IFERROR(Opv.kohd.[[#This Row],[Yhteensä 5]]/Opv.kohd.[[#This Row],[Yhteensä 4]],0)</f>
        <v>0</v>
      </c>
      <c r="AY117" s="208">
        <f>IFERROR(Opv.kohd.[[#This Row],[Ensikertaisella suoritepäätöksellä jaetut tavoitteelliset opiskelijavuodet yhteensä 5]]/Opv.kohd.[[#This Row],[Ensikertaisella suoritepäätöksellä jaetut tavoitteelliset opiskelijavuodet yhteensä 4]],0)</f>
        <v>0</v>
      </c>
      <c r="AZ117" s="207">
        <f>Opv.kohd.[[#This Row],[Yhteensä 7a]]-Opv.kohd.[[#This Row],[Työvoima-koulutus 7a]]</f>
        <v>0</v>
      </c>
      <c r="BA117" s="207">
        <f>IFERROR(VLOOKUP(Opv.kohd.[[#This Row],[Y-tunnus]],#REF!,COLUMN(#REF!),FALSE),0)</f>
        <v>0</v>
      </c>
      <c r="BB117" s="207">
        <f>IFERROR(VLOOKUP(Opv.kohd.[[#This Row],[Y-tunnus]],#REF!,COLUMN(#REF!),FALSE),0)</f>
        <v>0</v>
      </c>
      <c r="BC117" s="207">
        <f>Opv.kohd.[[#This Row],[Muu kuin työvoima-koulutus 7c]]-Opv.kohd.[[#This Row],[Muu kuin työvoima-koulutus 7a]]</f>
        <v>0</v>
      </c>
      <c r="BD117" s="207">
        <f>Opv.kohd.[[#This Row],[Työvoima-koulutus 7c]]-Opv.kohd.[[#This Row],[Työvoima-koulutus 7a]]</f>
        <v>0</v>
      </c>
      <c r="BE117" s="207">
        <f>Opv.kohd.[[#This Row],[Yhteensä 7c]]-Opv.kohd.[[#This Row],[Yhteensä 7a]]</f>
        <v>0</v>
      </c>
      <c r="BF117" s="207">
        <f>Opv.kohd.[[#This Row],[Yhteensä 7c]]-Opv.kohd.[[#This Row],[Työvoima-koulutus 7c]]</f>
        <v>0</v>
      </c>
      <c r="BG117" s="207">
        <f>IFERROR(VLOOKUP(Opv.kohd.[[#This Row],[Y-tunnus]],#REF!,COLUMN(#REF!),FALSE),0)</f>
        <v>0</v>
      </c>
      <c r="BH117" s="207">
        <f>IFERROR(VLOOKUP(Opv.kohd.[[#This Row],[Y-tunnus]],#REF!,COLUMN(#REF!),FALSE),0)</f>
        <v>0</v>
      </c>
      <c r="BI117" s="207">
        <f>IFERROR(VLOOKUP(Opv.kohd.[[#This Row],[Y-tunnus]],#REF!,COLUMN(#REF!),FALSE),0)</f>
        <v>0</v>
      </c>
      <c r="BJ117" s="207">
        <f>IFERROR(VLOOKUP(Opv.kohd.[[#This Row],[Y-tunnus]],#REF!,COLUMN(#REF!),FALSE),0)</f>
        <v>0</v>
      </c>
      <c r="BK117" s="207">
        <f>Opv.kohd.[[#This Row],[Muu kuin työvoima-koulutus 7d]]+Opv.kohd.[[#This Row],[Työvoima-koulutus 7d]]</f>
        <v>0</v>
      </c>
      <c r="BL117" s="207">
        <f>Opv.kohd.[[#This Row],[Muu kuin työvoima-koulutus 7c]]-Opv.kohd.[[#This Row],[Muu kuin työvoima-koulutus 7d]]</f>
        <v>0</v>
      </c>
      <c r="BM117" s="207">
        <f>Opv.kohd.[[#This Row],[Työvoima-koulutus 7c]]-Opv.kohd.[[#This Row],[Työvoima-koulutus 7d]]</f>
        <v>0</v>
      </c>
      <c r="BN117" s="207">
        <f>Opv.kohd.[[#This Row],[Yhteensä 7c]]-Opv.kohd.[[#This Row],[Yhteensä 7d]]</f>
        <v>0</v>
      </c>
      <c r="BO117" s="207">
        <f>Opv.kohd.[[#This Row],[Muu kuin työvoima-koulutus 7e]]-(Opv.kohd.[[#This Row],[Järjestämisluvan mukaiset 4]]+Opv.kohd.[[#This Row],[Kohdentamat-tomat 4]]+Opv.kohd.[[#This Row],[Maahan-muuttajien koulutus 4]]+Opv.kohd.[[#This Row],[Nuorisotyöt. väh. ja osaamistarp. vast., muu kuin työvoima-koulutus 4]])</f>
        <v>0</v>
      </c>
      <c r="BP117" s="207">
        <f>Opv.kohd.[[#This Row],[Työvoima-koulutus 7e]]-(Opv.kohd.[[#This Row],[Työvoima-koulutus 4]]+Opv.kohd.[[#This Row],[Nuorisotyöt. väh. ja osaamistarp. vast., työvoima-koulutus 4]])</f>
        <v>0</v>
      </c>
      <c r="BQ117" s="207">
        <f>Opv.kohd.[[#This Row],[Yhteensä 7e]]-Opv.kohd.[[#This Row],[Ensikertaisella suoritepäätöksellä jaetut tavoitteelliset opiskelijavuodet yhteensä 4]]</f>
        <v>0</v>
      </c>
      <c r="BR117" s="263">
        <v>50</v>
      </c>
      <c r="BS117" s="263">
        <v>2</v>
      </c>
      <c r="BT117" s="263">
        <v>0</v>
      </c>
      <c r="BU117" s="263">
        <v>0</v>
      </c>
      <c r="BV117" s="263">
        <v>0</v>
      </c>
      <c r="BW117" s="263">
        <v>0</v>
      </c>
      <c r="BX117" s="263">
        <v>2</v>
      </c>
      <c r="BY117" s="263">
        <v>52</v>
      </c>
      <c r="BZ117" s="207">
        <f t="shared" si="17"/>
        <v>50</v>
      </c>
      <c r="CA117" s="207">
        <f t="shared" si="18"/>
        <v>2</v>
      </c>
      <c r="CB117" s="207">
        <f t="shared" si="19"/>
        <v>0</v>
      </c>
      <c r="CC117" s="207">
        <f t="shared" si="20"/>
        <v>0</v>
      </c>
      <c r="CD117" s="207">
        <f t="shared" si="21"/>
        <v>0</v>
      </c>
      <c r="CE117" s="207">
        <f t="shared" si="22"/>
        <v>0</v>
      </c>
      <c r="CF117" s="207">
        <f t="shared" si="23"/>
        <v>2</v>
      </c>
      <c r="CG117" s="207">
        <f t="shared" si="24"/>
        <v>52</v>
      </c>
      <c r="CH117" s="207">
        <f>Opv.kohd.[[#This Row],[Tavoitteelliset opiskelijavuodet yhteensä 9]]-Opv.kohd.[[#This Row],[Työvoima-koulutus 9]]-Opv.kohd.[[#This Row],[Nuorisotyöt. väh. ja osaamistarp. vast., työvoima-koulutus 9]]-Opv.kohd.[[#This Row],[Muu kuin työvoima-koulutus 7e]]</f>
        <v>52</v>
      </c>
      <c r="CI117" s="207">
        <f>(Opv.kohd.[[#This Row],[Työvoima-koulutus 9]]+Opv.kohd.[[#This Row],[Nuorisotyöt. väh. ja osaamistarp. vast., työvoima-koulutus 9]])-Opv.kohd.[[#This Row],[Työvoima-koulutus 7e]]</f>
        <v>0</v>
      </c>
      <c r="CJ117" s="207">
        <f>Opv.kohd.[[#This Row],[Tavoitteelliset opiskelijavuodet yhteensä 9]]-Opv.kohd.[[#This Row],[Yhteensä 7e]]</f>
        <v>52</v>
      </c>
      <c r="CK117" s="207">
        <f>Opv.kohd.[[#This Row],[Järjestämisluvan mukaiset 4]]+Opv.kohd.[[#This Row],[Järjestämisluvan mukaiset 13]]</f>
        <v>0</v>
      </c>
      <c r="CL117" s="207">
        <f>Opv.kohd.[[#This Row],[Kohdentamat-tomat 4]]+Opv.kohd.[[#This Row],[Kohdentamat-tomat 13]]</f>
        <v>0</v>
      </c>
      <c r="CM117" s="207">
        <f>Opv.kohd.[[#This Row],[Työvoima-koulutus 4]]+Opv.kohd.[[#This Row],[Työvoima-koulutus 13]]</f>
        <v>0</v>
      </c>
      <c r="CN117" s="207">
        <f>Opv.kohd.[[#This Row],[Maahan-muuttajien koulutus 4]]+Opv.kohd.[[#This Row],[Maahan-muuttajien koulutus 13]]</f>
        <v>0</v>
      </c>
      <c r="CO117" s="207">
        <f>Opv.kohd.[[#This Row],[Nuorisotyöt. väh. ja osaamistarp. vast., muu kuin työvoima-koulutus 4]]+Opv.kohd.[[#This Row],[Nuorisotyöt. väh. ja osaamistarp. vast., muu kuin työvoima-koulutus 13]]</f>
        <v>0</v>
      </c>
      <c r="CP117" s="207">
        <f>Opv.kohd.[[#This Row],[Nuorisotyöt. väh. ja osaamistarp. vast., työvoima-koulutus 4]]+Opv.kohd.[[#This Row],[Nuorisotyöt. väh. ja osaamistarp. vast., työvoima-koulutus 13]]</f>
        <v>0</v>
      </c>
      <c r="CQ117" s="207">
        <f>Opv.kohd.[[#This Row],[Yhteensä 4]]+Opv.kohd.[[#This Row],[Yhteensä 13]]</f>
        <v>0</v>
      </c>
      <c r="CR117" s="207">
        <f>Opv.kohd.[[#This Row],[Ensikertaisella suoritepäätöksellä jaetut tavoitteelliset opiskelijavuodet yhteensä 4]]+Opv.kohd.[[#This Row],[Tavoitteelliset opiskelijavuodet yhteensä 13]]</f>
        <v>0</v>
      </c>
      <c r="CS117" s="120">
        <v>0</v>
      </c>
      <c r="CT117" s="120">
        <v>0</v>
      </c>
      <c r="CU117" s="120">
        <v>0</v>
      </c>
      <c r="CV117" s="120">
        <v>0</v>
      </c>
      <c r="CW117" s="120">
        <v>0</v>
      </c>
      <c r="CX117" s="120">
        <v>0</v>
      </c>
      <c r="CY117" s="120">
        <v>0</v>
      </c>
      <c r="CZ117" s="120">
        <v>0</v>
      </c>
      <c r="DA117" s="209">
        <f>IFERROR(Opv.kohd.[[#This Row],[Järjestämisluvan mukaiset 13]]/Opv.kohd.[[#This Row],[Järjestämisluvan mukaiset 12]],0)</f>
        <v>0</v>
      </c>
      <c r="DB117" s="209">
        <f>IFERROR(Opv.kohd.[[#This Row],[Kohdentamat-tomat 13]]/Opv.kohd.[[#This Row],[Kohdentamat-tomat 12]],0)</f>
        <v>0</v>
      </c>
      <c r="DC117" s="209">
        <f>IFERROR(Opv.kohd.[[#This Row],[Työvoima-koulutus 13]]/Opv.kohd.[[#This Row],[Työvoima-koulutus 12]],0)</f>
        <v>0</v>
      </c>
      <c r="DD117" s="209">
        <f>IFERROR(Opv.kohd.[[#This Row],[Maahan-muuttajien koulutus 13]]/Opv.kohd.[[#This Row],[Maahan-muuttajien koulutus 12]],0)</f>
        <v>0</v>
      </c>
      <c r="DE117" s="209">
        <f>IFERROR(Opv.kohd.[[#This Row],[Nuorisotyöt. väh. ja osaamistarp. vast., muu kuin työvoima-koulutus 13]]/Opv.kohd.[[#This Row],[Nuorisotyöt. väh. ja osaamistarp. vast., muu kuin työvoima-koulutus 12]],0)</f>
        <v>0</v>
      </c>
      <c r="DF117" s="209">
        <f>IFERROR(Opv.kohd.[[#This Row],[Nuorisotyöt. väh. ja osaamistarp. vast., työvoima-koulutus 13]]/Opv.kohd.[[#This Row],[Nuorisotyöt. väh. ja osaamistarp. vast., työvoima-koulutus 12]],0)</f>
        <v>0</v>
      </c>
      <c r="DG117" s="209">
        <f>IFERROR(Opv.kohd.[[#This Row],[Yhteensä 13]]/Opv.kohd.[[#This Row],[Yhteensä 12]],0)</f>
        <v>0</v>
      </c>
      <c r="DH117" s="209">
        <f>IFERROR(Opv.kohd.[[#This Row],[Tavoitteelliset opiskelijavuodet yhteensä 13]]/Opv.kohd.[[#This Row],[Tavoitteelliset opiskelijavuodet yhteensä 12]],0)</f>
        <v>0</v>
      </c>
      <c r="DI117" s="207">
        <f>Opv.kohd.[[#This Row],[Järjestämisluvan mukaiset 12]]-Opv.kohd.[[#This Row],[Järjestämisluvan mukaiset 9]]</f>
        <v>-50</v>
      </c>
      <c r="DJ117" s="207">
        <f>Opv.kohd.[[#This Row],[Kohdentamat-tomat 12]]-Opv.kohd.[[#This Row],[Kohdentamat-tomat 9]]</f>
        <v>-2</v>
      </c>
      <c r="DK117" s="207">
        <f>Opv.kohd.[[#This Row],[Työvoima-koulutus 12]]-Opv.kohd.[[#This Row],[Työvoima-koulutus 9]]</f>
        <v>0</v>
      </c>
      <c r="DL117" s="207">
        <f>Opv.kohd.[[#This Row],[Maahan-muuttajien koulutus 12]]-Opv.kohd.[[#This Row],[Maahan-muuttajien koulutus 9]]</f>
        <v>0</v>
      </c>
      <c r="DM117" s="207">
        <f>Opv.kohd.[[#This Row],[Nuorisotyöt. väh. ja osaamistarp. vast., muu kuin työvoima-koulutus 12]]-Opv.kohd.[[#This Row],[Nuorisotyöt. väh. ja osaamistarp. vast., muu kuin työvoima-koulutus 9]]</f>
        <v>0</v>
      </c>
      <c r="DN117" s="207">
        <f>Opv.kohd.[[#This Row],[Nuorisotyöt. väh. ja osaamistarp. vast., työvoima-koulutus 12]]-Opv.kohd.[[#This Row],[Nuorisotyöt. väh. ja osaamistarp. vast., työvoima-koulutus 9]]</f>
        <v>0</v>
      </c>
      <c r="DO117" s="207">
        <f>Opv.kohd.[[#This Row],[Yhteensä 12]]-Opv.kohd.[[#This Row],[Yhteensä 9]]</f>
        <v>-2</v>
      </c>
      <c r="DP117" s="207">
        <f>Opv.kohd.[[#This Row],[Tavoitteelliset opiskelijavuodet yhteensä 12]]-Opv.kohd.[[#This Row],[Tavoitteelliset opiskelijavuodet yhteensä 9]]</f>
        <v>-52</v>
      </c>
      <c r="DQ117" s="209">
        <f>IFERROR(Opv.kohd.[[#This Row],[Järjestämisluvan mukaiset 15]]/Opv.kohd.[[#This Row],[Järjestämisluvan mukaiset 9]],0)</f>
        <v>-1</v>
      </c>
      <c r="DR117" s="209">
        <f t="shared" si="25"/>
        <v>0</v>
      </c>
      <c r="DS117" s="209">
        <f t="shared" si="26"/>
        <v>0</v>
      </c>
      <c r="DT117" s="209">
        <f t="shared" si="27"/>
        <v>0</v>
      </c>
      <c r="DU117" s="209">
        <f t="shared" si="28"/>
        <v>0</v>
      </c>
      <c r="DV117" s="209">
        <f t="shared" si="29"/>
        <v>0</v>
      </c>
      <c r="DW117" s="209">
        <f t="shared" si="30"/>
        <v>0</v>
      </c>
      <c r="DX117" s="209">
        <f t="shared" si="31"/>
        <v>0</v>
      </c>
    </row>
    <row r="118" spans="1:128" x14ac:dyDescent="0.25">
      <c r="A118" s="204" t="e">
        <f>IF(INDEX(#REF!,ROW(118:118)-1,1)=0,"",INDEX(#REF!,ROW(118:118)-1,1))</f>
        <v>#REF!</v>
      </c>
      <c r="B118" s="205" t="str">
        <f>IFERROR(VLOOKUP(Opv.kohd.[[#This Row],[Y-tunnus]],'0 Järjestäjätiedot'!$A:$H,2,FALSE),"")</f>
        <v/>
      </c>
      <c r="C118" s="204" t="str">
        <f>IFERROR(VLOOKUP(Opv.kohd.[[#This Row],[Y-tunnus]],'0 Järjestäjätiedot'!$A:$H,COLUMN('0 Järjestäjätiedot'!D:D),FALSE),"")</f>
        <v/>
      </c>
      <c r="D118" s="204" t="str">
        <f>IFERROR(VLOOKUP(Opv.kohd.[[#This Row],[Y-tunnus]],'0 Järjestäjätiedot'!$A:$H,COLUMN('0 Järjestäjätiedot'!H:H),FALSE),"")</f>
        <v/>
      </c>
      <c r="E118" s="204">
        <f>IFERROR(VLOOKUP(Opv.kohd.[[#This Row],[Y-tunnus]],#REF!,COLUMN(#REF!),FALSE),0)</f>
        <v>0</v>
      </c>
      <c r="F118" s="204">
        <f>IFERROR(VLOOKUP(Opv.kohd.[[#This Row],[Y-tunnus]],#REF!,COLUMN(#REF!),FALSE),0)</f>
        <v>0</v>
      </c>
      <c r="G118" s="204">
        <f>IFERROR(VLOOKUP(Opv.kohd.[[#This Row],[Y-tunnus]],#REF!,COLUMN(#REF!),FALSE),0)</f>
        <v>0</v>
      </c>
      <c r="H118" s="204">
        <f>IFERROR(VLOOKUP(Opv.kohd.[[#This Row],[Y-tunnus]],#REF!,COLUMN(#REF!),FALSE),0)</f>
        <v>0</v>
      </c>
      <c r="I118" s="204">
        <f>IFERROR(VLOOKUP(Opv.kohd.[[#This Row],[Y-tunnus]],#REF!,COLUMN(#REF!),FALSE),0)</f>
        <v>0</v>
      </c>
      <c r="J118" s="204">
        <f>IFERROR(VLOOKUP(Opv.kohd.[[#This Row],[Y-tunnus]],#REF!,COLUMN(#REF!),FALSE),0)</f>
        <v>0</v>
      </c>
      <c r="K11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18" s="204">
        <f>Opv.kohd.[[#This Row],[Järjestämisluvan mukaiset 1]]+Opv.kohd.[[#This Row],[Yhteensä  1]]</f>
        <v>0</v>
      </c>
      <c r="M118" s="204">
        <f>IFERROR(VLOOKUP(Opv.kohd.[[#This Row],[Y-tunnus]],#REF!,COLUMN(#REF!),FALSE),0)</f>
        <v>0</v>
      </c>
      <c r="N118" s="204">
        <f>IFERROR(VLOOKUP(Opv.kohd.[[#This Row],[Y-tunnus]],#REF!,COLUMN(#REF!),FALSE),0)</f>
        <v>0</v>
      </c>
      <c r="O118" s="204">
        <f>IFERROR(VLOOKUP(Opv.kohd.[[#This Row],[Y-tunnus]],#REF!,COLUMN(#REF!),FALSE)+VLOOKUP(Opv.kohd.[[#This Row],[Y-tunnus]],#REF!,COLUMN(#REF!),FALSE),0)</f>
        <v>0</v>
      </c>
      <c r="P118" s="204">
        <f>Opv.kohd.[[#This Row],[Talousarvion perusteella kohdentamattomat]]+Opv.kohd.[[#This Row],[Talousarvion perusteella työvoimakoulutus 1]]+Opv.kohd.[[#This Row],[Lisätalousarvioiden perusteella]]</f>
        <v>0</v>
      </c>
      <c r="Q118" s="204">
        <f>IFERROR(VLOOKUP(Opv.kohd.[[#This Row],[Y-tunnus]],#REF!,COLUMN(#REF!),FALSE),0)</f>
        <v>0</v>
      </c>
      <c r="R118" s="210">
        <f>IFERROR(VLOOKUP(Opv.kohd.[[#This Row],[Y-tunnus]],#REF!,COLUMN(#REF!),FALSE)-(Opv.kohd.[[#This Row],[Kohdentamaton työvoima-koulutus 2]]+Opv.kohd.[[#This Row],[Maahan-muuttajien koulutus 2]]+Opv.kohd.[[#This Row],[Lisätalousarvioiden perusteella jaetut 2]]),0)</f>
        <v>0</v>
      </c>
      <c r="S118" s="210">
        <f>IFERROR(VLOOKUP(Opv.kohd.[[#This Row],[Y-tunnus]],#REF!,COLUMN(#REF!),FALSE)+VLOOKUP(Opv.kohd.[[#This Row],[Y-tunnus]],#REF!,COLUMN(#REF!),FALSE),0)</f>
        <v>0</v>
      </c>
      <c r="T118" s="210">
        <f>IFERROR(VLOOKUP(Opv.kohd.[[#This Row],[Y-tunnus]],#REF!,COLUMN(#REF!),FALSE)+VLOOKUP(Opv.kohd.[[#This Row],[Y-tunnus]],#REF!,COLUMN(#REF!),FALSE),0)</f>
        <v>0</v>
      </c>
      <c r="U11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18" s="210">
        <f>Opv.kohd.[[#This Row],[Kohdentamat-tomat 2]]+Opv.kohd.[[#This Row],[Kohdentamaton työvoima-koulutus 2]]+Opv.kohd.[[#This Row],[Maahan-muuttajien koulutus 2]]+Opv.kohd.[[#This Row],[Lisätalousarvioiden perusteella jaetut 2]]</f>
        <v>0</v>
      </c>
      <c r="W118" s="210">
        <f>Opv.kohd.[[#This Row],[Kohdentamat-tomat 2]]-(Opv.kohd.[[#This Row],[Järjestämisluvan mukaiset 1]]+Opv.kohd.[[#This Row],[Kohdentamat-tomat 1]]+Opv.kohd.[[#This Row],[Nuorisotyöt. väh. ja osaamistarp. vast., muu kuin työvoima-koulutus 1]]+Opv.kohd.[[#This Row],[Talousarvion perusteella kohdentamattomat]])</f>
        <v>0</v>
      </c>
      <c r="X118" s="210">
        <f>Opv.kohd.[[#This Row],[Kohdentamaton työvoima-koulutus 2]]-(Opv.kohd.[[#This Row],[Työvoima-koulutus 1]]+Opv.kohd.[[#This Row],[Nuorisotyöt. väh. ja osaamistarp. vast., työvoima-koulutus 1]]+Opv.kohd.[[#This Row],[Talousarvion perusteella työvoimakoulutus 1]])</f>
        <v>0</v>
      </c>
      <c r="Y118" s="210">
        <f>Opv.kohd.[[#This Row],[Maahan-muuttajien koulutus 2]]-Opv.kohd.[[#This Row],[Maahan-muuttajien koulutus 1]]</f>
        <v>0</v>
      </c>
      <c r="Z118" s="210">
        <f>Opv.kohd.[[#This Row],[Lisätalousarvioiden perusteella jaetut 2]]-Opv.kohd.[[#This Row],[Lisätalousarvioiden perusteella]]</f>
        <v>0</v>
      </c>
      <c r="AA118" s="210">
        <f>Opv.kohd.[[#This Row],[Toteutuneet opiskelijavuodet yhteensä 2]]-Opv.kohd.[[#This Row],[Vuoden 2018 tavoitteelliset opiskelijavuodet yhteensä 1]]</f>
        <v>0</v>
      </c>
      <c r="AB118" s="207">
        <f>IFERROR(VLOOKUP(Opv.kohd.[[#This Row],[Y-tunnus]],#REF!,3,FALSE),0)</f>
        <v>0</v>
      </c>
      <c r="AC118" s="207">
        <f>IFERROR(VLOOKUP(Opv.kohd.[[#This Row],[Y-tunnus]],#REF!,4,FALSE),0)</f>
        <v>0</v>
      </c>
      <c r="AD118" s="207">
        <f>IFERROR(VLOOKUP(Opv.kohd.[[#This Row],[Y-tunnus]],#REF!,5,FALSE),0)</f>
        <v>0</v>
      </c>
      <c r="AE118" s="207">
        <f>IFERROR(VLOOKUP(Opv.kohd.[[#This Row],[Y-tunnus]],#REF!,6,FALSE),0)</f>
        <v>0</v>
      </c>
      <c r="AF118" s="207">
        <f>IFERROR(VLOOKUP(Opv.kohd.[[#This Row],[Y-tunnus]],#REF!,7,FALSE),0)</f>
        <v>0</v>
      </c>
      <c r="AG118" s="207">
        <f>IFERROR(VLOOKUP(Opv.kohd.[[#This Row],[Y-tunnus]],#REF!,8,FALSE),0)</f>
        <v>0</v>
      </c>
      <c r="AH118" s="207">
        <f>IFERROR(VLOOKUP(Opv.kohd.[[#This Row],[Y-tunnus]],#REF!,9,FALSE),0)</f>
        <v>0</v>
      </c>
      <c r="AI118" s="207">
        <f>IFERROR(VLOOKUP(Opv.kohd.[[#This Row],[Y-tunnus]],#REF!,10,FALSE),0)</f>
        <v>0</v>
      </c>
      <c r="AJ118" s="204">
        <f>Opv.kohd.[[#This Row],[Järjestämisluvan mukaiset 4]]-Opv.kohd.[[#This Row],[Järjestämisluvan mukaiset 1]]</f>
        <v>0</v>
      </c>
      <c r="AK118" s="204">
        <f>Opv.kohd.[[#This Row],[Kohdentamat-tomat 4]]-Opv.kohd.[[#This Row],[Kohdentamat-tomat 1]]</f>
        <v>0</v>
      </c>
      <c r="AL118" s="204">
        <f>Opv.kohd.[[#This Row],[Työvoima-koulutus 4]]-Opv.kohd.[[#This Row],[Työvoima-koulutus 1]]</f>
        <v>0</v>
      </c>
      <c r="AM118" s="204">
        <f>Opv.kohd.[[#This Row],[Maahan-muuttajien koulutus 4]]-Opv.kohd.[[#This Row],[Maahan-muuttajien koulutus 1]]</f>
        <v>0</v>
      </c>
      <c r="AN118" s="204">
        <f>Opv.kohd.[[#This Row],[Nuorisotyöt. väh. ja osaamistarp. vast., muu kuin työvoima-koulutus 4]]-Opv.kohd.[[#This Row],[Nuorisotyöt. väh. ja osaamistarp. vast., muu kuin työvoima-koulutus 1]]</f>
        <v>0</v>
      </c>
      <c r="AO118" s="204">
        <f>Opv.kohd.[[#This Row],[Nuorisotyöt. väh. ja osaamistarp. vast., työvoima-koulutus 4]]-Opv.kohd.[[#This Row],[Nuorisotyöt. väh. ja osaamistarp. vast., työvoima-koulutus 1]]</f>
        <v>0</v>
      </c>
      <c r="AP118" s="204">
        <f>Opv.kohd.[[#This Row],[Yhteensä 4]]-Opv.kohd.[[#This Row],[Yhteensä  1]]</f>
        <v>0</v>
      </c>
      <c r="AQ118" s="204">
        <f>Opv.kohd.[[#This Row],[Ensikertaisella suoritepäätöksellä jaetut tavoitteelliset opiskelijavuodet yhteensä 4]]-Opv.kohd.[[#This Row],[Ensikertaisella suoritepäätöksellä jaetut tavoitteelliset opiskelijavuodet yhteensä 1]]</f>
        <v>0</v>
      </c>
      <c r="AR118" s="208">
        <f>IFERROR(Opv.kohd.[[#This Row],[Järjestämisluvan mukaiset 5]]/Opv.kohd.[[#This Row],[Järjestämisluvan mukaiset 4]],0)</f>
        <v>0</v>
      </c>
      <c r="AS118" s="208">
        <f>IFERROR(Opv.kohd.[[#This Row],[Kohdentamat-tomat 5]]/Opv.kohd.[[#This Row],[Kohdentamat-tomat 4]],0)</f>
        <v>0</v>
      </c>
      <c r="AT118" s="208">
        <f>IFERROR(Opv.kohd.[[#This Row],[Työvoima-koulutus 5]]/Opv.kohd.[[#This Row],[Työvoima-koulutus 4]],0)</f>
        <v>0</v>
      </c>
      <c r="AU118" s="208">
        <f>IFERROR(Opv.kohd.[[#This Row],[Maahan-muuttajien koulutus 5]]/Opv.kohd.[[#This Row],[Maahan-muuttajien koulutus 4]],0)</f>
        <v>0</v>
      </c>
      <c r="AV118" s="208">
        <f>IFERROR(Opv.kohd.[[#This Row],[Nuorisotyöt. väh. ja osaamistarp. vast., muu kuin työvoima-koulutus 5]]/Opv.kohd.[[#This Row],[Nuorisotyöt. väh. ja osaamistarp. vast., muu kuin työvoima-koulutus 4]],0)</f>
        <v>0</v>
      </c>
      <c r="AW118" s="208">
        <f>IFERROR(Opv.kohd.[[#This Row],[Nuorisotyöt. väh. ja osaamistarp. vast., työvoima-koulutus 5]]/Opv.kohd.[[#This Row],[Nuorisotyöt. väh. ja osaamistarp. vast., työvoima-koulutus 4]],0)</f>
        <v>0</v>
      </c>
      <c r="AX118" s="208">
        <f>IFERROR(Opv.kohd.[[#This Row],[Yhteensä 5]]/Opv.kohd.[[#This Row],[Yhteensä 4]],0)</f>
        <v>0</v>
      </c>
      <c r="AY118" s="208">
        <f>IFERROR(Opv.kohd.[[#This Row],[Ensikertaisella suoritepäätöksellä jaetut tavoitteelliset opiskelijavuodet yhteensä 5]]/Opv.kohd.[[#This Row],[Ensikertaisella suoritepäätöksellä jaetut tavoitteelliset opiskelijavuodet yhteensä 4]],0)</f>
        <v>0</v>
      </c>
      <c r="AZ118" s="207">
        <f>Opv.kohd.[[#This Row],[Yhteensä 7a]]-Opv.kohd.[[#This Row],[Työvoima-koulutus 7a]]</f>
        <v>0</v>
      </c>
      <c r="BA118" s="207">
        <f>IFERROR(VLOOKUP(Opv.kohd.[[#This Row],[Y-tunnus]],#REF!,COLUMN(#REF!),FALSE),0)</f>
        <v>0</v>
      </c>
      <c r="BB118" s="207">
        <f>IFERROR(VLOOKUP(Opv.kohd.[[#This Row],[Y-tunnus]],#REF!,COLUMN(#REF!),FALSE),0)</f>
        <v>0</v>
      </c>
      <c r="BC118" s="207">
        <f>Opv.kohd.[[#This Row],[Muu kuin työvoima-koulutus 7c]]-Opv.kohd.[[#This Row],[Muu kuin työvoima-koulutus 7a]]</f>
        <v>0</v>
      </c>
      <c r="BD118" s="207">
        <f>Opv.kohd.[[#This Row],[Työvoima-koulutus 7c]]-Opv.kohd.[[#This Row],[Työvoima-koulutus 7a]]</f>
        <v>0</v>
      </c>
      <c r="BE118" s="207">
        <f>Opv.kohd.[[#This Row],[Yhteensä 7c]]-Opv.kohd.[[#This Row],[Yhteensä 7a]]</f>
        <v>0</v>
      </c>
      <c r="BF118" s="207">
        <f>Opv.kohd.[[#This Row],[Yhteensä 7c]]-Opv.kohd.[[#This Row],[Työvoima-koulutus 7c]]</f>
        <v>0</v>
      </c>
      <c r="BG118" s="207">
        <f>IFERROR(VLOOKUP(Opv.kohd.[[#This Row],[Y-tunnus]],#REF!,COLUMN(#REF!),FALSE),0)</f>
        <v>0</v>
      </c>
      <c r="BH118" s="207">
        <f>IFERROR(VLOOKUP(Opv.kohd.[[#This Row],[Y-tunnus]],#REF!,COLUMN(#REF!),FALSE),0)</f>
        <v>0</v>
      </c>
      <c r="BI118" s="207">
        <f>IFERROR(VLOOKUP(Opv.kohd.[[#This Row],[Y-tunnus]],#REF!,COLUMN(#REF!),FALSE),0)</f>
        <v>0</v>
      </c>
      <c r="BJ118" s="207">
        <f>IFERROR(VLOOKUP(Opv.kohd.[[#This Row],[Y-tunnus]],#REF!,COLUMN(#REF!),FALSE),0)</f>
        <v>0</v>
      </c>
      <c r="BK118" s="207">
        <f>Opv.kohd.[[#This Row],[Muu kuin työvoima-koulutus 7d]]+Opv.kohd.[[#This Row],[Työvoima-koulutus 7d]]</f>
        <v>0</v>
      </c>
      <c r="BL118" s="207">
        <f>Opv.kohd.[[#This Row],[Muu kuin työvoima-koulutus 7c]]-Opv.kohd.[[#This Row],[Muu kuin työvoima-koulutus 7d]]</f>
        <v>0</v>
      </c>
      <c r="BM118" s="207">
        <f>Opv.kohd.[[#This Row],[Työvoima-koulutus 7c]]-Opv.kohd.[[#This Row],[Työvoima-koulutus 7d]]</f>
        <v>0</v>
      </c>
      <c r="BN118" s="207">
        <f>Opv.kohd.[[#This Row],[Yhteensä 7c]]-Opv.kohd.[[#This Row],[Yhteensä 7d]]</f>
        <v>0</v>
      </c>
      <c r="BO118" s="207">
        <f>Opv.kohd.[[#This Row],[Muu kuin työvoima-koulutus 7e]]-(Opv.kohd.[[#This Row],[Järjestämisluvan mukaiset 4]]+Opv.kohd.[[#This Row],[Kohdentamat-tomat 4]]+Opv.kohd.[[#This Row],[Maahan-muuttajien koulutus 4]]+Opv.kohd.[[#This Row],[Nuorisotyöt. väh. ja osaamistarp. vast., muu kuin työvoima-koulutus 4]])</f>
        <v>0</v>
      </c>
      <c r="BP118" s="207">
        <f>Opv.kohd.[[#This Row],[Työvoima-koulutus 7e]]-(Opv.kohd.[[#This Row],[Työvoima-koulutus 4]]+Opv.kohd.[[#This Row],[Nuorisotyöt. väh. ja osaamistarp. vast., työvoima-koulutus 4]])</f>
        <v>0</v>
      </c>
      <c r="BQ118" s="207">
        <f>Opv.kohd.[[#This Row],[Yhteensä 7e]]-Opv.kohd.[[#This Row],[Ensikertaisella suoritepäätöksellä jaetut tavoitteelliset opiskelijavuodet yhteensä 4]]</f>
        <v>0</v>
      </c>
      <c r="BR118" s="263">
        <v>3139</v>
      </c>
      <c r="BS118" s="263">
        <v>104</v>
      </c>
      <c r="BT118" s="263">
        <v>211</v>
      </c>
      <c r="BU118" s="263">
        <v>24</v>
      </c>
      <c r="BV118" s="263">
        <v>0</v>
      </c>
      <c r="BW118" s="263">
        <v>20</v>
      </c>
      <c r="BX118" s="263">
        <v>359</v>
      </c>
      <c r="BY118" s="263">
        <v>3498</v>
      </c>
      <c r="BZ118" s="207">
        <f t="shared" si="17"/>
        <v>3139</v>
      </c>
      <c r="CA118" s="207">
        <f t="shared" si="18"/>
        <v>104</v>
      </c>
      <c r="CB118" s="207">
        <f t="shared" si="19"/>
        <v>211</v>
      </c>
      <c r="CC118" s="207">
        <f t="shared" si="20"/>
        <v>24</v>
      </c>
      <c r="CD118" s="207">
        <f t="shared" si="21"/>
        <v>0</v>
      </c>
      <c r="CE118" s="207">
        <f t="shared" si="22"/>
        <v>20</v>
      </c>
      <c r="CF118" s="207">
        <f t="shared" si="23"/>
        <v>359</v>
      </c>
      <c r="CG118" s="207">
        <f t="shared" si="24"/>
        <v>3498</v>
      </c>
      <c r="CH118" s="207">
        <f>Opv.kohd.[[#This Row],[Tavoitteelliset opiskelijavuodet yhteensä 9]]-Opv.kohd.[[#This Row],[Työvoima-koulutus 9]]-Opv.kohd.[[#This Row],[Nuorisotyöt. väh. ja osaamistarp. vast., työvoima-koulutus 9]]-Opv.kohd.[[#This Row],[Muu kuin työvoima-koulutus 7e]]</f>
        <v>3267</v>
      </c>
      <c r="CI118" s="207">
        <f>(Opv.kohd.[[#This Row],[Työvoima-koulutus 9]]+Opv.kohd.[[#This Row],[Nuorisotyöt. väh. ja osaamistarp. vast., työvoima-koulutus 9]])-Opv.kohd.[[#This Row],[Työvoima-koulutus 7e]]</f>
        <v>231</v>
      </c>
      <c r="CJ118" s="207">
        <f>Opv.kohd.[[#This Row],[Tavoitteelliset opiskelijavuodet yhteensä 9]]-Opv.kohd.[[#This Row],[Yhteensä 7e]]</f>
        <v>3498</v>
      </c>
      <c r="CK118" s="207">
        <f>Opv.kohd.[[#This Row],[Järjestämisluvan mukaiset 4]]+Opv.kohd.[[#This Row],[Järjestämisluvan mukaiset 13]]</f>
        <v>0</v>
      </c>
      <c r="CL118" s="207">
        <f>Opv.kohd.[[#This Row],[Kohdentamat-tomat 4]]+Opv.kohd.[[#This Row],[Kohdentamat-tomat 13]]</f>
        <v>0</v>
      </c>
      <c r="CM118" s="207">
        <f>Opv.kohd.[[#This Row],[Työvoima-koulutus 4]]+Opv.kohd.[[#This Row],[Työvoima-koulutus 13]]</f>
        <v>0</v>
      </c>
      <c r="CN118" s="207">
        <f>Opv.kohd.[[#This Row],[Maahan-muuttajien koulutus 4]]+Opv.kohd.[[#This Row],[Maahan-muuttajien koulutus 13]]</f>
        <v>0</v>
      </c>
      <c r="CO118" s="207">
        <f>Opv.kohd.[[#This Row],[Nuorisotyöt. väh. ja osaamistarp. vast., muu kuin työvoima-koulutus 4]]+Opv.kohd.[[#This Row],[Nuorisotyöt. väh. ja osaamistarp. vast., muu kuin työvoima-koulutus 13]]</f>
        <v>0</v>
      </c>
      <c r="CP118" s="207">
        <f>Opv.kohd.[[#This Row],[Nuorisotyöt. väh. ja osaamistarp. vast., työvoima-koulutus 4]]+Opv.kohd.[[#This Row],[Nuorisotyöt. väh. ja osaamistarp. vast., työvoima-koulutus 13]]</f>
        <v>0</v>
      </c>
      <c r="CQ118" s="207">
        <f>Opv.kohd.[[#This Row],[Yhteensä 4]]+Opv.kohd.[[#This Row],[Yhteensä 13]]</f>
        <v>0</v>
      </c>
      <c r="CR118" s="207">
        <f>Opv.kohd.[[#This Row],[Ensikertaisella suoritepäätöksellä jaetut tavoitteelliset opiskelijavuodet yhteensä 4]]+Opv.kohd.[[#This Row],[Tavoitteelliset opiskelijavuodet yhteensä 13]]</f>
        <v>0</v>
      </c>
      <c r="CS118" s="120">
        <v>0</v>
      </c>
      <c r="CT118" s="120">
        <v>0</v>
      </c>
      <c r="CU118" s="120">
        <v>0</v>
      </c>
      <c r="CV118" s="120">
        <v>0</v>
      </c>
      <c r="CW118" s="120">
        <v>0</v>
      </c>
      <c r="CX118" s="120">
        <v>0</v>
      </c>
      <c r="CY118" s="120">
        <v>0</v>
      </c>
      <c r="CZ118" s="120">
        <v>0</v>
      </c>
      <c r="DA118" s="209">
        <f>IFERROR(Opv.kohd.[[#This Row],[Järjestämisluvan mukaiset 13]]/Opv.kohd.[[#This Row],[Järjestämisluvan mukaiset 12]],0)</f>
        <v>0</v>
      </c>
      <c r="DB118" s="209">
        <f>IFERROR(Opv.kohd.[[#This Row],[Kohdentamat-tomat 13]]/Opv.kohd.[[#This Row],[Kohdentamat-tomat 12]],0)</f>
        <v>0</v>
      </c>
      <c r="DC118" s="209">
        <f>IFERROR(Opv.kohd.[[#This Row],[Työvoima-koulutus 13]]/Opv.kohd.[[#This Row],[Työvoima-koulutus 12]],0)</f>
        <v>0</v>
      </c>
      <c r="DD118" s="209">
        <f>IFERROR(Opv.kohd.[[#This Row],[Maahan-muuttajien koulutus 13]]/Opv.kohd.[[#This Row],[Maahan-muuttajien koulutus 12]],0)</f>
        <v>0</v>
      </c>
      <c r="DE118" s="209">
        <f>IFERROR(Opv.kohd.[[#This Row],[Nuorisotyöt. väh. ja osaamistarp. vast., muu kuin työvoima-koulutus 13]]/Opv.kohd.[[#This Row],[Nuorisotyöt. väh. ja osaamistarp. vast., muu kuin työvoima-koulutus 12]],0)</f>
        <v>0</v>
      </c>
      <c r="DF118" s="209">
        <f>IFERROR(Opv.kohd.[[#This Row],[Nuorisotyöt. väh. ja osaamistarp. vast., työvoima-koulutus 13]]/Opv.kohd.[[#This Row],[Nuorisotyöt. väh. ja osaamistarp. vast., työvoima-koulutus 12]],0)</f>
        <v>0</v>
      </c>
      <c r="DG118" s="209">
        <f>IFERROR(Opv.kohd.[[#This Row],[Yhteensä 13]]/Opv.kohd.[[#This Row],[Yhteensä 12]],0)</f>
        <v>0</v>
      </c>
      <c r="DH118" s="209">
        <f>IFERROR(Opv.kohd.[[#This Row],[Tavoitteelliset opiskelijavuodet yhteensä 13]]/Opv.kohd.[[#This Row],[Tavoitteelliset opiskelijavuodet yhteensä 12]],0)</f>
        <v>0</v>
      </c>
      <c r="DI118" s="207">
        <f>Opv.kohd.[[#This Row],[Järjestämisluvan mukaiset 12]]-Opv.kohd.[[#This Row],[Järjestämisluvan mukaiset 9]]</f>
        <v>-3139</v>
      </c>
      <c r="DJ118" s="207">
        <f>Opv.kohd.[[#This Row],[Kohdentamat-tomat 12]]-Opv.kohd.[[#This Row],[Kohdentamat-tomat 9]]</f>
        <v>-104</v>
      </c>
      <c r="DK118" s="207">
        <f>Opv.kohd.[[#This Row],[Työvoima-koulutus 12]]-Opv.kohd.[[#This Row],[Työvoima-koulutus 9]]</f>
        <v>-211</v>
      </c>
      <c r="DL118" s="207">
        <f>Opv.kohd.[[#This Row],[Maahan-muuttajien koulutus 12]]-Opv.kohd.[[#This Row],[Maahan-muuttajien koulutus 9]]</f>
        <v>-24</v>
      </c>
      <c r="DM118" s="207">
        <f>Opv.kohd.[[#This Row],[Nuorisotyöt. väh. ja osaamistarp. vast., muu kuin työvoima-koulutus 12]]-Opv.kohd.[[#This Row],[Nuorisotyöt. väh. ja osaamistarp. vast., muu kuin työvoima-koulutus 9]]</f>
        <v>0</v>
      </c>
      <c r="DN118" s="207">
        <f>Opv.kohd.[[#This Row],[Nuorisotyöt. väh. ja osaamistarp. vast., työvoima-koulutus 12]]-Opv.kohd.[[#This Row],[Nuorisotyöt. väh. ja osaamistarp. vast., työvoima-koulutus 9]]</f>
        <v>-20</v>
      </c>
      <c r="DO118" s="207">
        <f>Opv.kohd.[[#This Row],[Yhteensä 12]]-Opv.kohd.[[#This Row],[Yhteensä 9]]</f>
        <v>-359</v>
      </c>
      <c r="DP118" s="207">
        <f>Opv.kohd.[[#This Row],[Tavoitteelliset opiskelijavuodet yhteensä 12]]-Opv.kohd.[[#This Row],[Tavoitteelliset opiskelijavuodet yhteensä 9]]</f>
        <v>-3498</v>
      </c>
      <c r="DQ118" s="209">
        <f>IFERROR(Opv.kohd.[[#This Row],[Järjestämisluvan mukaiset 15]]/Opv.kohd.[[#This Row],[Järjestämisluvan mukaiset 9]],0)</f>
        <v>-1</v>
      </c>
      <c r="DR118" s="209">
        <f t="shared" si="25"/>
        <v>0</v>
      </c>
      <c r="DS118" s="209">
        <f t="shared" si="26"/>
        <v>0</v>
      </c>
      <c r="DT118" s="209">
        <f t="shared" si="27"/>
        <v>0</v>
      </c>
      <c r="DU118" s="209">
        <f t="shared" si="28"/>
        <v>0</v>
      </c>
      <c r="DV118" s="209">
        <f t="shared" si="29"/>
        <v>0</v>
      </c>
      <c r="DW118" s="209">
        <f t="shared" si="30"/>
        <v>0</v>
      </c>
      <c r="DX118" s="209">
        <f t="shared" si="31"/>
        <v>0</v>
      </c>
    </row>
    <row r="119" spans="1:128" x14ac:dyDescent="0.25">
      <c r="A119" s="204" t="e">
        <f>IF(INDEX(#REF!,ROW(119:119)-1,1)=0,"",INDEX(#REF!,ROW(119:119)-1,1))</f>
        <v>#REF!</v>
      </c>
      <c r="B119" s="205" t="str">
        <f>IFERROR(VLOOKUP(Opv.kohd.[[#This Row],[Y-tunnus]],'0 Järjestäjätiedot'!$A:$H,2,FALSE),"")</f>
        <v/>
      </c>
      <c r="C119" s="204" t="str">
        <f>IFERROR(VLOOKUP(Opv.kohd.[[#This Row],[Y-tunnus]],'0 Järjestäjätiedot'!$A:$H,COLUMN('0 Järjestäjätiedot'!D:D),FALSE),"")</f>
        <v/>
      </c>
      <c r="D119" s="204" t="str">
        <f>IFERROR(VLOOKUP(Opv.kohd.[[#This Row],[Y-tunnus]],'0 Järjestäjätiedot'!$A:$H,COLUMN('0 Järjestäjätiedot'!H:H),FALSE),"")</f>
        <v/>
      </c>
      <c r="E119" s="204">
        <f>IFERROR(VLOOKUP(Opv.kohd.[[#This Row],[Y-tunnus]],#REF!,COLUMN(#REF!),FALSE),0)</f>
        <v>0</v>
      </c>
      <c r="F119" s="204">
        <f>IFERROR(VLOOKUP(Opv.kohd.[[#This Row],[Y-tunnus]],#REF!,COLUMN(#REF!),FALSE),0)</f>
        <v>0</v>
      </c>
      <c r="G119" s="204">
        <f>IFERROR(VLOOKUP(Opv.kohd.[[#This Row],[Y-tunnus]],#REF!,COLUMN(#REF!),FALSE),0)</f>
        <v>0</v>
      </c>
      <c r="H119" s="204">
        <f>IFERROR(VLOOKUP(Opv.kohd.[[#This Row],[Y-tunnus]],#REF!,COLUMN(#REF!),FALSE),0)</f>
        <v>0</v>
      </c>
      <c r="I119" s="204">
        <f>IFERROR(VLOOKUP(Opv.kohd.[[#This Row],[Y-tunnus]],#REF!,COLUMN(#REF!),FALSE),0)</f>
        <v>0</v>
      </c>
      <c r="J119" s="204">
        <f>IFERROR(VLOOKUP(Opv.kohd.[[#This Row],[Y-tunnus]],#REF!,COLUMN(#REF!),FALSE),0)</f>
        <v>0</v>
      </c>
      <c r="K11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19" s="204">
        <f>Opv.kohd.[[#This Row],[Järjestämisluvan mukaiset 1]]+Opv.kohd.[[#This Row],[Yhteensä  1]]</f>
        <v>0</v>
      </c>
      <c r="M119" s="204">
        <f>IFERROR(VLOOKUP(Opv.kohd.[[#This Row],[Y-tunnus]],#REF!,COLUMN(#REF!),FALSE),0)</f>
        <v>0</v>
      </c>
      <c r="N119" s="204">
        <f>IFERROR(VLOOKUP(Opv.kohd.[[#This Row],[Y-tunnus]],#REF!,COLUMN(#REF!),FALSE),0)</f>
        <v>0</v>
      </c>
      <c r="O119" s="204">
        <f>IFERROR(VLOOKUP(Opv.kohd.[[#This Row],[Y-tunnus]],#REF!,COLUMN(#REF!),FALSE)+VLOOKUP(Opv.kohd.[[#This Row],[Y-tunnus]],#REF!,COLUMN(#REF!),FALSE),0)</f>
        <v>0</v>
      </c>
      <c r="P119" s="204">
        <f>Opv.kohd.[[#This Row],[Talousarvion perusteella kohdentamattomat]]+Opv.kohd.[[#This Row],[Talousarvion perusteella työvoimakoulutus 1]]+Opv.kohd.[[#This Row],[Lisätalousarvioiden perusteella]]</f>
        <v>0</v>
      </c>
      <c r="Q119" s="204">
        <f>IFERROR(VLOOKUP(Opv.kohd.[[#This Row],[Y-tunnus]],#REF!,COLUMN(#REF!),FALSE),0)</f>
        <v>0</v>
      </c>
      <c r="R119" s="210">
        <f>IFERROR(VLOOKUP(Opv.kohd.[[#This Row],[Y-tunnus]],#REF!,COLUMN(#REF!),FALSE)-(Opv.kohd.[[#This Row],[Kohdentamaton työvoima-koulutus 2]]+Opv.kohd.[[#This Row],[Maahan-muuttajien koulutus 2]]+Opv.kohd.[[#This Row],[Lisätalousarvioiden perusteella jaetut 2]]),0)</f>
        <v>0</v>
      </c>
      <c r="S119" s="210">
        <f>IFERROR(VLOOKUP(Opv.kohd.[[#This Row],[Y-tunnus]],#REF!,COLUMN(#REF!),FALSE)+VLOOKUP(Opv.kohd.[[#This Row],[Y-tunnus]],#REF!,COLUMN(#REF!),FALSE),0)</f>
        <v>0</v>
      </c>
      <c r="T119" s="210">
        <f>IFERROR(VLOOKUP(Opv.kohd.[[#This Row],[Y-tunnus]],#REF!,COLUMN(#REF!),FALSE)+VLOOKUP(Opv.kohd.[[#This Row],[Y-tunnus]],#REF!,COLUMN(#REF!),FALSE),0)</f>
        <v>0</v>
      </c>
      <c r="U11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19" s="210">
        <f>Opv.kohd.[[#This Row],[Kohdentamat-tomat 2]]+Opv.kohd.[[#This Row],[Kohdentamaton työvoima-koulutus 2]]+Opv.kohd.[[#This Row],[Maahan-muuttajien koulutus 2]]+Opv.kohd.[[#This Row],[Lisätalousarvioiden perusteella jaetut 2]]</f>
        <v>0</v>
      </c>
      <c r="W119" s="210">
        <f>Opv.kohd.[[#This Row],[Kohdentamat-tomat 2]]-(Opv.kohd.[[#This Row],[Järjestämisluvan mukaiset 1]]+Opv.kohd.[[#This Row],[Kohdentamat-tomat 1]]+Opv.kohd.[[#This Row],[Nuorisotyöt. väh. ja osaamistarp. vast., muu kuin työvoima-koulutus 1]]+Opv.kohd.[[#This Row],[Talousarvion perusteella kohdentamattomat]])</f>
        <v>0</v>
      </c>
      <c r="X119" s="210">
        <f>Opv.kohd.[[#This Row],[Kohdentamaton työvoima-koulutus 2]]-(Opv.kohd.[[#This Row],[Työvoima-koulutus 1]]+Opv.kohd.[[#This Row],[Nuorisotyöt. väh. ja osaamistarp. vast., työvoima-koulutus 1]]+Opv.kohd.[[#This Row],[Talousarvion perusteella työvoimakoulutus 1]])</f>
        <v>0</v>
      </c>
      <c r="Y119" s="210">
        <f>Opv.kohd.[[#This Row],[Maahan-muuttajien koulutus 2]]-Opv.kohd.[[#This Row],[Maahan-muuttajien koulutus 1]]</f>
        <v>0</v>
      </c>
      <c r="Z119" s="210">
        <f>Opv.kohd.[[#This Row],[Lisätalousarvioiden perusteella jaetut 2]]-Opv.kohd.[[#This Row],[Lisätalousarvioiden perusteella]]</f>
        <v>0</v>
      </c>
      <c r="AA119" s="210">
        <f>Opv.kohd.[[#This Row],[Toteutuneet opiskelijavuodet yhteensä 2]]-Opv.kohd.[[#This Row],[Vuoden 2018 tavoitteelliset opiskelijavuodet yhteensä 1]]</f>
        <v>0</v>
      </c>
      <c r="AB119" s="207">
        <f>IFERROR(VLOOKUP(Opv.kohd.[[#This Row],[Y-tunnus]],#REF!,3,FALSE),0)</f>
        <v>0</v>
      </c>
      <c r="AC119" s="207">
        <f>IFERROR(VLOOKUP(Opv.kohd.[[#This Row],[Y-tunnus]],#REF!,4,FALSE),0)</f>
        <v>0</v>
      </c>
      <c r="AD119" s="207">
        <f>IFERROR(VLOOKUP(Opv.kohd.[[#This Row],[Y-tunnus]],#REF!,5,FALSE),0)</f>
        <v>0</v>
      </c>
      <c r="AE119" s="207">
        <f>IFERROR(VLOOKUP(Opv.kohd.[[#This Row],[Y-tunnus]],#REF!,6,FALSE),0)</f>
        <v>0</v>
      </c>
      <c r="AF119" s="207">
        <f>IFERROR(VLOOKUP(Opv.kohd.[[#This Row],[Y-tunnus]],#REF!,7,FALSE),0)</f>
        <v>0</v>
      </c>
      <c r="AG119" s="207">
        <f>IFERROR(VLOOKUP(Opv.kohd.[[#This Row],[Y-tunnus]],#REF!,8,FALSE),0)</f>
        <v>0</v>
      </c>
      <c r="AH119" s="207">
        <f>IFERROR(VLOOKUP(Opv.kohd.[[#This Row],[Y-tunnus]],#REF!,9,FALSE),0)</f>
        <v>0</v>
      </c>
      <c r="AI119" s="207">
        <f>IFERROR(VLOOKUP(Opv.kohd.[[#This Row],[Y-tunnus]],#REF!,10,FALSE),0)</f>
        <v>0</v>
      </c>
      <c r="AJ119" s="204">
        <f>Opv.kohd.[[#This Row],[Järjestämisluvan mukaiset 4]]-Opv.kohd.[[#This Row],[Järjestämisluvan mukaiset 1]]</f>
        <v>0</v>
      </c>
      <c r="AK119" s="204">
        <f>Opv.kohd.[[#This Row],[Kohdentamat-tomat 4]]-Opv.kohd.[[#This Row],[Kohdentamat-tomat 1]]</f>
        <v>0</v>
      </c>
      <c r="AL119" s="204">
        <f>Opv.kohd.[[#This Row],[Työvoima-koulutus 4]]-Opv.kohd.[[#This Row],[Työvoima-koulutus 1]]</f>
        <v>0</v>
      </c>
      <c r="AM119" s="204">
        <f>Opv.kohd.[[#This Row],[Maahan-muuttajien koulutus 4]]-Opv.kohd.[[#This Row],[Maahan-muuttajien koulutus 1]]</f>
        <v>0</v>
      </c>
      <c r="AN119" s="204">
        <f>Opv.kohd.[[#This Row],[Nuorisotyöt. väh. ja osaamistarp. vast., muu kuin työvoima-koulutus 4]]-Opv.kohd.[[#This Row],[Nuorisotyöt. väh. ja osaamistarp. vast., muu kuin työvoima-koulutus 1]]</f>
        <v>0</v>
      </c>
      <c r="AO119" s="204">
        <f>Opv.kohd.[[#This Row],[Nuorisotyöt. väh. ja osaamistarp. vast., työvoima-koulutus 4]]-Opv.kohd.[[#This Row],[Nuorisotyöt. väh. ja osaamistarp. vast., työvoima-koulutus 1]]</f>
        <v>0</v>
      </c>
      <c r="AP119" s="204">
        <f>Opv.kohd.[[#This Row],[Yhteensä 4]]-Opv.kohd.[[#This Row],[Yhteensä  1]]</f>
        <v>0</v>
      </c>
      <c r="AQ119" s="204">
        <f>Opv.kohd.[[#This Row],[Ensikertaisella suoritepäätöksellä jaetut tavoitteelliset opiskelijavuodet yhteensä 4]]-Opv.kohd.[[#This Row],[Ensikertaisella suoritepäätöksellä jaetut tavoitteelliset opiskelijavuodet yhteensä 1]]</f>
        <v>0</v>
      </c>
      <c r="AR119" s="208">
        <f>IFERROR(Opv.kohd.[[#This Row],[Järjestämisluvan mukaiset 5]]/Opv.kohd.[[#This Row],[Järjestämisluvan mukaiset 4]],0)</f>
        <v>0</v>
      </c>
      <c r="AS119" s="208">
        <f>IFERROR(Opv.kohd.[[#This Row],[Kohdentamat-tomat 5]]/Opv.kohd.[[#This Row],[Kohdentamat-tomat 4]],0)</f>
        <v>0</v>
      </c>
      <c r="AT119" s="208">
        <f>IFERROR(Opv.kohd.[[#This Row],[Työvoima-koulutus 5]]/Opv.kohd.[[#This Row],[Työvoima-koulutus 4]],0)</f>
        <v>0</v>
      </c>
      <c r="AU119" s="208">
        <f>IFERROR(Opv.kohd.[[#This Row],[Maahan-muuttajien koulutus 5]]/Opv.kohd.[[#This Row],[Maahan-muuttajien koulutus 4]],0)</f>
        <v>0</v>
      </c>
      <c r="AV119" s="208">
        <f>IFERROR(Opv.kohd.[[#This Row],[Nuorisotyöt. väh. ja osaamistarp. vast., muu kuin työvoima-koulutus 5]]/Opv.kohd.[[#This Row],[Nuorisotyöt. väh. ja osaamistarp. vast., muu kuin työvoima-koulutus 4]],0)</f>
        <v>0</v>
      </c>
      <c r="AW119" s="208">
        <f>IFERROR(Opv.kohd.[[#This Row],[Nuorisotyöt. väh. ja osaamistarp. vast., työvoima-koulutus 5]]/Opv.kohd.[[#This Row],[Nuorisotyöt. väh. ja osaamistarp. vast., työvoima-koulutus 4]],0)</f>
        <v>0</v>
      </c>
      <c r="AX119" s="208">
        <f>IFERROR(Opv.kohd.[[#This Row],[Yhteensä 5]]/Opv.kohd.[[#This Row],[Yhteensä 4]],0)</f>
        <v>0</v>
      </c>
      <c r="AY119" s="208">
        <f>IFERROR(Opv.kohd.[[#This Row],[Ensikertaisella suoritepäätöksellä jaetut tavoitteelliset opiskelijavuodet yhteensä 5]]/Opv.kohd.[[#This Row],[Ensikertaisella suoritepäätöksellä jaetut tavoitteelliset opiskelijavuodet yhteensä 4]],0)</f>
        <v>0</v>
      </c>
      <c r="AZ119" s="207">
        <f>Opv.kohd.[[#This Row],[Yhteensä 7a]]-Opv.kohd.[[#This Row],[Työvoima-koulutus 7a]]</f>
        <v>0</v>
      </c>
      <c r="BA119" s="207">
        <f>IFERROR(VLOOKUP(Opv.kohd.[[#This Row],[Y-tunnus]],#REF!,COLUMN(#REF!),FALSE),0)</f>
        <v>0</v>
      </c>
      <c r="BB119" s="207">
        <f>IFERROR(VLOOKUP(Opv.kohd.[[#This Row],[Y-tunnus]],#REF!,COLUMN(#REF!),FALSE),0)</f>
        <v>0</v>
      </c>
      <c r="BC119" s="207">
        <f>Opv.kohd.[[#This Row],[Muu kuin työvoima-koulutus 7c]]-Opv.kohd.[[#This Row],[Muu kuin työvoima-koulutus 7a]]</f>
        <v>0</v>
      </c>
      <c r="BD119" s="207">
        <f>Opv.kohd.[[#This Row],[Työvoima-koulutus 7c]]-Opv.kohd.[[#This Row],[Työvoima-koulutus 7a]]</f>
        <v>0</v>
      </c>
      <c r="BE119" s="207">
        <f>Opv.kohd.[[#This Row],[Yhteensä 7c]]-Opv.kohd.[[#This Row],[Yhteensä 7a]]</f>
        <v>0</v>
      </c>
      <c r="BF119" s="207">
        <f>Opv.kohd.[[#This Row],[Yhteensä 7c]]-Opv.kohd.[[#This Row],[Työvoima-koulutus 7c]]</f>
        <v>0</v>
      </c>
      <c r="BG119" s="207">
        <f>IFERROR(VLOOKUP(Opv.kohd.[[#This Row],[Y-tunnus]],#REF!,COLUMN(#REF!),FALSE),0)</f>
        <v>0</v>
      </c>
      <c r="BH119" s="207">
        <f>IFERROR(VLOOKUP(Opv.kohd.[[#This Row],[Y-tunnus]],#REF!,COLUMN(#REF!),FALSE),0)</f>
        <v>0</v>
      </c>
      <c r="BI119" s="207">
        <f>IFERROR(VLOOKUP(Opv.kohd.[[#This Row],[Y-tunnus]],#REF!,COLUMN(#REF!),FALSE),0)</f>
        <v>0</v>
      </c>
      <c r="BJ119" s="207">
        <f>IFERROR(VLOOKUP(Opv.kohd.[[#This Row],[Y-tunnus]],#REF!,COLUMN(#REF!),FALSE),0)</f>
        <v>0</v>
      </c>
      <c r="BK119" s="207">
        <f>Opv.kohd.[[#This Row],[Muu kuin työvoima-koulutus 7d]]+Opv.kohd.[[#This Row],[Työvoima-koulutus 7d]]</f>
        <v>0</v>
      </c>
      <c r="BL119" s="207">
        <f>Opv.kohd.[[#This Row],[Muu kuin työvoima-koulutus 7c]]-Opv.kohd.[[#This Row],[Muu kuin työvoima-koulutus 7d]]</f>
        <v>0</v>
      </c>
      <c r="BM119" s="207">
        <f>Opv.kohd.[[#This Row],[Työvoima-koulutus 7c]]-Opv.kohd.[[#This Row],[Työvoima-koulutus 7d]]</f>
        <v>0</v>
      </c>
      <c r="BN119" s="207">
        <f>Opv.kohd.[[#This Row],[Yhteensä 7c]]-Opv.kohd.[[#This Row],[Yhteensä 7d]]</f>
        <v>0</v>
      </c>
      <c r="BO119" s="207">
        <f>Opv.kohd.[[#This Row],[Muu kuin työvoima-koulutus 7e]]-(Opv.kohd.[[#This Row],[Järjestämisluvan mukaiset 4]]+Opv.kohd.[[#This Row],[Kohdentamat-tomat 4]]+Opv.kohd.[[#This Row],[Maahan-muuttajien koulutus 4]]+Opv.kohd.[[#This Row],[Nuorisotyöt. väh. ja osaamistarp. vast., muu kuin työvoima-koulutus 4]])</f>
        <v>0</v>
      </c>
      <c r="BP119" s="207">
        <f>Opv.kohd.[[#This Row],[Työvoima-koulutus 7e]]-(Opv.kohd.[[#This Row],[Työvoima-koulutus 4]]+Opv.kohd.[[#This Row],[Nuorisotyöt. väh. ja osaamistarp. vast., työvoima-koulutus 4]])</f>
        <v>0</v>
      </c>
      <c r="BQ119" s="207">
        <f>Opv.kohd.[[#This Row],[Yhteensä 7e]]-Opv.kohd.[[#This Row],[Ensikertaisella suoritepäätöksellä jaetut tavoitteelliset opiskelijavuodet yhteensä 4]]</f>
        <v>0</v>
      </c>
      <c r="BR119" s="263">
        <v>1889</v>
      </c>
      <c r="BS119" s="263">
        <v>50</v>
      </c>
      <c r="BT119" s="263">
        <v>149</v>
      </c>
      <c r="BU119" s="263">
        <v>0</v>
      </c>
      <c r="BV119" s="263">
        <v>0</v>
      </c>
      <c r="BW119" s="263">
        <v>0</v>
      </c>
      <c r="BX119" s="263">
        <v>199</v>
      </c>
      <c r="BY119" s="263">
        <v>2088</v>
      </c>
      <c r="BZ119" s="207">
        <f t="shared" si="17"/>
        <v>1889</v>
      </c>
      <c r="CA119" s="207">
        <f t="shared" si="18"/>
        <v>50</v>
      </c>
      <c r="CB119" s="207">
        <f t="shared" si="19"/>
        <v>149</v>
      </c>
      <c r="CC119" s="207">
        <f t="shared" si="20"/>
        <v>0</v>
      </c>
      <c r="CD119" s="207">
        <f t="shared" si="21"/>
        <v>0</v>
      </c>
      <c r="CE119" s="207">
        <f t="shared" si="22"/>
        <v>0</v>
      </c>
      <c r="CF119" s="207">
        <f t="shared" si="23"/>
        <v>199</v>
      </c>
      <c r="CG119" s="207">
        <f t="shared" si="24"/>
        <v>2088</v>
      </c>
      <c r="CH119" s="207">
        <f>Opv.kohd.[[#This Row],[Tavoitteelliset opiskelijavuodet yhteensä 9]]-Opv.kohd.[[#This Row],[Työvoima-koulutus 9]]-Opv.kohd.[[#This Row],[Nuorisotyöt. väh. ja osaamistarp. vast., työvoima-koulutus 9]]-Opv.kohd.[[#This Row],[Muu kuin työvoima-koulutus 7e]]</f>
        <v>1939</v>
      </c>
      <c r="CI119" s="207">
        <f>(Opv.kohd.[[#This Row],[Työvoima-koulutus 9]]+Opv.kohd.[[#This Row],[Nuorisotyöt. väh. ja osaamistarp. vast., työvoima-koulutus 9]])-Opv.kohd.[[#This Row],[Työvoima-koulutus 7e]]</f>
        <v>149</v>
      </c>
      <c r="CJ119" s="207">
        <f>Opv.kohd.[[#This Row],[Tavoitteelliset opiskelijavuodet yhteensä 9]]-Opv.kohd.[[#This Row],[Yhteensä 7e]]</f>
        <v>2088</v>
      </c>
      <c r="CK119" s="207">
        <f>Opv.kohd.[[#This Row],[Järjestämisluvan mukaiset 4]]+Opv.kohd.[[#This Row],[Järjestämisluvan mukaiset 13]]</f>
        <v>0</v>
      </c>
      <c r="CL119" s="207">
        <f>Opv.kohd.[[#This Row],[Kohdentamat-tomat 4]]+Opv.kohd.[[#This Row],[Kohdentamat-tomat 13]]</f>
        <v>0</v>
      </c>
      <c r="CM119" s="207">
        <f>Opv.kohd.[[#This Row],[Työvoima-koulutus 4]]+Opv.kohd.[[#This Row],[Työvoima-koulutus 13]]</f>
        <v>0</v>
      </c>
      <c r="CN119" s="207">
        <f>Opv.kohd.[[#This Row],[Maahan-muuttajien koulutus 4]]+Opv.kohd.[[#This Row],[Maahan-muuttajien koulutus 13]]</f>
        <v>0</v>
      </c>
      <c r="CO119" s="207">
        <f>Opv.kohd.[[#This Row],[Nuorisotyöt. väh. ja osaamistarp. vast., muu kuin työvoima-koulutus 4]]+Opv.kohd.[[#This Row],[Nuorisotyöt. väh. ja osaamistarp. vast., muu kuin työvoima-koulutus 13]]</f>
        <v>0</v>
      </c>
      <c r="CP119" s="207">
        <f>Opv.kohd.[[#This Row],[Nuorisotyöt. väh. ja osaamistarp. vast., työvoima-koulutus 4]]+Opv.kohd.[[#This Row],[Nuorisotyöt. väh. ja osaamistarp. vast., työvoima-koulutus 13]]</f>
        <v>0</v>
      </c>
      <c r="CQ119" s="207">
        <f>Opv.kohd.[[#This Row],[Yhteensä 4]]+Opv.kohd.[[#This Row],[Yhteensä 13]]</f>
        <v>0</v>
      </c>
      <c r="CR119" s="207">
        <f>Opv.kohd.[[#This Row],[Ensikertaisella suoritepäätöksellä jaetut tavoitteelliset opiskelijavuodet yhteensä 4]]+Opv.kohd.[[#This Row],[Tavoitteelliset opiskelijavuodet yhteensä 13]]</f>
        <v>0</v>
      </c>
      <c r="CS119" s="120">
        <v>0</v>
      </c>
      <c r="CT119" s="120">
        <v>0</v>
      </c>
      <c r="CU119" s="120">
        <v>0</v>
      </c>
      <c r="CV119" s="120">
        <v>0</v>
      </c>
      <c r="CW119" s="120">
        <v>0</v>
      </c>
      <c r="CX119" s="120">
        <v>0</v>
      </c>
      <c r="CY119" s="120">
        <v>0</v>
      </c>
      <c r="CZ119" s="120">
        <v>0</v>
      </c>
      <c r="DA119" s="209">
        <f>IFERROR(Opv.kohd.[[#This Row],[Järjestämisluvan mukaiset 13]]/Opv.kohd.[[#This Row],[Järjestämisluvan mukaiset 12]],0)</f>
        <v>0</v>
      </c>
      <c r="DB119" s="209">
        <f>IFERROR(Opv.kohd.[[#This Row],[Kohdentamat-tomat 13]]/Opv.kohd.[[#This Row],[Kohdentamat-tomat 12]],0)</f>
        <v>0</v>
      </c>
      <c r="DC119" s="209">
        <f>IFERROR(Opv.kohd.[[#This Row],[Työvoima-koulutus 13]]/Opv.kohd.[[#This Row],[Työvoima-koulutus 12]],0)</f>
        <v>0</v>
      </c>
      <c r="DD119" s="209">
        <f>IFERROR(Opv.kohd.[[#This Row],[Maahan-muuttajien koulutus 13]]/Opv.kohd.[[#This Row],[Maahan-muuttajien koulutus 12]],0)</f>
        <v>0</v>
      </c>
      <c r="DE119" s="209">
        <f>IFERROR(Opv.kohd.[[#This Row],[Nuorisotyöt. väh. ja osaamistarp. vast., muu kuin työvoima-koulutus 13]]/Opv.kohd.[[#This Row],[Nuorisotyöt. väh. ja osaamistarp. vast., muu kuin työvoima-koulutus 12]],0)</f>
        <v>0</v>
      </c>
      <c r="DF119" s="209">
        <f>IFERROR(Opv.kohd.[[#This Row],[Nuorisotyöt. väh. ja osaamistarp. vast., työvoima-koulutus 13]]/Opv.kohd.[[#This Row],[Nuorisotyöt. väh. ja osaamistarp. vast., työvoima-koulutus 12]],0)</f>
        <v>0</v>
      </c>
      <c r="DG119" s="209">
        <f>IFERROR(Opv.kohd.[[#This Row],[Yhteensä 13]]/Opv.kohd.[[#This Row],[Yhteensä 12]],0)</f>
        <v>0</v>
      </c>
      <c r="DH119" s="209">
        <f>IFERROR(Opv.kohd.[[#This Row],[Tavoitteelliset opiskelijavuodet yhteensä 13]]/Opv.kohd.[[#This Row],[Tavoitteelliset opiskelijavuodet yhteensä 12]],0)</f>
        <v>0</v>
      </c>
      <c r="DI119" s="207">
        <f>Opv.kohd.[[#This Row],[Järjestämisluvan mukaiset 12]]-Opv.kohd.[[#This Row],[Järjestämisluvan mukaiset 9]]</f>
        <v>-1889</v>
      </c>
      <c r="DJ119" s="207">
        <f>Opv.kohd.[[#This Row],[Kohdentamat-tomat 12]]-Opv.kohd.[[#This Row],[Kohdentamat-tomat 9]]</f>
        <v>-50</v>
      </c>
      <c r="DK119" s="207">
        <f>Opv.kohd.[[#This Row],[Työvoima-koulutus 12]]-Opv.kohd.[[#This Row],[Työvoima-koulutus 9]]</f>
        <v>-149</v>
      </c>
      <c r="DL119" s="207">
        <f>Opv.kohd.[[#This Row],[Maahan-muuttajien koulutus 12]]-Opv.kohd.[[#This Row],[Maahan-muuttajien koulutus 9]]</f>
        <v>0</v>
      </c>
      <c r="DM119" s="207">
        <f>Opv.kohd.[[#This Row],[Nuorisotyöt. väh. ja osaamistarp. vast., muu kuin työvoima-koulutus 12]]-Opv.kohd.[[#This Row],[Nuorisotyöt. väh. ja osaamistarp. vast., muu kuin työvoima-koulutus 9]]</f>
        <v>0</v>
      </c>
      <c r="DN119" s="207">
        <f>Opv.kohd.[[#This Row],[Nuorisotyöt. väh. ja osaamistarp. vast., työvoima-koulutus 12]]-Opv.kohd.[[#This Row],[Nuorisotyöt. väh. ja osaamistarp. vast., työvoima-koulutus 9]]</f>
        <v>0</v>
      </c>
      <c r="DO119" s="207">
        <f>Opv.kohd.[[#This Row],[Yhteensä 12]]-Opv.kohd.[[#This Row],[Yhteensä 9]]</f>
        <v>-199</v>
      </c>
      <c r="DP119" s="207">
        <f>Opv.kohd.[[#This Row],[Tavoitteelliset opiskelijavuodet yhteensä 12]]-Opv.kohd.[[#This Row],[Tavoitteelliset opiskelijavuodet yhteensä 9]]</f>
        <v>-2088</v>
      </c>
      <c r="DQ119" s="209">
        <f>IFERROR(Opv.kohd.[[#This Row],[Järjestämisluvan mukaiset 15]]/Opv.kohd.[[#This Row],[Järjestämisluvan mukaiset 9]],0)</f>
        <v>-1</v>
      </c>
      <c r="DR119" s="209">
        <f t="shared" si="25"/>
        <v>0</v>
      </c>
      <c r="DS119" s="209">
        <f t="shared" si="26"/>
        <v>0</v>
      </c>
      <c r="DT119" s="209">
        <f t="shared" si="27"/>
        <v>0</v>
      </c>
      <c r="DU119" s="209">
        <f t="shared" si="28"/>
        <v>0</v>
      </c>
      <c r="DV119" s="209">
        <f t="shared" si="29"/>
        <v>0</v>
      </c>
      <c r="DW119" s="209">
        <f t="shared" si="30"/>
        <v>0</v>
      </c>
      <c r="DX119" s="211">
        <f t="shared" si="31"/>
        <v>0</v>
      </c>
    </row>
    <row r="120" spans="1:128" x14ac:dyDescent="0.25">
      <c r="A120" s="204" t="e">
        <f>IF(INDEX(#REF!,ROW(120:120)-1,1)=0,"",INDEX(#REF!,ROW(120:120)-1,1))</f>
        <v>#REF!</v>
      </c>
      <c r="B120" s="205" t="str">
        <f>IFERROR(VLOOKUP(Opv.kohd.[[#This Row],[Y-tunnus]],'0 Järjestäjätiedot'!$A:$H,2,FALSE),"")</f>
        <v/>
      </c>
      <c r="C120" s="204" t="str">
        <f>IFERROR(VLOOKUP(Opv.kohd.[[#This Row],[Y-tunnus]],'0 Järjestäjätiedot'!$A:$H,COLUMN('0 Järjestäjätiedot'!D:D),FALSE),"")</f>
        <v/>
      </c>
      <c r="D120" s="204" t="str">
        <f>IFERROR(VLOOKUP(Opv.kohd.[[#This Row],[Y-tunnus]],'0 Järjestäjätiedot'!$A:$H,COLUMN('0 Järjestäjätiedot'!H:H),FALSE),"")</f>
        <v/>
      </c>
      <c r="E120" s="204">
        <f>IFERROR(VLOOKUP(Opv.kohd.[[#This Row],[Y-tunnus]],#REF!,COLUMN(#REF!),FALSE),0)</f>
        <v>0</v>
      </c>
      <c r="F120" s="204">
        <f>IFERROR(VLOOKUP(Opv.kohd.[[#This Row],[Y-tunnus]],#REF!,COLUMN(#REF!),FALSE),0)</f>
        <v>0</v>
      </c>
      <c r="G120" s="204">
        <f>IFERROR(VLOOKUP(Opv.kohd.[[#This Row],[Y-tunnus]],#REF!,COLUMN(#REF!),FALSE),0)</f>
        <v>0</v>
      </c>
      <c r="H120" s="204">
        <f>IFERROR(VLOOKUP(Opv.kohd.[[#This Row],[Y-tunnus]],#REF!,COLUMN(#REF!),FALSE),0)</f>
        <v>0</v>
      </c>
      <c r="I120" s="204">
        <f>IFERROR(VLOOKUP(Opv.kohd.[[#This Row],[Y-tunnus]],#REF!,COLUMN(#REF!),FALSE),0)</f>
        <v>0</v>
      </c>
      <c r="J120" s="204">
        <f>IFERROR(VLOOKUP(Opv.kohd.[[#This Row],[Y-tunnus]],#REF!,COLUMN(#REF!),FALSE),0)</f>
        <v>0</v>
      </c>
      <c r="K12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20" s="204">
        <f>Opv.kohd.[[#This Row],[Järjestämisluvan mukaiset 1]]+Opv.kohd.[[#This Row],[Yhteensä  1]]</f>
        <v>0</v>
      </c>
      <c r="M120" s="204">
        <f>IFERROR(VLOOKUP(Opv.kohd.[[#This Row],[Y-tunnus]],#REF!,COLUMN(#REF!),FALSE),0)</f>
        <v>0</v>
      </c>
      <c r="N120" s="204">
        <f>IFERROR(VLOOKUP(Opv.kohd.[[#This Row],[Y-tunnus]],#REF!,COLUMN(#REF!),FALSE),0)</f>
        <v>0</v>
      </c>
      <c r="O120" s="204">
        <f>IFERROR(VLOOKUP(Opv.kohd.[[#This Row],[Y-tunnus]],#REF!,COLUMN(#REF!),FALSE)+VLOOKUP(Opv.kohd.[[#This Row],[Y-tunnus]],#REF!,COLUMN(#REF!),FALSE),0)</f>
        <v>0</v>
      </c>
      <c r="P120" s="204">
        <f>Opv.kohd.[[#This Row],[Talousarvion perusteella kohdentamattomat]]+Opv.kohd.[[#This Row],[Talousarvion perusteella työvoimakoulutus 1]]+Opv.kohd.[[#This Row],[Lisätalousarvioiden perusteella]]</f>
        <v>0</v>
      </c>
      <c r="Q120" s="204">
        <f>IFERROR(VLOOKUP(Opv.kohd.[[#This Row],[Y-tunnus]],#REF!,COLUMN(#REF!),FALSE),0)</f>
        <v>0</v>
      </c>
      <c r="R120" s="210">
        <f>IFERROR(VLOOKUP(Opv.kohd.[[#This Row],[Y-tunnus]],#REF!,COLUMN(#REF!),FALSE)-(Opv.kohd.[[#This Row],[Kohdentamaton työvoima-koulutus 2]]+Opv.kohd.[[#This Row],[Maahan-muuttajien koulutus 2]]+Opv.kohd.[[#This Row],[Lisätalousarvioiden perusteella jaetut 2]]),0)</f>
        <v>0</v>
      </c>
      <c r="S120" s="210">
        <f>IFERROR(VLOOKUP(Opv.kohd.[[#This Row],[Y-tunnus]],#REF!,COLUMN(#REF!),FALSE)+VLOOKUP(Opv.kohd.[[#This Row],[Y-tunnus]],#REF!,COLUMN(#REF!),FALSE),0)</f>
        <v>0</v>
      </c>
      <c r="T120" s="210">
        <f>IFERROR(VLOOKUP(Opv.kohd.[[#This Row],[Y-tunnus]],#REF!,COLUMN(#REF!),FALSE)+VLOOKUP(Opv.kohd.[[#This Row],[Y-tunnus]],#REF!,COLUMN(#REF!),FALSE),0)</f>
        <v>0</v>
      </c>
      <c r="U12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20" s="210">
        <f>Opv.kohd.[[#This Row],[Kohdentamat-tomat 2]]+Opv.kohd.[[#This Row],[Kohdentamaton työvoima-koulutus 2]]+Opv.kohd.[[#This Row],[Maahan-muuttajien koulutus 2]]+Opv.kohd.[[#This Row],[Lisätalousarvioiden perusteella jaetut 2]]</f>
        <v>0</v>
      </c>
      <c r="W120" s="210">
        <f>Opv.kohd.[[#This Row],[Kohdentamat-tomat 2]]-(Opv.kohd.[[#This Row],[Järjestämisluvan mukaiset 1]]+Opv.kohd.[[#This Row],[Kohdentamat-tomat 1]]+Opv.kohd.[[#This Row],[Nuorisotyöt. väh. ja osaamistarp. vast., muu kuin työvoima-koulutus 1]]+Opv.kohd.[[#This Row],[Talousarvion perusteella kohdentamattomat]])</f>
        <v>0</v>
      </c>
      <c r="X120" s="210">
        <f>Opv.kohd.[[#This Row],[Kohdentamaton työvoima-koulutus 2]]-(Opv.kohd.[[#This Row],[Työvoima-koulutus 1]]+Opv.kohd.[[#This Row],[Nuorisotyöt. väh. ja osaamistarp. vast., työvoima-koulutus 1]]+Opv.kohd.[[#This Row],[Talousarvion perusteella työvoimakoulutus 1]])</f>
        <v>0</v>
      </c>
      <c r="Y120" s="210">
        <f>Opv.kohd.[[#This Row],[Maahan-muuttajien koulutus 2]]-Opv.kohd.[[#This Row],[Maahan-muuttajien koulutus 1]]</f>
        <v>0</v>
      </c>
      <c r="Z120" s="210">
        <f>Opv.kohd.[[#This Row],[Lisätalousarvioiden perusteella jaetut 2]]-Opv.kohd.[[#This Row],[Lisätalousarvioiden perusteella]]</f>
        <v>0</v>
      </c>
      <c r="AA120" s="210">
        <f>Opv.kohd.[[#This Row],[Toteutuneet opiskelijavuodet yhteensä 2]]-Opv.kohd.[[#This Row],[Vuoden 2018 tavoitteelliset opiskelijavuodet yhteensä 1]]</f>
        <v>0</v>
      </c>
      <c r="AB120" s="207">
        <f>IFERROR(VLOOKUP(Opv.kohd.[[#This Row],[Y-tunnus]],#REF!,3,FALSE),0)</f>
        <v>0</v>
      </c>
      <c r="AC120" s="207">
        <f>IFERROR(VLOOKUP(Opv.kohd.[[#This Row],[Y-tunnus]],#REF!,4,FALSE),0)</f>
        <v>0</v>
      </c>
      <c r="AD120" s="207">
        <f>IFERROR(VLOOKUP(Opv.kohd.[[#This Row],[Y-tunnus]],#REF!,5,FALSE),0)</f>
        <v>0</v>
      </c>
      <c r="AE120" s="207">
        <f>IFERROR(VLOOKUP(Opv.kohd.[[#This Row],[Y-tunnus]],#REF!,6,FALSE),0)</f>
        <v>0</v>
      </c>
      <c r="AF120" s="207">
        <f>IFERROR(VLOOKUP(Opv.kohd.[[#This Row],[Y-tunnus]],#REF!,7,FALSE),0)</f>
        <v>0</v>
      </c>
      <c r="AG120" s="207">
        <f>IFERROR(VLOOKUP(Opv.kohd.[[#This Row],[Y-tunnus]],#REF!,8,FALSE),0)</f>
        <v>0</v>
      </c>
      <c r="AH120" s="207">
        <f>IFERROR(VLOOKUP(Opv.kohd.[[#This Row],[Y-tunnus]],#REF!,9,FALSE),0)</f>
        <v>0</v>
      </c>
      <c r="AI120" s="207">
        <f>IFERROR(VLOOKUP(Opv.kohd.[[#This Row],[Y-tunnus]],#REF!,10,FALSE),0)</f>
        <v>0</v>
      </c>
      <c r="AJ120" s="204">
        <f>Opv.kohd.[[#This Row],[Järjestämisluvan mukaiset 4]]-Opv.kohd.[[#This Row],[Järjestämisluvan mukaiset 1]]</f>
        <v>0</v>
      </c>
      <c r="AK120" s="204">
        <f>Opv.kohd.[[#This Row],[Kohdentamat-tomat 4]]-Opv.kohd.[[#This Row],[Kohdentamat-tomat 1]]</f>
        <v>0</v>
      </c>
      <c r="AL120" s="204">
        <f>Opv.kohd.[[#This Row],[Työvoima-koulutus 4]]-Opv.kohd.[[#This Row],[Työvoima-koulutus 1]]</f>
        <v>0</v>
      </c>
      <c r="AM120" s="204">
        <f>Opv.kohd.[[#This Row],[Maahan-muuttajien koulutus 4]]-Opv.kohd.[[#This Row],[Maahan-muuttajien koulutus 1]]</f>
        <v>0</v>
      </c>
      <c r="AN120" s="204">
        <f>Opv.kohd.[[#This Row],[Nuorisotyöt. väh. ja osaamistarp. vast., muu kuin työvoima-koulutus 4]]-Opv.kohd.[[#This Row],[Nuorisotyöt. väh. ja osaamistarp. vast., muu kuin työvoima-koulutus 1]]</f>
        <v>0</v>
      </c>
      <c r="AO120" s="204">
        <f>Opv.kohd.[[#This Row],[Nuorisotyöt. väh. ja osaamistarp. vast., työvoima-koulutus 4]]-Opv.kohd.[[#This Row],[Nuorisotyöt. väh. ja osaamistarp. vast., työvoima-koulutus 1]]</f>
        <v>0</v>
      </c>
      <c r="AP120" s="204">
        <f>Opv.kohd.[[#This Row],[Yhteensä 4]]-Opv.kohd.[[#This Row],[Yhteensä  1]]</f>
        <v>0</v>
      </c>
      <c r="AQ120" s="204">
        <f>Opv.kohd.[[#This Row],[Ensikertaisella suoritepäätöksellä jaetut tavoitteelliset opiskelijavuodet yhteensä 4]]-Opv.kohd.[[#This Row],[Ensikertaisella suoritepäätöksellä jaetut tavoitteelliset opiskelijavuodet yhteensä 1]]</f>
        <v>0</v>
      </c>
      <c r="AR120" s="208">
        <f>IFERROR(Opv.kohd.[[#This Row],[Järjestämisluvan mukaiset 5]]/Opv.kohd.[[#This Row],[Järjestämisluvan mukaiset 4]],0)</f>
        <v>0</v>
      </c>
      <c r="AS120" s="208">
        <f>IFERROR(Opv.kohd.[[#This Row],[Kohdentamat-tomat 5]]/Opv.kohd.[[#This Row],[Kohdentamat-tomat 4]],0)</f>
        <v>0</v>
      </c>
      <c r="AT120" s="208">
        <f>IFERROR(Opv.kohd.[[#This Row],[Työvoima-koulutus 5]]/Opv.kohd.[[#This Row],[Työvoima-koulutus 4]],0)</f>
        <v>0</v>
      </c>
      <c r="AU120" s="208">
        <f>IFERROR(Opv.kohd.[[#This Row],[Maahan-muuttajien koulutus 5]]/Opv.kohd.[[#This Row],[Maahan-muuttajien koulutus 4]],0)</f>
        <v>0</v>
      </c>
      <c r="AV120" s="208">
        <f>IFERROR(Opv.kohd.[[#This Row],[Nuorisotyöt. väh. ja osaamistarp. vast., muu kuin työvoima-koulutus 5]]/Opv.kohd.[[#This Row],[Nuorisotyöt. väh. ja osaamistarp. vast., muu kuin työvoima-koulutus 4]],0)</f>
        <v>0</v>
      </c>
      <c r="AW120" s="208">
        <f>IFERROR(Opv.kohd.[[#This Row],[Nuorisotyöt. väh. ja osaamistarp. vast., työvoima-koulutus 5]]/Opv.kohd.[[#This Row],[Nuorisotyöt. väh. ja osaamistarp. vast., työvoima-koulutus 4]],0)</f>
        <v>0</v>
      </c>
      <c r="AX120" s="208">
        <f>IFERROR(Opv.kohd.[[#This Row],[Yhteensä 5]]/Opv.kohd.[[#This Row],[Yhteensä 4]],0)</f>
        <v>0</v>
      </c>
      <c r="AY120" s="208">
        <f>IFERROR(Opv.kohd.[[#This Row],[Ensikertaisella suoritepäätöksellä jaetut tavoitteelliset opiskelijavuodet yhteensä 5]]/Opv.kohd.[[#This Row],[Ensikertaisella suoritepäätöksellä jaetut tavoitteelliset opiskelijavuodet yhteensä 4]],0)</f>
        <v>0</v>
      </c>
      <c r="AZ120" s="207">
        <f>Opv.kohd.[[#This Row],[Yhteensä 7a]]-Opv.kohd.[[#This Row],[Työvoima-koulutus 7a]]</f>
        <v>0</v>
      </c>
      <c r="BA120" s="207">
        <f>IFERROR(VLOOKUP(Opv.kohd.[[#This Row],[Y-tunnus]],#REF!,COLUMN(#REF!),FALSE),0)</f>
        <v>0</v>
      </c>
      <c r="BB120" s="207">
        <f>IFERROR(VLOOKUP(Opv.kohd.[[#This Row],[Y-tunnus]],#REF!,COLUMN(#REF!),FALSE),0)</f>
        <v>0</v>
      </c>
      <c r="BC120" s="207">
        <f>Opv.kohd.[[#This Row],[Muu kuin työvoima-koulutus 7c]]-Opv.kohd.[[#This Row],[Muu kuin työvoima-koulutus 7a]]</f>
        <v>0</v>
      </c>
      <c r="BD120" s="207">
        <f>Opv.kohd.[[#This Row],[Työvoima-koulutus 7c]]-Opv.kohd.[[#This Row],[Työvoima-koulutus 7a]]</f>
        <v>0</v>
      </c>
      <c r="BE120" s="207">
        <f>Opv.kohd.[[#This Row],[Yhteensä 7c]]-Opv.kohd.[[#This Row],[Yhteensä 7a]]</f>
        <v>0</v>
      </c>
      <c r="BF120" s="207">
        <f>Opv.kohd.[[#This Row],[Yhteensä 7c]]-Opv.kohd.[[#This Row],[Työvoima-koulutus 7c]]</f>
        <v>0</v>
      </c>
      <c r="BG120" s="207">
        <f>IFERROR(VLOOKUP(Opv.kohd.[[#This Row],[Y-tunnus]],#REF!,COLUMN(#REF!),FALSE),0)</f>
        <v>0</v>
      </c>
      <c r="BH120" s="207">
        <f>IFERROR(VLOOKUP(Opv.kohd.[[#This Row],[Y-tunnus]],#REF!,COLUMN(#REF!),FALSE),0)</f>
        <v>0</v>
      </c>
      <c r="BI120" s="207">
        <f>IFERROR(VLOOKUP(Opv.kohd.[[#This Row],[Y-tunnus]],#REF!,COLUMN(#REF!),FALSE),0)</f>
        <v>0</v>
      </c>
      <c r="BJ120" s="207">
        <f>IFERROR(VLOOKUP(Opv.kohd.[[#This Row],[Y-tunnus]],#REF!,COLUMN(#REF!),FALSE),0)</f>
        <v>0</v>
      </c>
      <c r="BK120" s="207">
        <f>Opv.kohd.[[#This Row],[Muu kuin työvoima-koulutus 7d]]+Opv.kohd.[[#This Row],[Työvoima-koulutus 7d]]</f>
        <v>0</v>
      </c>
      <c r="BL120" s="207">
        <f>Opv.kohd.[[#This Row],[Muu kuin työvoima-koulutus 7c]]-Opv.kohd.[[#This Row],[Muu kuin työvoima-koulutus 7d]]</f>
        <v>0</v>
      </c>
      <c r="BM120" s="207">
        <f>Opv.kohd.[[#This Row],[Työvoima-koulutus 7c]]-Opv.kohd.[[#This Row],[Työvoima-koulutus 7d]]</f>
        <v>0</v>
      </c>
      <c r="BN120" s="207">
        <f>Opv.kohd.[[#This Row],[Yhteensä 7c]]-Opv.kohd.[[#This Row],[Yhteensä 7d]]</f>
        <v>0</v>
      </c>
      <c r="BO120" s="207">
        <f>Opv.kohd.[[#This Row],[Muu kuin työvoima-koulutus 7e]]-(Opv.kohd.[[#This Row],[Järjestämisluvan mukaiset 4]]+Opv.kohd.[[#This Row],[Kohdentamat-tomat 4]]+Opv.kohd.[[#This Row],[Maahan-muuttajien koulutus 4]]+Opv.kohd.[[#This Row],[Nuorisotyöt. väh. ja osaamistarp. vast., muu kuin työvoima-koulutus 4]])</f>
        <v>0</v>
      </c>
      <c r="BP120" s="207">
        <f>Opv.kohd.[[#This Row],[Työvoima-koulutus 7e]]-(Opv.kohd.[[#This Row],[Työvoima-koulutus 4]]+Opv.kohd.[[#This Row],[Nuorisotyöt. väh. ja osaamistarp. vast., työvoima-koulutus 4]])</f>
        <v>0</v>
      </c>
      <c r="BQ120" s="207">
        <f>Opv.kohd.[[#This Row],[Yhteensä 7e]]-Opv.kohd.[[#This Row],[Ensikertaisella suoritepäätöksellä jaetut tavoitteelliset opiskelijavuodet yhteensä 4]]</f>
        <v>0</v>
      </c>
      <c r="BR120" s="263">
        <v>214</v>
      </c>
      <c r="BS120" s="263">
        <v>10</v>
      </c>
      <c r="BT120" s="263">
        <v>0</v>
      </c>
      <c r="BU120" s="263">
        <v>0</v>
      </c>
      <c r="BV120" s="263">
        <v>0</v>
      </c>
      <c r="BW120" s="263">
        <v>0</v>
      </c>
      <c r="BX120" s="263">
        <v>10</v>
      </c>
      <c r="BY120" s="263">
        <v>224</v>
      </c>
      <c r="BZ120" s="207">
        <f t="shared" si="17"/>
        <v>214</v>
      </c>
      <c r="CA120" s="207">
        <f t="shared" si="18"/>
        <v>10</v>
      </c>
      <c r="CB120" s="207">
        <f t="shared" si="19"/>
        <v>0</v>
      </c>
      <c r="CC120" s="207">
        <f t="shared" si="20"/>
        <v>0</v>
      </c>
      <c r="CD120" s="207">
        <f t="shared" si="21"/>
        <v>0</v>
      </c>
      <c r="CE120" s="207">
        <f t="shared" si="22"/>
        <v>0</v>
      </c>
      <c r="CF120" s="207">
        <f t="shared" si="23"/>
        <v>10</v>
      </c>
      <c r="CG120" s="207">
        <f t="shared" si="24"/>
        <v>224</v>
      </c>
      <c r="CH120" s="207">
        <f>Opv.kohd.[[#This Row],[Tavoitteelliset opiskelijavuodet yhteensä 9]]-Opv.kohd.[[#This Row],[Työvoima-koulutus 9]]-Opv.kohd.[[#This Row],[Nuorisotyöt. väh. ja osaamistarp. vast., työvoima-koulutus 9]]-Opv.kohd.[[#This Row],[Muu kuin työvoima-koulutus 7e]]</f>
        <v>224</v>
      </c>
      <c r="CI120" s="207">
        <f>(Opv.kohd.[[#This Row],[Työvoima-koulutus 9]]+Opv.kohd.[[#This Row],[Nuorisotyöt. väh. ja osaamistarp. vast., työvoima-koulutus 9]])-Opv.kohd.[[#This Row],[Työvoima-koulutus 7e]]</f>
        <v>0</v>
      </c>
      <c r="CJ120" s="207">
        <f>Opv.kohd.[[#This Row],[Tavoitteelliset opiskelijavuodet yhteensä 9]]-Opv.kohd.[[#This Row],[Yhteensä 7e]]</f>
        <v>224</v>
      </c>
      <c r="CK120" s="207">
        <f>Opv.kohd.[[#This Row],[Järjestämisluvan mukaiset 4]]+Opv.kohd.[[#This Row],[Järjestämisluvan mukaiset 13]]</f>
        <v>0</v>
      </c>
      <c r="CL120" s="207">
        <f>Opv.kohd.[[#This Row],[Kohdentamat-tomat 4]]+Opv.kohd.[[#This Row],[Kohdentamat-tomat 13]]</f>
        <v>0</v>
      </c>
      <c r="CM120" s="207">
        <f>Opv.kohd.[[#This Row],[Työvoima-koulutus 4]]+Opv.kohd.[[#This Row],[Työvoima-koulutus 13]]</f>
        <v>0</v>
      </c>
      <c r="CN120" s="207">
        <f>Opv.kohd.[[#This Row],[Maahan-muuttajien koulutus 4]]+Opv.kohd.[[#This Row],[Maahan-muuttajien koulutus 13]]</f>
        <v>0</v>
      </c>
      <c r="CO120" s="207">
        <f>Opv.kohd.[[#This Row],[Nuorisotyöt. väh. ja osaamistarp. vast., muu kuin työvoima-koulutus 4]]+Opv.kohd.[[#This Row],[Nuorisotyöt. väh. ja osaamistarp. vast., muu kuin työvoima-koulutus 13]]</f>
        <v>0</v>
      </c>
      <c r="CP120" s="207">
        <f>Opv.kohd.[[#This Row],[Nuorisotyöt. väh. ja osaamistarp. vast., työvoima-koulutus 4]]+Opv.kohd.[[#This Row],[Nuorisotyöt. väh. ja osaamistarp. vast., työvoima-koulutus 13]]</f>
        <v>0</v>
      </c>
      <c r="CQ120" s="207">
        <f>Opv.kohd.[[#This Row],[Yhteensä 4]]+Opv.kohd.[[#This Row],[Yhteensä 13]]</f>
        <v>0</v>
      </c>
      <c r="CR120" s="207">
        <f>Opv.kohd.[[#This Row],[Ensikertaisella suoritepäätöksellä jaetut tavoitteelliset opiskelijavuodet yhteensä 4]]+Opv.kohd.[[#This Row],[Tavoitteelliset opiskelijavuodet yhteensä 13]]</f>
        <v>0</v>
      </c>
      <c r="CS120" s="120">
        <v>0</v>
      </c>
      <c r="CT120" s="120">
        <v>0</v>
      </c>
      <c r="CU120" s="120">
        <v>0</v>
      </c>
      <c r="CV120" s="120">
        <v>0</v>
      </c>
      <c r="CW120" s="120">
        <v>0</v>
      </c>
      <c r="CX120" s="120">
        <v>0</v>
      </c>
      <c r="CY120" s="120">
        <v>0</v>
      </c>
      <c r="CZ120" s="120">
        <v>0</v>
      </c>
      <c r="DA120" s="209">
        <f>IFERROR(Opv.kohd.[[#This Row],[Järjestämisluvan mukaiset 13]]/Opv.kohd.[[#This Row],[Järjestämisluvan mukaiset 12]],0)</f>
        <v>0</v>
      </c>
      <c r="DB120" s="209">
        <f>IFERROR(Opv.kohd.[[#This Row],[Kohdentamat-tomat 13]]/Opv.kohd.[[#This Row],[Kohdentamat-tomat 12]],0)</f>
        <v>0</v>
      </c>
      <c r="DC120" s="209">
        <f>IFERROR(Opv.kohd.[[#This Row],[Työvoima-koulutus 13]]/Opv.kohd.[[#This Row],[Työvoima-koulutus 12]],0)</f>
        <v>0</v>
      </c>
      <c r="DD120" s="209">
        <f>IFERROR(Opv.kohd.[[#This Row],[Maahan-muuttajien koulutus 13]]/Opv.kohd.[[#This Row],[Maahan-muuttajien koulutus 12]],0)</f>
        <v>0</v>
      </c>
      <c r="DE120" s="209">
        <f>IFERROR(Opv.kohd.[[#This Row],[Nuorisotyöt. väh. ja osaamistarp. vast., muu kuin työvoima-koulutus 13]]/Opv.kohd.[[#This Row],[Nuorisotyöt. väh. ja osaamistarp. vast., muu kuin työvoima-koulutus 12]],0)</f>
        <v>0</v>
      </c>
      <c r="DF120" s="209">
        <f>IFERROR(Opv.kohd.[[#This Row],[Nuorisotyöt. väh. ja osaamistarp. vast., työvoima-koulutus 13]]/Opv.kohd.[[#This Row],[Nuorisotyöt. väh. ja osaamistarp. vast., työvoima-koulutus 12]],0)</f>
        <v>0</v>
      </c>
      <c r="DG120" s="209">
        <f>IFERROR(Opv.kohd.[[#This Row],[Yhteensä 13]]/Opv.kohd.[[#This Row],[Yhteensä 12]],0)</f>
        <v>0</v>
      </c>
      <c r="DH120" s="209">
        <f>IFERROR(Opv.kohd.[[#This Row],[Tavoitteelliset opiskelijavuodet yhteensä 13]]/Opv.kohd.[[#This Row],[Tavoitteelliset opiskelijavuodet yhteensä 12]],0)</f>
        <v>0</v>
      </c>
      <c r="DI120" s="207">
        <f>Opv.kohd.[[#This Row],[Järjestämisluvan mukaiset 12]]-Opv.kohd.[[#This Row],[Järjestämisluvan mukaiset 9]]</f>
        <v>-214</v>
      </c>
      <c r="DJ120" s="207">
        <f>Opv.kohd.[[#This Row],[Kohdentamat-tomat 12]]-Opv.kohd.[[#This Row],[Kohdentamat-tomat 9]]</f>
        <v>-10</v>
      </c>
      <c r="DK120" s="207">
        <f>Opv.kohd.[[#This Row],[Työvoima-koulutus 12]]-Opv.kohd.[[#This Row],[Työvoima-koulutus 9]]</f>
        <v>0</v>
      </c>
      <c r="DL120" s="207">
        <f>Opv.kohd.[[#This Row],[Maahan-muuttajien koulutus 12]]-Opv.kohd.[[#This Row],[Maahan-muuttajien koulutus 9]]</f>
        <v>0</v>
      </c>
      <c r="DM120" s="207">
        <f>Opv.kohd.[[#This Row],[Nuorisotyöt. väh. ja osaamistarp. vast., muu kuin työvoima-koulutus 12]]-Opv.kohd.[[#This Row],[Nuorisotyöt. väh. ja osaamistarp. vast., muu kuin työvoima-koulutus 9]]</f>
        <v>0</v>
      </c>
      <c r="DN120" s="207">
        <f>Opv.kohd.[[#This Row],[Nuorisotyöt. väh. ja osaamistarp. vast., työvoima-koulutus 12]]-Opv.kohd.[[#This Row],[Nuorisotyöt. väh. ja osaamistarp. vast., työvoima-koulutus 9]]</f>
        <v>0</v>
      </c>
      <c r="DO120" s="207">
        <f>Opv.kohd.[[#This Row],[Yhteensä 12]]-Opv.kohd.[[#This Row],[Yhteensä 9]]</f>
        <v>-10</v>
      </c>
      <c r="DP120" s="207">
        <f>Opv.kohd.[[#This Row],[Tavoitteelliset opiskelijavuodet yhteensä 12]]-Opv.kohd.[[#This Row],[Tavoitteelliset opiskelijavuodet yhteensä 9]]</f>
        <v>-224</v>
      </c>
      <c r="DQ120" s="209">
        <f>IFERROR(Opv.kohd.[[#This Row],[Järjestämisluvan mukaiset 15]]/Opv.kohd.[[#This Row],[Järjestämisluvan mukaiset 9]],0)</f>
        <v>-1</v>
      </c>
      <c r="DR120" s="209">
        <f t="shared" si="25"/>
        <v>0</v>
      </c>
      <c r="DS120" s="209">
        <f t="shared" si="26"/>
        <v>0</v>
      </c>
      <c r="DT120" s="209">
        <f t="shared" si="27"/>
        <v>0</v>
      </c>
      <c r="DU120" s="209">
        <f t="shared" si="28"/>
        <v>0</v>
      </c>
      <c r="DV120" s="209">
        <f t="shared" si="29"/>
        <v>0</v>
      </c>
      <c r="DW120" s="209">
        <f t="shared" si="30"/>
        <v>0</v>
      </c>
      <c r="DX120" s="209">
        <f t="shared" si="31"/>
        <v>0</v>
      </c>
    </row>
    <row r="121" spans="1:128" x14ac:dyDescent="0.25">
      <c r="A121" s="204" t="e">
        <f>IF(INDEX(#REF!,ROW(121:121)-1,1)=0,"",INDEX(#REF!,ROW(121:121)-1,1))</f>
        <v>#REF!</v>
      </c>
      <c r="B121" s="205" t="str">
        <f>IFERROR(VLOOKUP(Opv.kohd.[[#This Row],[Y-tunnus]],'0 Järjestäjätiedot'!$A:$H,2,FALSE),"")</f>
        <v/>
      </c>
      <c r="C121" s="204" t="str">
        <f>IFERROR(VLOOKUP(Opv.kohd.[[#This Row],[Y-tunnus]],'0 Järjestäjätiedot'!$A:$H,COLUMN('0 Järjestäjätiedot'!D:D),FALSE),"")</f>
        <v/>
      </c>
      <c r="D121" s="204" t="str">
        <f>IFERROR(VLOOKUP(Opv.kohd.[[#This Row],[Y-tunnus]],'0 Järjestäjätiedot'!$A:$H,COLUMN('0 Järjestäjätiedot'!H:H),FALSE),"")</f>
        <v/>
      </c>
      <c r="E121" s="204">
        <f>IFERROR(VLOOKUP(Opv.kohd.[[#This Row],[Y-tunnus]],#REF!,COLUMN(#REF!),FALSE),0)</f>
        <v>0</v>
      </c>
      <c r="F121" s="204">
        <f>IFERROR(VLOOKUP(Opv.kohd.[[#This Row],[Y-tunnus]],#REF!,COLUMN(#REF!),FALSE),0)</f>
        <v>0</v>
      </c>
      <c r="G121" s="204">
        <f>IFERROR(VLOOKUP(Opv.kohd.[[#This Row],[Y-tunnus]],#REF!,COLUMN(#REF!),FALSE),0)</f>
        <v>0</v>
      </c>
      <c r="H121" s="204">
        <f>IFERROR(VLOOKUP(Opv.kohd.[[#This Row],[Y-tunnus]],#REF!,COLUMN(#REF!),FALSE),0)</f>
        <v>0</v>
      </c>
      <c r="I121" s="204">
        <f>IFERROR(VLOOKUP(Opv.kohd.[[#This Row],[Y-tunnus]],#REF!,COLUMN(#REF!),FALSE),0)</f>
        <v>0</v>
      </c>
      <c r="J121" s="204">
        <f>IFERROR(VLOOKUP(Opv.kohd.[[#This Row],[Y-tunnus]],#REF!,COLUMN(#REF!),FALSE),0)</f>
        <v>0</v>
      </c>
      <c r="K12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21" s="204">
        <f>Opv.kohd.[[#This Row],[Järjestämisluvan mukaiset 1]]+Opv.kohd.[[#This Row],[Yhteensä  1]]</f>
        <v>0</v>
      </c>
      <c r="M121" s="204">
        <f>IFERROR(VLOOKUP(Opv.kohd.[[#This Row],[Y-tunnus]],#REF!,COLUMN(#REF!),FALSE),0)</f>
        <v>0</v>
      </c>
      <c r="N121" s="204">
        <f>IFERROR(VLOOKUP(Opv.kohd.[[#This Row],[Y-tunnus]],#REF!,COLUMN(#REF!),FALSE),0)</f>
        <v>0</v>
      </c>
      <c r="O121" s="204">
        <f>IFERROR(VLOOKUP(Opv.kohd.[[#This Row],[Y-tunnus]],#REF!,COLUMN(#REF!),FALSE)+VLOOKUP(Opv.kohd.[[#This Row],[Y-tunnus]],#REF!,COLUMN(#REF!),FALSE),0)</f>
        <v>0</v>
      </c>
      <c r="P121" s="204">
        <f>Opv.kohd.[[#This Row],[Talousarvion perusteella kohdentamattomat]]+Opv.kohd.[[#This Row],[Talousarvion perusteella työvoimakoulutus 1]]+Opv.kohd.[[#This Row],[Lisätalousarvioiden perusteella]]</f>
        <v>0</v>
      </c>
      <c r="Q121" s="204">
        <f>IFERROR(VLOOKUP(Opv.kohd.[[#This Row],[Y-tunnus]],#REF!,COLUMN(#REF!),FALSE),0)</f>
        <v>0</v>
      </c>
      <c r="R121" s="210">
        <f>IFERROR(VLOOKUP(Opv.kohd.[[#This Row],[Y-tunnus]],#REF!,COLUMN(#REF!),FALSE)-(Opv.kohd.[[#This Row],[Kohdentamaton työvoima-koulutus 2]]+Opv.kohd.[[#This Row],[Maahan-muuttajien koulutus 2]]+Opv.kohd.[[#This Row],[Lisätalousarvioiden perusteella jaetut 2]]),0)</f>
        <v>0</v>
      </c>
      <c r="S121" s="210">
        <f>IFERROR(VLOOKUP(Opv.kohd.[[#This Row],[Y-tunnus]],#REF!,COLUMN(#REF!),FALSE)+VLOOKUP(Opv.kohd.[[#This Row],[Y-tunnus]],#REF!,COLUMN(#REF!),FALSE),0)</f>
        <v>0</v>
      </c>
      <c r="T121" s="210">
        <f>IFERROR(VLOOKUP(Opv.kohd.[[#This Row],[Y-tunnus]],#REF!,COLUMN(#REF!),FALSE)+VLOOKUP(Opv.kohd.[[#This Row],[Y-tunnus]],#REF!,COLUMN(#REF!),FALSE),0)</f>
        <v>0</v>
      </c>
      <c r="U12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21" s="210">
        <f>Opv.kohd.[[#This Row],[Kohdentamat-tomat 2]]+Opv.kohd.[[#This Row],[Kohdentamaton työvoima-koulutus 2]]+Opv.kohd.[[#This Row],[Maahan-muuttajien koulutus 2]]+Opv.kohd.[[#This Row],[Lisätalousarvioiden perusteella jaetut 2]]</f>
        <v>0</v>
      </c>
      <c r="W121" s="210">
        <f>Opv.kohd.[[#This Row],[Kohdentamat-tomat 2]]-(Opv.kohd.[[#This Row],[Järjestämisluvan mukaiset 1]]+Opv.kohd.[[#This Row],[Kohdentamat-tomat 1]]+Opv.kohd.[[#This Row],[Nuorisotyöt. väh. ja osaamistarp. vast., muu kuin työvoima-koulutus 1]]+Opv.kohd.[[#This Row],[Talousarvion perusteella kohdentamattomat]])</f>
        <v>0</v>
      </c>
      <c r="X121" s="210">
        <f>Opv.kohd.[[#This Row],[Kohdentamaton työvoima-koulutus 2]]-(Opv.kohd.[[#This Row],[Työvoima-koulutus 1]]+Opv.kohd.[[#This Row],[Nuorisotyöt. väh. ja osaamistarp. vast., työvoima-koulutus 1]]+Opv.kohd.[[#This Row],[Talousarvion perusteella työvoimakoulutus 1]])</f>
        <v>0</v>
      </c>
      <c r="Y121" s="210">
        <f>Opv.kohd.[[#This Row],[Maahan-muuttajien koulutus 2]]-Opv.kohd.[[#This Row],[Maahan-muuttajien koulutus 1]]</f>
        <v>0</v>
      </c>
      <c r="Z121" s="210">
        <f>Opv.kohd.[[#This Row],[Lisätalousarvioiden perusteella jaetut 2]]-Opv.kohd.[[#This Row],[Lisätalousarvioiden perusteella]]</f>
        <v>0</v>
      </c>
      <c r="AA121" s="210">
        <f>Opv.kohd.[[#This Row],[Toteutuneet opiskelijavuodet yhteensä 2]]-Opv.kohd.[[#This Row],[Vuoden 2018 tavoitteelliset opiskelijavuodet yhteensä 1]]</f>
        <v>0</v>
      </c>
      <c r="AB121" s="207">
        <f>IFERROR(VLOOKUP(Opv.kohd.[[#This Row],[Y-tunnus]],#REF!,3,FALSE),0)</f>
        <v>0</v>
      </c>
      <c r="AC121" s="207">
        <f>IFERROR(VLOOKUP(Opv.kohd.[[#This Row],[Y-tunnus]],#REF!,4,FALSE),0)</f>
        <v>0</v>
      </c>
      <c r="AD121" s="207">
        <f>IFERROR(VLOOKUP(Opv.kohd.[[#This Row],[Y-tunnus]],#REF!,5,FALSE),0)</f>
        <v>0</v>
      </c>
      <c r="AE121" s="207">
        <f>IFERROR(VLOOKUP(Opv.kohd.[[#This Row],[Y-tunnus]],#REF!,6,FALSE),0)</f>
        <v>0</v>
      </c>
      <c r="AF121" s="207">
        <f>IFERROR(VLOOKUP(Opv.kohd.[[#This Row],[Y-tunnus]],#REF!,7,FALSE),0)</f>
        <v>0</v>
      </c>
      <c r="AG121" s="207">
        <f>IFERROR(VLOOKUP(Opv.kohd.[[#This Row],[Y-tunnus]],#REF!,8,FALSE),0)</f>
        <v>0</v>
      </c>
      <c r="AH121" s="207">
        <f>IFERROR(VLOOKUP(Opv.kohd.[[#This Row],[Y-tunnus]],#REF!,9,FALSE),0)</f>
        <v>0</v>
      </c>
      <c r="AI121" s="207">
        <f>IFERROR(VLOOKUP(Opv.kohd.[[#This Row],[Y-tunnus]],#REF!,10,FALSE),0)</f>
        <v>0</v>
      </c>
      <c r="AJ121" s="204">
        <f>Opv.kohd.[[#This Row],[Järjestämisluvan mukaiset 4]]-Opv.kohd.[[#This Row],[Järjestämisluvan mukaiset 1]]</f>
        <v>0</v>
      </c>
      <c r="AK121" s="204">
        <f>Opv.kohd.[[#This Row],[Kohdentamat-tomat 4]]-Opv.kohd.[[#This Row],[Kohdentamat-tomat 1]]</f>
        <v>0</v>
      </c>
      <c r="AL121" s="204">
        <f>Opv.kohd.[[#This Row],[Työvoima-koulutus 4]]-Opv.kohd.[[#This Row],[Työvoima-koulutus 1]]</f>
        <v>0</v>
      </c>
      <c r="AM121" s="204">
        <f>Opv.kohd.[[#This Row],[Maahan-muuttajien koulutus 4]]-Opv.kohd.[[#This Row],[Maahan-muuttajien koulutus 1]]</f>
        <v>0</v>
      </c>
      <c r="AN121" s="204">
        <f>Opv.kohd.[[#This Row],[Nuorisotyöt. väh. ja osaamistarp. vast., muu kuin työvoima-koulutus 4]]-Opv.kohd.[[#This Row],[Nuorisotyöt. väh. ja osaamistarp. vast., muu kuin työvoima-koulutus 1]]</f>
        <v>0</v>
      </c>
      <c r="AO121" s="204">
        <f>Opv.kohd.[[#This Row],[Nuorisotyöt. väh. ja osaamistarp. vast., työvoima-koulutus 4]]-Opv.kohd.[[#This Row],[Nuorisotyöt. väh. ja osaamistarp. vast., työvoima-koulutus 1]]</f>
        <v>0</v>
      </c>
      <c r="AP121" s="204">
        <f>Opv.kohd.[[#This Row],[Yhteensä 4]]-Opv.kohd.[[#This Row],[Yhteensä  1]]</f>
        <v>0</v>
      </c>
      <c r="AQ121" s="204">
        <f>Opv.kohd.[[#This Row],[Ensikertaisella suoritepäätöksellä jaetut tavoitteelliset opiskelijavuodet yhteensä 4]]-Opv.kohd.[[#This Row],[Ensikertaisella suoritepäätöksellä jaetut tavoitteelliset opiskelijavuodet yhteensä 1]]</f>
        <v>0</v>
      </c>
      <c r="AR121" s="208">
        <f>IFERROR(Opv.kohd.[[#This Row],[Järjestämisluvan mukaiset 5]]/Opv.kohd.[[#This Row],[Järjestämisluvan mukaiset 4]],0)</f>
        <v>0</v>
      </c>
      <c r="AS121" s="208">
        <f>IFERROR(Opv.kohd.[[#This Row],[Kohdentamat-tomat 5]]/Opv.kohd.[[#This Row],[Kohdentamat-tomat 4]],0)</f>
        <v>0</v>
      </c>
      <c r="AT121" s="208">
        <f>IFERROR(Opv.kohd.[[#This Row],[Työvoima-koulutus 5]]/Opv.kohd.[[#This Row],[Työvoima-koulutus 4]],0)</f>
        <v>0</v>
      </c>
      <c r="AU121" s="208">
        <f>IFERROR(Opv.kohd.[[#This Row],[Maahan-muuttajien koulutus 5]]/Opv.kohd.[[#This Row],[Maahan-muuttajien koulutus 4]],0)</f>
        <v>0</v>
      </c>
      <c r="AV121" s="208">
        <f>IFERROR(Opv.kohd.[[#This Row],[Nuorisotyöt. väh. ja osaamistarp. vast., muu kuin työvoima-koulutus 5]]/Opv.kohd.[[#This Row],[Nuorisotyöt. väh. ja osaamistarp. vast., muu kuin työvoima-koulutus 4]],0)</f>
        <v>0</v>
      </c>
      <c r="AW121" s="208">
        <f>IFERROR(Opv.kohd.[[#This Row],[Nuorisotyöt. väh. ja osaamistarp. vast., työvoima-koulutus 5]]/Opv.kohd.[[#This Row],[Nuorisotyöt. väh. ja osaamistarp. vast., työvoima-koulutus 4]],0)</f>
        <v>0</v>
      </c>
      <c r="AX121" s="208">
        <f>IFERROR(Opv.kohd.[[#This Row],[Yhteensä 5]]/Opv.kohd.[[#This Row],[Yhteensä 4]],0)</f>
        <v>0</v>
      </c>
      <c r="AY121" s="208">
        <f>IFERROR(Opv.kohd.[[#This Row],[Ensikertaisella suoritepäätöksellä jaetut tavoitteelliset opiskelijavuodet yhteensä 5]]/Opv.kohd.[[#This Row],[Ensikertaisella suoritepäätöksellä jaetut tavoitteelliset opiskelijavuodet yhteensä 4]],0)</f>
        <v>0</v>
      </c>
      <c r="AZ121" s="207">
        <f>Opv.kohd.[[#This Row],[Yhteensä 7a]]-Opv.kohd.[[#This Row],[Työvoima-koulutus 7a]]</f>
        <v>0</v>
      </c>
      <c r="BA121" s="207">
        <f>IFERROR(VLOOKUP(Opv.kohd.[[#This Row],[Y-tunnus]],#REF!,COLUMN(#REF!),FALSE),0)</f>
        <v>0</v>
      </c>
      <c r="BB121" s="207">
        <f>IFERROR(VLOOKUP(Opv.kohd.[[#This Row],[Y-tunnus]],#REF!,COLUMN(#REF!),FALSE),0)</f>
        <v>0</v>
      </c>
      <c r="BC121" s="207">
        <f>Opv.kohd.[[#This Row],[Muu kuin työvoima-koulutus 7c]]-Opv.kohd.[[#This Row],[Muu kuin työvoima-koulutus 7a]]</f>
        <v>0</v>
      </c>
      <c r="BD121" s="207">
        <f>Opv.kohd.[[#This Row],[Työvoima-koulutus 7c]]-Opv.kohd.[[#This Row],[Työvoima-koulutus 7a]]</f>
        <v>0</v>
      </c>
      <c r="BE121" s="207">
        <f>Opv.kohd.[[#This Row],[Yhteensä 7c]]-Opv.kohd.[[#This Row],[Yhteensä 7a]]</f>
        <v>0</v>
      </c>
      <c r="BF121" s="207">
        <f>Opv.kohd.[[#This Row],[Yhteensä 7c]]-Opv.kohd.[[#This Row],[Työvoima-koulutus 7c]]</f>
        <v>0</v>
      </c>
      <c r="BG121" s="207">
        <f>IFERROR(VLOOKUP(Opv.kohd.[[#This Row],[Y-tunnus]],#REF!,COLUMN(#REF!),FALSE),0)</f>
        <v>0</v>
      </c>
      <c r="BH121" s="207">
        <f>IFERROR(VLOOKUP(Opv.kohd.[[#This Row],[Y-tunnus]],#REF!,COLUMN(#REF!),FALSE),0)</f>
        <v>0</v>
      </c>
      <c r="BI121" s="207">
        <f>IFERROR(VLOOKUP(Opv.kohd.[[#This Row],[Y-tunnus]],#REF!,COLUMN(#REF!),FALSE),0)</f>
        <v>0</v>
      </c>
      <c r="BJ121" s="207">
        <f>IFERROR(VLOOKUP(Opv.kohd.[[#This Row],[Y-tunnus]],#REF!,COLUMN(#REF!),FALSE),0)</f>
        <v>0</v>
      </c>
      <c r="BK121" s="207">
        <f>Opv.kohd.[[#This Row],[Muu kuin työvoima-koulutus 7d]]+Opv.kohd.[[#This Row],[Työvoima-koulutus 7d]]</f>
        <v>0</v>
      </c>
      <c r="BL121" s="207">
        <f>Opv.kohd.[[#This Row],[Muu kuin työvoima-koulutus 7c]]-Opv.kohd.[[#This Row],[Muu kuin työvoima-koulutus 7d]]</f>
        <v>0</v>
      </c>
      <c r="BM121" s="207">
        <f>Opv.kohd.[[#This Row],[Työvoima-koulutus 7c]]-Opv.kohd.[[#This Row],[Työvoima-koulutus 7d]]</f>
        <v>0</v>
      </c>
      <c r="BN121" s="207">
        <f>Opv.kohd.[[#This Row],[Yhteensä 7c]]-Opv.kohd.[[#This Row],[Yhteensä 7d]]</f>
        <v>0</v>
      </c>
      <c r="BO121" s="207">
        <f>Opv.kohd.[[#This Row],[Muu kuin työvoima-koulutus 7e]]-(Opv.kohd.[[#This Row],[Järjestämisluvan mukaiset 4]]+Opv.kohd.[[#This Row],[Kohdentamat-tomat 4]]+Opv.kohd.[[#This Row],[Maahan-muuttajien koulutus 4]]+Opv.kohd.[[#This Row],[Nuorisotyöt. väh. ja osaamistarp. vast., muu kuin työvoima-koulutus 4]])</f>
        <v>0</v>
      </c>
      <c r="BP121" s="207">
        <f>Opv.kohd.[[#This Row],[Työvoima-koulutus 7e]]-(Opv.kohd.[[#This Row],[Työvoima-koulutus 4]]+Opv.kohd.[[#This Row],[Nuorisotyöt. väh. ja osaamistarp. vast., työvoima-koulutus 4]])</f>
        <v>0</v>
      </c>
      <c r="BQ121" s="207">
        <f>Opv.kohd.[[#This Row],[Yhteensä 7e]]-Opv.kohd.[[#This Row],[Ensikertaisella suoritepäätöksellä jaetut tavoitteelliset opiskelijavuodet yhteensä 4]]</f>
        <v>0</v>
      </c>
      <c r="BR121" s="263">
        <v>0</v>
      </c>
      <c r="BS121" s="263">
        <v>0</v>
      </c>
      <c r="BT121" s="263">
        <v>0</v>
      </c>
      <c r="BU121" s="263">
        <v>0</v>
      </c>
      <c r="BV121" s="263">
        <v>0</v>
      </c>
      <c r="BW121" s="263">
        <v>0</v>
      </c>
      <c r="BX121" s="263">
        <v>0</v>
      </c>
      <c r="BY121" s="263">
        <v>0</v>
      </c>
      <c r="BZ121" s="207">
        <f t="shared" si="17"/>
        <v>0</v>
      </c>
      <c r="CA121" s="207">
        <f t="shared" si="18"/>
        <v>0</v>
      </c>
      <c r="CB121" s="207">
        <f t="shared" si="19"/>
        <v>0</v>
      </c>
      <c r="CC121" s="207">
        <f t="shared" si="20"/>
        <v>0</v>
      </c>
      <c r="CD121" s="207">
        <f t="shared" si="21"/>
        <v>0</v>
      </c>
      <c r="CE121" s="207">
        <f t="shared" si="22"/>
        <v>0</v>
      </c>
      <c r="CF121" s="207">
        <f t="shared" si="23"/>
        <v>0</v>
      </c>
      <c r="CG121" s="207">
        <f t="shared" si="24"/>
        <v>0</v>
      </c>
      <c r="CH121" s="207">
        <f>Opv.kohd.[[#This Row],[Tavoitteelliset opiskelijavuodet yhteensä 9]]-Opv.kohd.[[#This Row],[Työvoima-koulutus 9]]-Opv.kohd.[[#This Row],[Nuorisotyöt. väh. ja osaamistarp. vast., työvoima-koulutus 9]]-Opv.kohd.[[#This Row],[Muu kuin työvoima-koulutus 7e]]</f>
        <v>0</v>
      </c>
      <c r="CI121" s="207">
        <f>(Opv.kohd.[[#This Row],[Työvoima-koulutus 9]]+Opv.kohd.[[#This Row],[Nuorisotyöt. väh. ja osaamistarp. vast., työvoima-koulutus 9]])-Opv.kohd.[[#This Row],[Työvoima-koulutus 7e]]</f>
        <v>0</v>
      </c>
      <c r="CJ121" s="207">
        <f>Opv.kohd.[[#This Row],[Tavoitteelliset opiskelijavuodet yhteensä 9]]-Opv.kohd.[[#This Row],[Yhteensä 7e]]</f>
        <v>0</v>
      </c>
      <c r="CK121" s="207">
        <f>Opv.kohd.[[#This Row],[Järjestämisluvan mukaiset 4]]+Opv.kohd.[[#This Row],[Järjestämisluvan mukaiset 13]]</f>
        <v>0</v>
      </c>
      <c r="CL121" s="207">
        <f>Opv.kohd.[[#This Row],[Kohdentamat-tomat 4]]+Opv.kohd.[[#This Row],[Kohdentamat-tomat 13]]</f>
        <v>0</v>
      </c>
      <c r="CM121" s="207">
        <f>Opv.kohd.[[#This Row],[Työvoima-koulutus 4]]+Opv.kohd.[[#This Row],[Työvoima-koulutus 13]]</f>
        <v>0</v>
      </c>
      <c r="CN121" s="207">
        <f>Opv.kohd.[[#This Row],[Maahan-muuttajien koulutus 4]]+Opv.kohd.[[#This Row],[Maahan-muuttajien koulutus 13]]</f>
        <v>0</v>
      </c>
      <c r="CO121" s="207">
        <f>Opv.kohd.[[#This Row],[Nuorisotyöt. väh. ja osaamistarp. vast., muu kuin työvoima-koulutus 4]]+Opv.kohd.[[#This Row],[Nuorisotyöt. väh. ja osaamistarp. vast., muu kuin työvoima-koulutus 13]]</f>
        <v>0</v>
      </c>
      <c r="CP121" s="207">
        <f>Opv.kohd.[[#This Row],[Nuorisotyöt. väh. ja osaamistarp. vast., työvoima-koulutus 4]]+Opv.kohd.[[#This Row],[Nuorisotyöt. väh. ja osaamistarp. vast., työvoima-koulutus 13]]</f>
        <v>0</v>
      </c>
      <c r="CQ121" s="207">
        <f>Opv.kohd.[[#This Row],[Yhteensä 4]]+Opv.kohd.[[#This Row],[Yhteensä 13]]</f>
        <v>0</v>
      </c>
      <c r="CR121" s="207">
        <f>Opv.kohd.[[#This Row],[Ensikertaisella suoritepäätöksellä jaetut tavoitteelliset opiskelijavuodet yhteensä 4]]+Opv.kohd.[[#This Row],[Tavoitteelliset opiskelijavuodet yhteensä 13]]</f>
        <v>0</v>
      </c>
      <c r="CS121" s="120">
        <v>0</v>
      </c>
      <c r="CT121" s="120">
        <v>0</v>
      </c>
      <c r="CU121" s="120">
        <v>0</v>
      </c>
      <c r="CV121" s="120">
        <v>0</v>
      </c>
      <c r="CW121" s="120">
        <v>0</v>
      </c>
      <c r="CX121" s="120">
        <v>0</v>
      </c>
      <c r="CY121" s="120">
        <v>0</v>
      </c>
      <c r="CZ121" s="120">
        <v>0</v>
      </c>
      <c r="DA121" s="209">
        <f>IFERROR(Opv.kohd.[[#This Row],[Järjestämisluvan mukaiset 13]]/Opv.kohd.[[#This Row],[Järjestämisluvan mukaiset 12]],0)</f>
        <v>0</v>
      </c>
      <c r="DB121" s="209">
        <f>IFERROR(Opv.kohd.[[#This Row],[Kohdentamat-tomat 13]]/Opv.kohd.[[#This Row],[Kohdentamat-tomat 12]],0)</f>
        <v>0</v>
      </c>
      <c r="DC121" s="209">
        <f>IFERROR(Opv.kohd.[[#This Row],[Työvoima-koulutus 13]]/Opv.kohd.[[#This Row],[Työvoima-koulutus 12]],0)</f>
        <v>0</v>
      </c>
      <c r="DD121" s="209">
        <f>IFERROR(Opv.kohd.[[#This Row],[Maahan-muuttajien koulutus 13]]/Opv.kohd.[[#This Row],[Maahan-muuttajien koulutus 12]],0)</f>
        <v>0</v>
      </c>
      <c r="DE121" s="209">
        <f>IFERROR(Opv.kohd.[[#This Row],[Nuorisotyöt. väh. ja osaamistarp. vast., muu kuin työvoima-koulutus 13]]/Opv.kohd.[[#This Row],[Nuorisotyöt. väh. ja osaamistarp. vast., muu kuin työvoima-koulutus 12]],0)</f>
        <v>0</v>
      </c>
      <c r="DF121" s="209">
        <f>IFERROR(Opv.kohd.[[#This Row],[Nuorisotyöt. väh. ja osaamistarp. vast., työvoima-koulutus 13]]/Opv.kohd.[[#This Row],[Nuorisotyöt. väh. ja osaamistarp. vast., työvoima-koulutus 12]],0)</f>
        <v>0</v>
      </c>
      <c r="DG121" s="209">
        <f>IFERROR(Opv.kohd.[[#This Row],[Yhteensä 13]]/Opv.kohd.[[#This Row],[Yhteensä 12]],0)</f>
        <v>0</v>
      </c>
      <c r="DH121" s="209">
        <f>IFERROR(Opv.kohd.[[#This Row],[Tavoitteelliset opiskelijavuodet yhteensä 13]]/Opv.kohd.[[#This Row],[Tavoitteelliset opiskelijavuodet yhteensä 12]],0)</f>
        <v>0</v>
      </c>
      <c r="DI121" s="207">
        <f>Opv.kohd.[[#This Row],[Järjestämisluvan mukaiset 12]]-Opv.kohd.[[#This Row],[Järjestämisluvan mukaiset 9]]</f>
        <v>0</v>
      </c>
      <c r="DJ121" s="207">
        <f>Opv.kohd.[[#This Row],[Kohdentamat-tomat 12]]-Opv.kohd.[[#This Row],[Kohdentamat-tomat 9]]</f>
        <v>0</v>
      </c>
      <c r="DK121" s="207">
        <f>Opv.kohd.[[#This Row],[Työvoima-koulutus 12]]-Opv.kohd.[[#This Row],[Työvoima-koulutus 9]]</f>
        <v>0</v>
      </c>
      <c r="DL121" s="207">
        <f>Opv.kohd.[[#This Row],[Maahan-muuttajien koulutus 12]]-Opv.kohd.[[#This Row],[Maahan-muuttajien koulutus 9]]</f>
        <v>0</v>
      </c>
      <c r="DM121" s="207">
        <f>Opv.kohd.[[#This Row],[Nuorisotyöt. väh. ja osaamistarp. vast., muu kuin työvoima-koulutus 12]]-Opv.kohd.[[#This Row],[Nuorisotyöt. väh. ja osaamistarp. vast., muu kuin työvoima-koulutus 9]]</f>
        <v>0</v>
      </c>
      <c r="DN121" s="207">
        <f>Opv.kohd.[[#This Row],[Nuorisotyöt. väh. ja osaamistarp. vast., työvoima-koulutus 12]]-Opv.kohd.[[#This Row],[Nuorisotyöt. väh. ja osaamistarp. vast., työvoima-koulutus 9]]</f>
        <v>0</v>
      </c>
      <c r="DO121" s="207">
        <f>Opv.kohd.[[#This Row],[Yhteensä 12]]-Opv.kohd.[[#This Row],[Yhteensä 9]]</f>
        <v>0</v>
      </c>
      <c r="DP121" s="207">
        <f>Opv.kohd.[[#This Row],[Tavoitteelliset opiskelijavuodet yhteensä 12]]-Opv.kohd.[[#This Row],[Tavoitteelliset opiskelijavuodet yhteensä 9]]</f>
        <v>0</v>
      </c>
      <c r="DQ121" s="209">
        <f>IFERROR(Opv.kohd.[[#This Row],[Järjestämisluvan mukaiset 15]]/Opv.kohd.[[#This Row],[Järjestämisluvan mukaiset 9]],0)</f>
        <v>0</v>
      </c>
      <c r="DR121" s="209">
        <f t="shared" si="25"/>
        <v>0</v>
      </c>
      <c r="DS121" s="209">
        <f t="shared" si="26"/>
        <v>0</v>
      </c>
      <c r="DT121" s="209">
        <f t="shared" si="27"/>
        <v>0</v>
      </c>
      <c r="DU121" s="209">
        <f t="shared" si="28"/>
        <v>0</v>
      </c>
      <c r="DV121" s="209">
        <f t="shared" si="29"/>
        <v>0</v>
      </c>
      <c r="DW121" s="209">
        <f t="shared" si="30"/>
        <v>0</v>
      </c>
      <c r="DX121" s="209">
        <f t="shared" si="31"/>
        <v>0</v>
      </c>
    </row>
    <row r="122" spans="1:128" x14ac:dyDescent="0.25">
      <c r="A122" s="204" t="e">
        <f>IF(INDEX(#REF!,ROW(122:122)-1,1)=0,"",INDEX(#REF!,ROW(122:122)-1,1))</f>
        <v>#REF!</v>
      </c>
      <c r="B122" s="205" t="str">
        <f>IFERROR(VLOOKUP(Opv.kohd.[[#This Row],[Y-tunnus]],'0 Järjestäjätiedot'!$A:$H,2,FALSE),"")</f>
        <v/>
      </c>
      <c r="C122" s="204" t="str">
        <f>IFERROR(VLOOKUP(Opv.kohd.[[#This Row],[Y-tunnus]],'0 Järjestäjätiedot'!$A:$H,COLUMN('0 Järjestäjätiedot'!D:D),FALSE),"")</f>
        <v/>
      </c>
      <c r="D122" s="204" t="str">
        <f>IFERROR(VLOOKUP(Opv.kohd.[[#This Row],[Y-tunnus]],'0 Järjestäjätiedot'!$A:$H,COLUMN('0 Järjestäjätiedot'!H:H),FALSE),"")</f>
        <v/>
      </c>
      <c r="E122" s="204">
        <f>IFERROR(VLOOKUP(Opv.kohd.[[#This Row],[Y-tunnus]],#REF!,COLUMN(#REF!),FALSE),0)</f>
        <v>0</v>
      </c>
      <c r="F122" s="204">
        <f>IFERROR(VLOOKUP(Opv.kohd.[[#This Row],[Y-tunnus]],#REF!,COLUMN(#REF!),FALSE),0)</f>
        <v>0</v>
      </c>
      <c r="G122" s="204">
        <f>IFERROR(VLOOKUP(Opv.kohd.[[#This Row],[Y-tunnus]],#REF!,COLUMN(#REF!),FALSE),0)</f>
        <v>0</v>
      </c>
      <c r="H122" s="204">
        <f>IFERROR(VLOOKUP(Opv.kohd.[[#This Row],[Y-tunnus]],#REF!,COLUMN(#REF!),FALSE),0)</f>
        <v>0</v>
      </c>
      <c r="I122" s="204">
        <f>IFERROR(VLOOKUP(Opv.kohd.[[#This Row],[Y-tunnus]],#REF!,COLUMN(#REF!),FALSE),0)</f>
        <v>0</v>
      </c>
      <c r="J122" s="204">
        <f>IFERROR(VLOOKUP(Opv.kohd.[[#This Row],[Y-tunnus]],#REF!,COLUMN(#REF!),FALSE),0)</f>
        <v>0</v>
      </c>
      <c r="K12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22" s="204">
        <f>Opv.kohd.[[#This Row],[Järjestämisluvan mukaiset 1]]+Opv.kohd.[[#This Row],[Yhteensä  1]]</f>
        <v>0</v>
      </c>
      <c r="M122" s="204">
        <f>IFERROR(VLOOKUP(Opv.kohd.[[#This Row],[Y-tunnus]],#REF!,COLUMN(#REF!),FALSE),0)</f>
        <v>0</v>
      </c>
      <c r="N122" s="204">
        <f>IFERROR(VLOOKUP(Opv.kohd.[[#This Row],[Y-tunnus]],#REF!,COLUMN(#REF!),FALSE),0)</f>
        <v>0</v>
      </c>
      <c r="O122" s="204">
        <f>IFERROR(VLOOKUP(Opv.kohd.[[#This Row],[Y-tunnus]],#REF!,COLUMN(#REF!),FALSE)+VLOOKUP(Opv.kohd.[[#This Row],[Y-tunnus]],#REF!,COLUMN(#REF!),FALSE),0)</f>
        <v>0</v>
      </c>
      <c r="P122" s="204">
        <f>Opv.kohd.[[#This Row],[Talousarvion perusteella kohdentamattomat]]+Opv.kohd.[[#This Row],[Talousarvion perusteella työvoimakoulutus 1]]+Opv.kohd.[[#This Row],[Lisätalousarvioiden perusteella]]</f>
        <v>0</v>
      </c>
      <c r="Q122" s="204">
        <f>IFERROR(VLOOKUP(Opv.kohd.[[#This Row],[Y-tunnus]],#REF!,COLUMN(#REF!),FALSE),0)</f>
        <v>0</v>
      </c>
      <c r="R122" s="210">
        <f>IFERROR(VLOOKUP(Opv.kohd.[[#This Row],[Y-tunnus]],#REF!,COLUMN(#REF!),FALSE)-(Opv.kohd.[[#This Row],[Kohdentamaton työvoima-koulutus 2]]+Opv.kohd.[[#This Row],[Maahan-muuttajien koulutus 2]]+Opv.kohd.[[#This Row],[Lisätalousarvioiden perusteella jaetut 2]]),0)</f>
        <v>0</v>
      </c>
      <c r="S122" s="210">
        <f>IFERROR(VLOOKUP(Opv.kohd.[[#This Row],[Y-tunnus]],#REF!,COLUMN(#REF!),FALSE)+VLOOKUP(Opv.kohd.[[#This Row],[Y-tunnus]],#REF!,COLUMN(#REF!),FALSE),0)</f>
        <v>0</v>
      </c>
      <c r="T122" s="210">
        <f>IFERROR(VLOOKUP(Opv.kohd.[[#This Row],[Y-tunnus]],#REF!,COLUMN(#REF!),FALSE)+VLOOKUP(Opv.kohd.[[#This Row],[Y-tunnus]],#REF!,COLUMN(#REF!),FALSE),0)</f>
        <v>0</v>
      </c>
      <c r="U12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22" s="210">
        <f>Opv.kohd.[[#This Row],[Kohdentamat-tomat 2]]+Opv.kohd.[[#This Row],[Kohdentamaton työvoima-koulutus 2]]+Opv.kohd.[[#This Row],[Maahan-muuttajien koulutus 2]]+Opv.kohd.[[#This Row],[Lisätalousarvioiden perusteella jaetut 2]]</f>
        <v>0</v>
      </c>
      <c r="W122" s="210">
        <f>Opv.kohd.[[#This Row],[Kohdentamat-tomat 2]]-(Opv.kohd.[[#This Row],[Järjestämisluvan mukaiset 1]]+Opv.kohd.[[#This Row],[Kohdentamat-tomat 1]]+Opv.kohd.[[#This Row],[Nuorisotyöt. väh. ja osaamistarp. vast., muu kuin työvoima-koulutus 1]]+Opv.kohd.[[#This Row],[Talousarvion perusteella kohdentamattomat]])</f>
        <v>0</v>
      </c>
      <c r="X122" s="210">
        <f>Opv.kohd.[[#This Row],[Kohdentamaton työvoima-koulutus 2]]-(Opv.kohd.[[#This Row],[Työvoima-koulutus 1]]+Opv.kohd.[[#This Row],[Nuorisotyöt. väh. ja osaamistarp. vast., työvoima-koulutus 1]]+Opv.kohd.[[#This Row],[Talousarvion perusteella työvoimakoulutus 1]])</f>
        <v>0</v>
      </c>
      <c r="Y122" s="210">
        <f>Opv.kohd.[[#This Row],[Maahan-muuttajien koulutus 2]]-Opv.kohd.[[#This Row],[Maahan-muuttajien koulutus 1]]</f>
        <v>0</v>
      </c>
      <c r="Z122" s="210">
        <f>Opv.kohd.[[#This Row],[Lisätalousarvioiden perusteella jaetut 2]]-Opv.kohd.[[#This Row],[Lisätalousarvioiden perusteella]]</f>
        <v>0</v>
      </c>
      <c r="AA122" s="210">
        <f>Opv.kohd.[[#This Row],[Toteutuneet opiskelijavuodet yhteensä 2]]-Opv.kohd.[[#This Row],[Vuoden 2018 tavoitteelliset opiskelijavuodet yhteensä 1]]</f>
        <v>0</v>
      </c>
      <c r="AB122" s="207">
        <f>IFERROR(VLOOKUP(Opv.kohd.[[#This Row],[Y-tunnus]],#REF!,3,FALSE),0)</f>
        <v>0</v>
      </c>
      <c r="AC122" s="207">
        <f>IFERROR(VLOOKUP(Opv.kohd.[[#This Row],[Y-tunnus]],#REF!,4,FALSE),0)</f>
        <v>0</v>
      </c>
      <c r="AD122" s="207">
        <f>IFERROR(VLOOKUP(Opv.kohd.[[#This Row],[Y-tunnus]],#REF!,5,FALSE),0)</f>
        <v>0</v>
      </c>
      <c r="AE122" s="207">
        <f>IFERROR(VLOOKUP(Opv.kohd.[[#This Row],[Y-tunnus]],#REF!,6,FALSE),0)</f>
        <v>0</v>
      </c>
      <c r="AF122" s="207">
        <f>IFERROR(VLOOKUP(Opv.kohd.[[#This Row],[Y-tunnus]],#REF!,7,FALSE),0)</f>
        <v>0</v>
      </c>
      <c r="AG122" s="207">
        <f>IFERROR(VLOOKUP(Opv.kohd.[[#This Row],[Y-tunnus]],#REF!,8,FALSE),0)</f>
        <v>0</v>
      </c>
      <c r="AH122" s="207">
        <f>IFERROR(VLOOKUP(Opv.kohd.[[#This Row],[Y-tunnus]],#REF!,9,FALSE),0)</f>
        <v>0</v>
      </c>
      <c r="AI122" s="207">
        <f>IFERROR(VLOOKUP(Opv.kohd.[[#This Row],[Y-tunnus]],#REF!,10,FALSE),0)</f>
        <v>0</v>
      </c>
      <c r="AJ122" s="204">
        <f>Opv.kohd.[[#This Row],[Järjestämisluvan mukaiset 4]]-Opv.kohd.[[#This Row],[Järjestämisluvan mukaiset 1]]</f>
        <v>0</v>
      </c>
      <c r="AK122" s="204">
        <f>Opv.kohd.[[#This Row],[Kohdentamat-tomat 4]]-Opv.kohd.[[#This Row],[Kohdentamat-tomat 1]]</f>
        <v>0</v>
      </c>
      <c r="AL122" s="204">
        <f>Opv.kohd.[[#This Row],[Työvoima-koulutus 4]]-Opv.kohd.[[#This Row],[Työvoima-koulutus 1]]</f>
        <v>0</v>
      </c>
      <c r="AM122" s="204">
        <f>Opv.kohd.[[#This Row],[Maahan-muuttajien koulutus 4]]-Opv.kohd.[[#This Row],[Maahan-muuttajien koulutus 1]]</f>
        <v>0</v>
      </c>
      <c r="AN122" s="204">
        <f>Opv.kohd.[[#This Row],[Nuorisotyöt. väh. ja osaamistarp. vast., muu kuin työvoima-koulutus 4]]-Opv.kohd.[[#This Row],[Nuorisotyöt. väh. ja osaamistarp. vast., muu kuin työvoima-koulutus 1]]</f>
        <v>0</v>
      </c>
      <c r="AO122" s="204">
        <f>Opv.kohd.[[#This Row],[Nuorisotyöt. väh. ja osaamistarp. vast., työvoima-koulutus 4]]-Opv.kohd.[[#This Row],[Nuorisotyöt. väh. ja osaamistarp. vast., työvoima-koulutus 1]]</f>
        <v>0</v>
      </c>
      <c r="AP122" s="204">
        <f>Opv.kohd.[[#This Row],[Yhteensä 4]]-Opv.kohd.[[#This Row],[Yhteensä  1]]</f>
        <v>0</v>
      </c>
      <c r="AQ122" s="204">
        <f>Opv.kohd.[[#This Row],[Ensikertaisella suoritepäätöksellä jaetut tavoitteelliset opiskelijavuodet yhteensä 4]]-Opv.kohd.[[#This Row],[Ensikertaisella suoritepäätöksellä jaetut tavoitteelliset opiskelijavuodet yhteensä 1]]</f>
        <v>0</v>
      </c>
      <c r="AR122" s="208">
        <f>IFERROR(Opv.kohd.[[#This Row],[Järjestämisluvan mukaiset 5]]/Opv.kohd.[[#This Row],[Järjestämisluvan mukaiset 4]],0)</f>
        <v>0</v>
      </c>
      <c r="AS122" s="208">
        <f>IFERROR(Opv.kohd.[[#This Row],[Kohdentamat-tomat 5]]/Opv.kohd.[[#This Row],[Kohdentamat-tomat 4]],0)</f>
        <v>0</v>
      </c>
      <c r="AT122" s="208">
        <f>IFERROR(Opv.kohd.[[#This Row],[Työvoima-koulutus 5]]/Opv.kohd.[[#This Row],[Työvoima-koulutus 4]],0)</f>
        <v>0</v>
      </c>
      <c r="AU122" s="208">
        <f>IFERROR(Opv.kohd.[[#This Row],[Maahan-muuttajien koulutus 5]]/Opv.kohd.[[#This Row],[Maahan-muuttajien koulutus 4]],0)</f>
        <v>0</v>
      </c>
      <c r="AV122" s="208">
        <f>IFERROR(Opv.kohd.[[#This Row],[Nuorisotyöt. väh. ja osaamistarp. vast., muu kuin työvoima-koulutus 5]]/Opv.kohd.[[#This Row],[Nuorisotyöt. väh. ja osaamistarp. vast., muu kuin työvoima-koulutus 4]],0)</f>
        <v>0</v>
      </c>
      <c r="AW122" s="208">
        <f>IFERROR(Opv.kohd.[[#This Row],[Nuorisotyöt. väh. ja osaamistarp. vast., työvoima-koulutus 5]]/Opv.kohd.[[#This Row],[Nuorisotyöt. väh. ja osaamistarp. vast., työvoima-koulutus 4]],0)</f>
        <v>0</v>
      </c>
      <c r="AX122" s="208">
        <f>IFERROR(Opv.kohd.[[#This Row],[Yhteensä 5]]/Opv.kohd.[[#This Row],[Yhteensä 4]],0)</f>
        <v>0</v>
      </c>
      <c r="AY122" s="208">
        <f>IFERROR(Opv.kohd.[[#This Row],[Ensikertaisella suoritepäätöksellä jaetut tavoitteelliset opiskelijavuodet yhteensä 5]]/Opv.kohd.[[#This Row],[Ensikertaisella suoritepäätöksellä jaetut tavoitteelliset opiskelijavuodet yhteensä 4]],0)</f>
        <v>0</v>
      </c>
      <c r="AZ122" s="207">
        <f>Opv.kohd.[[#This Row],[Yhteensä 7a]]-Opv.kohd.[[#This Row],[Työvoima-koulutus 7a]]</f>
        <v>0</v>
      </c>
      <c r="BA122" s="207">
        <f>IFERROR(VLOOKUP(Opv.kohd.[[#This Row],[Y-tunnus]],#REF!,COLUMN(#REF!),FALSE),0)</f>
        <v>0</v>
      </c>
      <c r="BB122" s="207">
        <f>IFERROR(VLOOKUP(Opv.kohd.[[#This Row],[Y-tunnus]],#REF!,COLUMN(#REF!),FALSE),0)</f>
        <v>0</v>
      </c>
      <c r="BC122" s="207">
        <f>Opv.kohd.[[#This Row],[Muu kuin työvoima-koulutus 7c]]-Opv.kohd.[[#This Row],[Muu kuin työvoima-koulutus 7a]]</f>
        <v>0</v>
      </c>
      <c r="BD122" s="207">
        <f>Opv.kohd.[[#This Row],[Työvoima-koulutus 7c]]-Opv.kohd.[[#This Row],[Työvoima-koulutus 7a]]</f>
        <v>0</v>
      </c>
      <c r="BE122" s="207">
        <f>Opv.kohd.[[#This Row],[Yhteensä 7c]]-Opv.kohd.[[#This Row],[Yhteensä 7a]]</f>
        <v>0</v>
      </c>
      <c r="BF122" s="207">
        <f>Opv.kohd.[[#This Row],[Yhteensä 7c]]-Opv.kohd.[[#This Row],[Työvoima-koulutus 7c]]</f>
        <v>0</v>
      </c>
      <c r="BG122" s="207">
        <f>IFERROR(VLOOKUP(Opv.kohd.[[#This Row],[Y-tunnus]],#REF!,COLUMN(#REF!),FALSE),0)</f>
        <v>0</v>
      </c>
      <c r="BH122" s="207">
        <f>IFERROR(VLOOKUP(Opv.kohd.[[#This Row],[Y-tunnus]],#REF!,COLUMN(#REF!),FALSE),0)</f>
        <v>0</v>
      </c>
      <c r="BI122" s="207">
        <f>IFERROR(VLOOKUP(Opv.kohd.[[#This Row],[Y-tunnus]],#REF!,COLUMN(#REF!),FALSE),0)</f>
        <v>0</v>
      </c>
      <c r="BJ122" s="207">
        <f>IFERROR(VLOOKUP(Opv.kohd.[[#This Row],[Y-tunnus]],#REF!,COLUMN(#REF!),FALSE),0)</f>
        <v>0</v>
      </c>
      <c r="BK122" s="207">
        <f>Opv.kohd.[[#This Row],[Muu kuin työvoima-koulutus 7d]]+Opv.kohd.[[#This Row],[Työvoima-koulutus 7d]]</f>
        <v>0</v>
      </c>
      <c r="BL122" s="207">
        <f>Opv.kohd.[[#This Row],[Muu kuin työvoima-koulutus 7c]]-Opv.kohd.[[#This Row],[Muu kuin työvoima-koulutus 7d]]</f>
        <v>0</v>
      </c>
      <c r="BM122" s="207">
        <f>Opv.kohd.[[#This Row],[Työvoima-koulutus 7c]]-Opv.kohd.[[#This Row],[Työvoima-koulutus 7d]]</f>
        <v>0</v>
      </c>
      <c r="BN122" s="207">
        <f>Opv.kohd.[[#This Row],[Yhteensä 7c]]-Opv.kohd.[[#This Row],[Yhteensä 7d]]</f>
        <v>0</v>
      </c>
      <c r="BO122" s="207">
        <f>Opv.kohd.[[#This Row],[Muu kuin työvoima-koulutus 7e]]-(Opv.kohd.[[#This Row],[Järjestämisluvan mukaiset 4]]+Opv.kohd.[[#This Row],[Kohdentamat-tomat 4]]+Opv.kohd.[[#This Row],[Maahan-muuttajien koulutus 4]]+Opv.kohd.[[#This Row],[Nuorisotyöt. väh. ja osaamistarp. vast., muu kuin työvoima-koulutus 4]])</f>
        <v>0</v>
      </c>
      <c r="BP122" s="207">
        <f>Opv.kohd.[[#This Row],[Työvoima-koulutus 7e]]-(Opv.kohd.[[#This Row],[Työvoima-koulutus 4]]+Opv.kohd.[[#This Row],[Nuorisotyöt. väh. ja osaamistarp. vast., työvoima-koulutus 4]])</f>
        <v>0</v>
      </c>
      <c r="BQ122" s="207">
        <f>Opv.kohd.[[#This Row],[Yhteensä 7e]]-Opv.kohd.[[#This Row],[Ensikertaisella suoritepäätöksellä jaetut tavoitteelliset opiskelijavuodet yhteensä 4]]</f>
        <v>0</v>
      </c>
      <c r="BR122" s="263">
        <v>3324</v>
      </c>
      <c r="BS122" s="263">
        <v>205</v>
      </c>
      <c r="BT122" s="263">
        <v>52</v>
      </c>
      <c r="BU122" s="263">
        <v>30</v>
      </c>
      <c r="BV122" s="263">
        <v>72</v>
      </c>
      <c r="BW122" s="263">
        <v>36</v>
      </c>
      <c r="BX122" s="263">
        <v>395</v>
      </c>
      <c r="BY122" s="263">
        <v>3719</v>
      </c>
      <c r="BZ122" s="207">
        <f t="shared" si="17"/>
        <v>3324</v>
      </c>
      <c r="CA122" s="207">
        <f t="shared" si="18"/>
        <v>205</v>
      </c>
      <c r="CB122" s="207">
        <f t="shared" si="19"/>
        <v>52</v>
      </c>
      <c r="CC122" s="207">
        <f t="shared" si="20"/>
        <v>30</v>
      </c>
      <c r="CD122" s="207">
        <f t="shared" si="21"/>
        <v>72</v>
      </c>
      <c r="CE122" s="207">
        <f t="shared" si="22"/>
        <v>36</v>
      </c>
      <c r="CF122" s="207">
        <f t="shared" si="23"/>
        <v>395</v>
      </c>
      <c r="CG122" s="207">
        <f t="shared" si="24"/>
        <v>3719</v>
      </c>
      <c r="CH122" s="207">
        <f>Opv.kohd.[[#This Row],[Tavoitteelliset opiskelijavuodet yhteensä 9]]-Opv.kohd.[[#This Row],[Työvoima-koulutus 9]]-Opv.kohd.[[#This Row],[Nuorisotyöt. väh. ja osaamistarp. vast., työvoima-koulutus 9]]-Opv.kohd.[[#This Row],[Muu kuin työvoima-koulutus 7e]]</f>
        <v>3631</v>
      </c>
      <c r="CI122" s="207">
        <f>(Opv.kohd.[[#This Row],[Työvoima-koulutus 9]]+Opv.kohd.[[#This Row],[Nuorisotyöt. väh. ja osaamistarp. vast., työvoima-koulutus 9]])-Opv.kohd.[[#This Row],[Työvoima-koulutus 7e]]</f>
        <v>88</v>
      </c>
      <c r="CJ122" s="207">
        <f>Opv.kohd.[[#This Row],[Tavoitteelliset opiskelijavuodet yhteensä 9]]-Opv.kohd.[[#This Row],[Yhteensä 7e]]</f>
        <v>3719</v>
      </c>
      <c r="CK122" s="207">
        <f>Opv.kohd.[[#This Row],[Järjestämisluvan mukaiset 4]]+Opv.kohd.[[#This Row],[Järjestämisluvan mukaiset 13]]</f>
        <v>0</v>
      </c>
      <c r="CL122" s="207">
        <f>Opv.kohd.[[#This Row],[Kohdentamat-tomat 4]]+Opv.kohd.[[#This Row],[Kohdentamat-tomat 13]]</f>
        <v>0</v>
      </c>
      <c r="CM122" s="207">
        <f>Opv.kohd.[[#This Row],[Työvoima-koulutus 4]]+Opv.kohd.[[#This Row],[Työvoima-koulutus 13]]</f>
        <v>0</v>
      </c>
      <c r="CN122" s="207">
        <f>Opv.kohd.[[#This Row],[Maahan-muuttajien koulutus 4]]+Opv.kohd.[[#This Row],[Maahan-muuttajien koulutus 13]]</f>
        <v>0</v>
      </c>
      <c r="CO122" s="207">
        <f>Opv.kohd.[[#This Row],[Nuorisotyöt. väh. ja osaamistarp. vast., muu kuin työvoima-koulutus 4]]+Opv.kohd.[[#This Row],[Nuorisotyöt. väh. ja osaamistarp. vast., muu kuin työvoima-koulutus 13]]</f>
        <v>0</v>
      </c>
      <c r="CP122" s="207">
        <f>Opv.kohd.[[#This Row],[Nuorisotyöt. väh. ja osaamistarp. vast., työvoima-koulutus 4]]+Opv.kohd.[[#This Row],[Nuorisotyöt. väh. ja osaamistarp. vast., työvoima-koulutus 13]]</f>
        <v>0</v>
      </c>
      <c r="CQ122" s="207">
        <f>Opv.kohd.[[#This Row],[Yhteensä 4]]+Opv.kohd.[[#This Row],[Yhteensä 13]]</f>
        <v>0</v>
      </c>
      <c r="CR122" s="207">
        <f>Opv.kohd.[[#This Row],[Ensikertaisella suoritepäätöksellä jaetut tavoitteelliset opiskelijavuodet yhteensä 4]]+Opv.kohd.[[#This Row],[Tavoitteelliset opiskelijavuodet yhteensä 13]]</f>
        <v>0</v>
      </c>
      <c r="CS122" s="120">
        <v>0</v>
      </c>
      <c r="CT122" s="120">
        <v>0</v>
      </c>
      <c r="CU122" s="120">
        <v>0</v>
      </c>
      <c r="CV122" s="120">
        <v>0</v>
      </c>
      <c r="CW122" s="120">
        <v>0</v>
      </c>
      <c r="CX122" s="120">
        <v>0</v>
      </c>
      <c r="CY122" s="120">
        <v>0</v>
      </c>
      <c r="CZ122" s="120">
        <v>0</v>
      </c>
      <c r="DA122" s="209">
        <f>IFERROR(Opv.kohd.[[#This Row],[Järjestämisluvan mukaiset 13]]/Opv.kohd.[[#This Row],[Järjestämisluvan mukaiset 12]],0)</f>
        <v>0</v>
      </c>
      <c r="DB122" s="209">
        <f>IFERROR(Opv.kohd.[[#This Row],[Kohdentamat-tomat 13]]/Opv.kohd.[[#This Row],[Kohdentamat-tomat 12]],0)</f>
        <v>0</v>
      </c>
      <c r="DC122" s="209">
        <f>IFERROR(Opv.kohd.[[#This Row],[Työvoima-koulutus 13]]/Opv.kohd.[[#This Row],[Työvoima-koulutus 12]],0)</f>
        <v>0</v>
      </c>
      <c r="DD122" s="209">
        <f>IFERROR(Opv.kohd.[[#This Row],[Maahan-muuttajien koulutus 13]]/Opv.kohd.[[#This Row],[Maahan-muuttajien koulutus 12]],0)</f>
        <v>0</v>
      </c>
      <c r="DE122" s="209">
        <f>IFERROR(Opv.kohd.[[#This Row],[Nuorisotyöt. väh. ja osaamistarp. vast., muu kuin työvoima-koulutus 13]]/Opv.kohd.[[#This Row],[Nuorisotyöt. väh. ja osaamistarp. vast., muu kuin työvoima-koulutus 12]],0)</f>
        <v>0</v>
      </c>
      <c r="DF122" s="209">
        <f>IFERROR(Opv.kohd.[[#This Row],[Nuorisotyöt. väh. ja osaamistarp. vast., työvoima-koulutus 13]]/Opv.kohd.[[#This Row],[Nuorisotyöt. väh. ja osaamistarp. vast., työvoima-koulutus 12]],0)</f>
        <v>0</v>
      </c>
      <c r="DG122" s="209">
        <f>IFERROR(Opv.kohd.[[#This Row],[Yhteensä 13]]/Opv.kohd.[[#This Row],[Yhteensä 12]],0)</f>
        <v>0</v>
      </c>
      <c r="DH122" s="209">
        <f>IFERROR(Opv.kohd.[[#This Row],[Tavoitteelliset opiskelijavuodet yhteensä 13]]/Opv.kohd.[[#This Row],[Tavoitteelliset opiskelijavuodet yhteensä 12]],0)</f>
        <v>0</v>
      </c>
      <c r="DI122" s="207">
        <f>Opv.kohd.[[#This Row],[Järjestämisluvan mukaiset 12]]-Opv.kohd.[[#This Row],[Järjestämisluvan mukaiset 9]]</f>
        <v>-3324</v>
      </c>
      <c r="DJ122" s="207">
        <f>Opv.kohd.[[#This Row],[Kohdentamat-tomat 12]]-Opv.kohd.[[#This Row],[Kohdentamat-tomat 9]]</f>
        <v>-205</v>
      </c>
      <c r="DK122" s="207">
        <f>Opv.kohd.[[#This Row],[Työvoima-koulutus 12]]-Opv.kohd.[[#This Row],[Työvoima-koulutus 9]]</f>
        <v>-52</v>
      </c>
      <c r="DL122" s="207">
        <f>Opv.kohd.[[#This Row],[Maahan-muuttajien koulutus 12]]-Opv.kohd.[[#This Row],[Maahan-muuttajien koulutus 9]]</f>
        <v>-30</v>
      </c>
      <c r="DM122" s="207">
        <f>Opv.kohd.[[#This Row],[Nuorisotyöt. väh. ja osaamistarp. vast., muu kuin työvoima-koulutus 12]]-Opv.kohd.[[#This Row],[Nuorisotyöt. väh. ja osaamistarp. vast., muu kuin työvoima-koulutus 9]]</f>
        <v>-72</v>
      </c>
      <c r="DN122" s="207">
        <f>Opv.kohd.[[#This Row],[Nuorisotyöt. väh. ja osaamistarp. vast., työvoima-koulutus 12]]-Opv.kohd.[[#This Row],[Nuorisotyöt. väh. ja osaamistarp. vast., työvoima-koulutus 9]]</f>
        <v>-36</v>
      </c>
      <c r="DO122" s="207">
        <f>Opv.kohd.[[#This Row],[Yhteensä 12]]-Opv.kohd.[[#This Row],[Yhteensä 9]]</f>
        <v>-395</v>
      </c>
      <c r="DP122" s="207">
        <f>Opv.kohd.[[#This Row],[Tavoitteelliset opiskelijavuodet yhteensä 12]]-Opv.kohd.[[#This Row],[Tavoitteelliset opiskelijavuodet yhteensä 9]]</f>
        <v>-3719</v>
      </c>
      <c r="DQ122" s="209">
        <f>IFERROR(Opv.kohd.[[#This Row],[Järjestämisluvan mukaiset 15]]/Opv.kohd.[[#This Row],[Järjestämisluvan mukaiset 9]],0)</f>
        <v>-1</v>
      </c>
      <c r="DR122" s="209">
        <f t="shared" si="25"/>
        <v>0</v>
      </c>
      <c r="DS122" s="209">
        <f t="shared" si="26"/>
        <v>0</v>
      </c>
      <c r="DT122" s="209">
        <f t="shared" si="27"/>
        <v>0</v>
      </c>
      <c r="DU122" s="209">
        <f t="shared" si="28"/>
        <v>0</v>
      </c>
      <c r="DV122" s="209">
        <f t="shared" si="29"/>
        <v>0</v>
      </c>
      <c r="DW122" s="209">
        <f t="shared" si="30"/>
        <v>0</v>
      </c>
      <c r="DX122" s="209">
        <f t="shared" si="31"/>
        <v>0</v>
      </c>
    </row>
    <row r="123" spans="1:128" x14ac:dyDescent="0.25">
      <c r="A123" s="204" t="e">
        <f>IF(INDEX(#REF!,ROW(123:123)-1,1)=0,"",INDEX(#REF!,ROW(123:123)-1,1))</f>
        <v>#REF!</v>
      </c>
      <c r="B123" s="205" t="str">
        <f>IFERROR(VLOOKUP(Opv.kohd.[[#This Row],[Y-tunnus]],'0 Järjestäjätiedot'!$A:$H,2,FALSE),"")</f>
        <v/>
      </c>
      <c r="C123" s="204" t="str">
        <f>IFERROR(VLOOKUP(Opv.kohd.[[#This Row],[Y-tunnus]],'0 Järjestäjätiedot'!$A:$H,COLUMN('0 Järjestäjätiedot'!D:D),FALSE),"")</f>
        <v/>
      </c>
      <c r="D123" s="204" t="str">
        <f>IFERROR(VLOOKUP(Opv.kohd.[[#This Row],[Y-tunnus]],'0 Järjestäjätiedot'!$A:$H,COLUMN('0 Järjestäjätiedot'!H:H),FALSE),"")</f>
        <v/>
      </c>
      <c r="E123" s="204">
        <f>IFERROR(VLOOKUP(Opv.kohd.[[#This Row],[Y-tunnus]],#REF!,COLUMN(#REF!),FALSE),0)</f>
        <v>0</v>
      </c>
      <c r="F123" s="204">
        <f>IFERROR(VLOOKUP(Opv.kohd.[[#This Row],[Y-tunnus]],#REF!,COLUMN(#REF!),FALSE),0)</f>
        <v>0</v>
      </c>
      <c r="G123" s="204">
        <f>IFERROR(VLOOKUP(Opv.kohd.[[#This Row],[Y-tunnus]],#REF!,COLUMN(#REF!),FALSE),0)</f>
        <v>0</v>
      </c>
      <c r="H123" s="204">
        <f>IFERROR(VLOOKUP(Opv.kohd.[[#This Row],[Y-tunnus]],#REF!,COLUMN(#REF!),FALSE),0)</f>
        <v>0</v>
      </c>
      <c r="I123" s="204">
        <f>IFERROR(VLOOKUP(Opv.kohd.[[#This Row],[Y-tunnus]],#REF!,COLUMN(#REF!),FALSE),0)</f>
        <v>0</v>
      </c>
      <c r="J123" s="204">
        <f>IFERROR(VLOOKUP(Opv.kohd.[[#This Row],[Y-tunnus]],#REF!,COLUMN(#REF!),FALSE),0)</f>
        <v>0</v>
      </c>
      <c r="K12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23" s="204">
        <f>Opv.kohd.[[#This Row],[Järjestämisluvan mukaiset 1]]+Opv.kohd.[[#This Row],[Yhteensä  1]]</f>
        <v>0</v>
      </c>
      <c r="M123" s="204">
        <f>IFERROR(VLOOKUP(Opv.kohd.[[#This Row],[Y-tunnus]],#REF!,COLUMN(#REF!),FALSE),0)</f>
        <v>0</v>
      </c>
      <c r="N123" s="204">
        <f>IFERROR(VLOOKUP(Opv.kohd.[[#This Row],[Y-tunnus]],#REF!,COLUMN(#REF!),FALSE),0)</f>
        <v>0</v>
      </c>
      <c r="O123" s="204">
        <f>IFERROR(VLOOKUP(Opv.kohd.[[#This Row],[Y-tunnus]],#REF!,COLUMN(#REF!),FALSE)+VLOOKUP(Opv.kohd.[[#This Row],[Y-tunnus]],#REF!,COLUMN(#REF!),FALSE),0)</f>
        <v>0</v>
      </c>
      <c r="P123" s="204">
        <f>Opv.kohd.[[#This Row],[Talousarvion perusteella kohdentamattomat]]+Opv.kohd.[[#This Row],[Talousarvion perusteella työvoimakoulutus 1]]+Opv.kohd.[[#This Row],[Lisätalousarvioiden perusteella]]</f>
        <v>0</v>
      </c>
      <c r="Q123" s="204">
        <f>IFERROR(VLOOKUP(Opv.kohd.[[#This Row],[Y-tunnus]],#REF!,COLUMN(#REF!),FALSE),0)</f>
        <v>0</v>
      </c>
      <c r="R123" s="210">
        <f>IFERROR(VLOOKUP(Opv.kohd.[[#This Row],[Y-tunnus]],#REF!,COLUMN(#REF!),FALSE)-(Opv.kohd.[[#This Row],[Kohdentamaton työvoima-koulutus 2]]+Opv.kohd.[[#This Row],[Maahan-muuttajien koulutus 2]]+Opv.kohd.[[#This Row],[Lisätalousarvioiden perusteella jaetut 2]]),0)</f>
        <v>0</v>
      </c>
      <c r="S123" s="210">
        <f>IFERROR(VLOOKUP(Opv.kohd.[[#This Row],[Y-tunnus]],#REF!,COLUMN(#REF!),FALSE)+VLOOKUP(Opv.kohd.[[#This Row],[Y-tunnus]],#REF!,COLUMN(#REF!),FALSE),0)</f>
        <v>0</v>
      </c>
      <c r="T123" s="210">
        <f>IFERROR(VLOOKUP(Opv.kohd.[[#This Row],[Y-tunnus]],#REF!,COLUMN(#REF!),FALSE)+VLOOKUP(Opv.kohd.[[#This Row],[Y-tunnus]],#REF!,COLUMN(#REF!),FALSE),0)</f>
        <v>0</v>
      </c>
      <c r="U12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23" s="210">
        <f>Opv.kohd.[[#This Row],[Kohdentamat-tomat 2]]+Opv.kohd.[[#This Row],[Kohdentamaton työvoima-koulutus 2]]+Opv.kohd.[[#This Row],[Maahan-muuttajien koulutus 2]]+Opv.kohd.[[#This Row],[Lisätalousarvioiden perusteella jaetut 2]]</f>
        <v>0</v>
      </c>
      <c r="W123" s="210">
        <f>Opv.kohd.[[#This Row],[Kohdentamat-tomat 2]]-(Opv.kohd.[[#This Row],[Järjestämisluvan mukaiset 1]]+Opv.kohd.[[#This Row],[Kohdentamat-tomat 1]]+Opv.kohd.[[#This Row],[Nuorisotyöt. väh. ja osaamistarp. vast., muu kuin työvoima-koulutus 1]]+Opv.kohd.[[#This Row],[Talousarvion perusteella kohdentamattomat]])</f>
        <v>0</v>
      </c>
      <c r="X123" s="210">
        <f>Opv.kohd.[[#This Row],[Kohdentamaton työvoima-koulutus 2]]-(Opv.kohd.[[#This Row],[Työvoima-koulutus 1]]+Opv.kohd.[[#This Row],[Nuorisotyöt. väh. ja osaamistarp. vast., työvoima-koulutus 1]]+Opv.kohd.[[#This Row],[Talousarvion perusteella työvoimakoulutus 1]])</f>
        <v>0</v>
      </c>
      <c r="Y123" s="210">
        <f>Opv.kohd.[[#This Row],[Maahan-muuttajien koulutus 2]]-Opv.kohd.[[#This Row],[Maahan-muuttajien koulutus 1]]</f>
        <v>0</v>
      </c>
      <c r="Z123" s="210">
        <f>Opv.kohd.[[#This Row],[Lisätalousarvioiden perusteella jaetut 2]]-Opv.kohd.[[#This Row],[Lisätalousarvioiden perusteella]]</f>
        <v>0</v>
      </c>
      <c r="AA123" s="210">
        <f>Opv.kohd.[[#This Row],[Toteutuneet opiskelijavuodet yhteensä 2]]-Opv.kohd.[[#This Row],[Vuoden 2018 tavoitteelliset opiskelijavuodet yhteensä 1]]</f>
        <v>0</v>
      </c>
      <c r="AB123" s="207">
        <f>IFERROR(VLOOKUP(Opv.kohd.[[#This Row],[Y-tunnus]],#REF!,3,FALSE),0)</f>
        <v>0</v>
      </c>
      <c r="AC123" s="207">
        <f>IFERROR(VLOOKUP(Opv.kohd.[[#This Row],[Y-tunnus]],#REF!,4,FALSE),0)</f>
        <v>0</v>
      </c>
      <c r="AD123" s="207">
        <f>IFERROR(VLOOKUP(Opv.kohd.[[#This Row],[Y-tunnus]],#REF!,5,FALSE),0)</f>
        <v>0</v>
      </c>
      <c r="AE123" s="207">
        <f>IFERROR(VLOOKUP(Opv.kohd.[[#This Row],[Y-tunnus]],#REF!,6,FALSE),0)</f>
        <v>0</v>
      </c>
      <c r="AF123" s="207">
        <f>IFERROR(VLOOKUP(Opv.kohd.[[#This Row],[Y-tunnus]],#REF!,7,FALSE),0)</f>
        <v>0</v>
      </c>
      <c r="AG123" s="207">
        <f>IFERROR(VLOOKUP(Opv.kohd.[[#This Row],[Y-tunnus]],#REF!,8,FALSE),0)</f>
        <v>0</v>
      </c>
      <c r="AH123" s="207">
        <f>IFERROR(VLOOKUP(Opv.kohd.[[#This Row],[Y-tunnus]],#REF!,9,FALSE),0)</f>
        <v>0</v>
      </c>
      <c r="AI123" s="207">
        <f>IFERROR(VLOOKUP(Opv.kohd.[[#This Row],[Y-tunnus]],#REF!,10,FALSE),0)</f>
        <v>0</v>
      </c>
      <c r="AJ123" s="204">
        <f>Opv.kohd.[[#This Row],[Järjestämisluvan mukaiset 4]]-Opv.kohd.[[#This Row],[Järjestämisluvan mukaiset 1]]</f>
        <v>0</v>
      </c>
      <c r="AK123" s="204">
        <f>Opv.kohd.[[#This Row],[Kohdentamat-tomat 4]]-Opv.kohd.[[#This Row],[Kohdentamat-tomat 1]]</f>
        <v>0</v>
      </c>
      <c r="AL123" s="204">
        <f>Opv.kohd.[[#This Row],[Työvoima-koulutus 4]]-Opv.kohd.[[#This Row],[Työvoima-koulutus 1]]</f>
        <v>0</v>
      </c>
      <c r="AM123" s="204">
        <f>Opv.kohd.[[#This Row],[Maahan-muuttajien koulutus 4]]-Opv.kohd.[[#This Row],[Maahan-muuttajien koulutus 1]]</f>
        <v>0</v>
      </c>
      <c r="AN123" s="204">
        <f>Opv.kohd.[[#This Row],[Nuorisotyöt. väh. ja osaamistarp. vast., muu kuin työvoima-koulutus 4]]-Opv.kohd.[[#This Row],[Nuorisotyöt. väh. ja osaamistarp. vast., muu kuin työvoima-koulutus 1]]</f>
        <v>0</v>
      </c>
      <c r="AO123" s="204">
        <f>Opv.kohd.[[#This Row],[Nuorisotyöt. väh. ja osaamistarp. vast., työvoima-koulutus 4]]-Opv.kohd.[[#This Row],[Nuorisotyöt. väh. ja osaamistarp. vast., työvoima-koulutus 1]]</f>
        <v>0</v>
      </c>
      <c r="AP123" s="204">
        <f>Opv.kohd.[[#This Row],[Yhteensä 4]]-Opv.kohd.[[#This Row],[Yhteensä  1]]</f>
        <v>0</v>
      </c>
      <c r="AQ123" s="204">
        <f>Opv.kohd.[[#This Row],[Ensikertaisella suoritepäätöksellä jaetut tavoitteelliset opiskelijavuodet yhteensä 4]]-Opv.kohd.[[#This Row],[Ensikertaisella suoritepäätöksellä jaetut tavoitteelliset opiskelijavuodet yhteensä 1]]</f>
        <v>0</v>
      </c>
      <c r="AR123" s="208">
        <f>IFERROR(Opv.kohd.[[#This Row],[Järjestämisluvan mukaiset 5]]/Opv.kohd.[[#This Row],[Järjestämisluvan mukaiset 4]],0)</f>
        <v>0</v>
      </c>
      <c r="AS123" s="208">
        <f>IFERROR(Opv.kohd.[[#This Row],[Kohdentamat-tomat 5]]/Opv.kohd.[[#This Row],[Kohdentamat-tomat 4]],0)</f>
        <v>0</v>
      </c>
      <c r="AT123" s="208">
        <f>IFERROR(Opv.kohd.[[#This Row],[Työvoima-koulutus 5]]/Opv.kohd.[[#This Row],[Työvoima-koulutus 4]],0)</f>
        <v>0</v>
      </c>
      <c r="AU123" s="208">
        <f>IFERROR(Opv.kohd.[[#This Row],[Maahan-muuttajien koulutus 5]]/Opv.kohd.[[#This Row],[Maahan-muuttajien koulutus 4]],0)</f>
        <v>0</v>
      </c>
      <c r="AV123" s="208">
        <f>IFERROR(Opv.kohd.[[#This Row],[Nuorisotyöt. väh. ja osaamistarp. vast., muu kuin työvoima-koulutus 5]]/Opv.kohd.[[#This Row],[Nuorisotyöt. väh. ja osaamistarp. vast., muu kuin työvoima-koulutus 4]],0)</f>
        <v>0</v>
      </c>
      <c r="AW123" s="208">
        <f>IFERROR(Opv.kohd.[[#This Row],[Nuorisotyöt. väh. ja osaamistarp. vast., työvoima-koulutus 5]]/Opv.kohd.[[#This Row],[Nuorisotyöt. väh. ja osaamistarp. vast., työvoima-koulutus 4]],0)</f>
        <v>0</v>
      </c>
      <c r="AX123" s="208">
        <f>IFERROR(Opv.kohd.[[#This Row],[Yhteensä 5]]/Opv.kohd.[[#This Row],[Yhteensä 4]],0)</f>
        <v>0</v>
      </c>
      <c r="AY123" s="208">
        <f>IFERROR(Opv.kohd.[[#This Row],[Ensikertaisella suoritepäätöksellä jaetut tavoitteelliset opiskelijavuodet yhteensä 5]]/Opv.kohd.[[#This Row],[Ensikertaisella suoritepäätöksellä jaetut tavoitteelliset opiskelijavuodet yhteensä 4]],0)</f>
        <v>0</v>
      </c>
      <c r="AZ123" s="207">
        <f>Opv.kohd.[[#This Row],[Yhteensä 7a]]-Opv.kohd.[[#This Row],[Työvoima-koulutus 7a]]</f>
        <v>0</v>
      </c>
      <c r="BA123" s="207">
        <f>IFERROR(VLOOKUP(Opv.kohd.[[#This Row],[Y-tunnus]],#REF!,COLUMN(#REF!),FALSE),0)</f>
        <v>0</v>
      </c>
      <c r="BB123" s="207">
        <f>IFERROR(VLOOKUP(Opv.kohd.[[#This Row],[Y-tunnus]],#REF!,COLUMN(#REF!),FALSE),0)</f>
        <v>0</v>
      </c>
      <c r="BC123" s="207">
        <f>Opv.kohd.[[#This Row],[Muu kuin työvoima-koulutus 7c]]-Opv.kohd.[[#This Row],[Muu kuin työvoima-koulutus 7a]]</f>
        <v>0</v>
      </c>
      <c r="BD123" s="207">
        <f>Opv.kohd.[[#This Row],[Työvoima-koulutus 7c]]-Opv.kohd.[[#This Row],[Työvoima-koulutus 7a]]</f>
        <v>0</v>
      </c>
      <c r="BE123" s="207">
        <f>Opv.kohd.[[#This Row],[Yhteensä 7c]]-Opv.kohd.[[#This Row],[Yhteensä 7a]]</f>
        <v>0</v>
      </c>
      <c r="BF123" s="207">
        <f>Opv.kohd.[[#This Row],[Yhteensä 7c]]-Opv.kohd.[[#This Row],[Työvoima-koulutus 7c]]</f>
        <v>0</v>
      </c>
      <c r="BG123" s="207">
        <f>IFERROR(VLOOKUP(Opv.kohd.[[#This Row],[Y-tunnus]],#REF!,COLUMN(#REF!),FALSE),0)</f>
        <v>0</v>
      </c>
      <c r="BH123" s="207">
        <f>IFERROR(VLOOKUP(Opv.kohd.[[#This Row],[Y-tunnus]],#REF!,COLUMN(#REF!),FALSE),0)</f>
        <v>0</v>
      </c>
      <c r="BI123" s="207">
        <f>IFERROR(VLOOKUP(Opv.kohd.[[#This Row],[Y-tunnus]],#REF!,COLUMN(#REF!),FALSE),0)</f>
        <v>0</v>
      </c>
      <c r="BJ123" s="207">
        <f>IFERROR(VLOOKUP(Opv.kohd.[[#This Row],[Y-tunnus]],#REF!,COLUMN(#REF!),FALSE),0)</f>
        <v>0</v>
      </c>
      <c r="BK123" s="207">
        <f>Opv.kohd.[[#This Row],[Muu kuin työvoima-koulutus 7d]]+Opv.kohd.[[#This Row],[Työvoima-koulutus 7d]]</f>
        <v>0</v>
      </c>
      <c r="BL123" s="207">
        <f>Opv.kohd.[[#This Row],[Muu kuin työvoima-koulutus 7c]]-Opv.kohd.[[#This Row],[Muu kuin työvoima-koulutus 7d]]</f>
        <v>0</v>
      </c>
      <c r="BM123" s="207">
        <f>Opv.kohd.[[#This Row],[Työvoima-koulutus 7c]]-Opv.kohd.[[#This Row],[Työvoima-koulutus 7d]]</f>
        <v>0</v>
      </c>
      <c r="BN123" s="207">
        <f>Opv.kohd.[[#This Row],[Yhteensä 7c]]-Opv.kohd.[[#This Row],[Yhteensä 7d]]</f>
        <v>0</v>
      </c>
      <c r="BO123" s="207">
        <f>Opv.kohd.[[#This Row],[Muu kuin työvoima-koulutus 7e]]-(Opv.kohd.[[#This Row],[Järjestämisluvan mukaiset 4]]+Opv.kohd.[[#This Row],[Kohdentamat-tomat 4]]+Opv.kohd.[[#This Row],[Maahan-muuttajien koulutus 4]]+Opv.kohd.[[#This Row],[Nuorisotyöt. väh. ja osaamistarp. vast., muu kuin työvoima-koulutus 4]])</f>
        <v>0</v>
      </c>
      <c r="BP123" s="207">
        <f>Opv.kohd.[[#This Row],[Työvoima-koulutus 7e]]-(Opv.kohd.[[#This Row],[Työvoima-koulutus 4]]+Opv.kohd.[[#This Row],[Nuorisotyöt. väh. ja osaamistarp. vast., työvoima-koulutus 4]])</f>
        <v>0</v>
      </c>
      <c r="BQ123" s="207">
        <f>Opv.kohd.[[#This Row],[Yhteensä 7e]]-Opv.kohd.[[#This Row],[Ensikertaisella suoritepäätöksellä jaetut tavoitteelliset opiskelijavuodet yhteensä 4]]</f>
        <v>0</v>
      </c>
      <c r="BR123" s="263">
        <v>1814</v>
      </c>
      <c r="BS123" s="263">
        <v>70</v>
      </c>
      <c r="BT123" s="263">
        <v>165</v>
      </c>
      <c r="BU123" s="263">
        <v>22</v>
      </c>
      <c r="BV123" s="263">
        <v>0</v>
      </c>
      <c r="BW123" s="263">
        <v>0</v>
      </c>
      <c r="BX123" s="263">
        <v>257</v>
      </c>
      <c r="BY123" s="263">
        <v>2071</v>
      </c>
      <c r="BZ123" s="207">
        <f t="shared" si="17"/>
        <v>1814</v>
      </c>
      <c r="CA123" s="207">
        <f t="shared" si="18"/>
        <v>70</v>
      </c>
      <c r="CB123" s="207">
        <f t="shared" si="19"/>
        <v>165</v>
      </c>
      <c r="CC123" s="207">
        <f t="shared" si="20"/>
        <v>22</v>
      </c>
      <c r="CD123" s="207">
        <f t="shared" si="21"/>
        <v>0</v>
      </c>
      <c r="CE123" s="207">
        <f t="shared" si="22"/>
        <v>0</v>
      </c>
      <c r="CF123" s="207">
        <f t="shared" si="23"/>
        <v>257</v>
      </c>
      <c r="CG123" s="207">
        <f t="shared" si="24"/>
        <v>2071</v>
      </c>
      <c r="CH123" s="207">
        <f>Opv.kohd.[[#This Row],[Tavoitteelliset opiskelijavuodet yhteensä 9]]-Opv.kohd.[[#This Row],[Työvoima-koulutus 9]]-Opv.kohd.[[#This Row],[Nuorisotyöt. väh. ja osaamistarp. vast., työvoima-koulutus 9]]-Opv.kohd.[[#This Row],[Muu kuin työvoima-koulutus 7e]]</f>
        <v>1906</v>
      </c>
      <c r="CI123" s="207">
        <f>(Opv.kohd.[[#This Row],[Työvoima-koulutus 9]]+Opv.kohd.[[#This Row],[Nuorisotyöt. väh. ja osaamistarp. vast., työvoima-koulutus 9]])-Opv.kohd.[[#This Row],[Työvoima-koulutus 7e]]</f>
        <v>165</v>
      </c>
      <c r="CJ123" s="207">
        <f>Opv.kohd.[[#This Row],[Tavoitteelliset opiskelijavuodet yhteensä 9]]-Opv.kohd.[[#This Row],[Yhteensä 7e]]</f>
        <v>2071</v>
      </c>
      <c r="CK123" s="207">
        <f>Opv.kohd.[[#This Row],[Järjestämisluvan mukaiset 4]]+Opv.kohd.[[#This Row],[Järjestämisluvan mukaiset 13]]</f>
        <v>0</v>
      </c>
      <c r="CL123" s="207">
        <f>Opv.kohd.[[#This Row],[Kohdentamat-tomat 4]]+Opv.kohd.[[#This Row],[Kohdentamat-tomat 13]]</f>
        <v>0</v>
      </c>
      <c r="CM123" s="207">
        <f>Opv.kohd.[[#This Row],[Työvoima-koulutus 4]]+Opv.kohd.[[#This Row],[Työvoima-koulutus 13]]</f>
        <v>0</v>
      </c>
      <c r="CN123" s="207">
        <f>Opv.kohd.[[#This Row],[Maahan-muuttajien koulutus 4]]+Opv.kohd.[[#This Row],[Maahan-muuttajien koulutus 13]]</f>
        <v>0</v>
      </c>
      <c r="CO123" s="207">
        <f>Opv.kohd.[[#This Row],[Nuorisotyöt. väh. ja osaamistarp. vast., muu kuin työvoima-koulutus 4]]+Opv.kohd.[[#This Row],[Nuorisotyöt. väh. ja osaamistarp. vast., muu kuin työvoima-koulutus 13]]</f>
        <v>0</v>
      </c>
      <c r="CP123" s="207">
        <f>Opv.kohd.[[#This Row],[Nuorisotyöt. väh. ja osaamistarp. vast., työvoima-koulutus 4]]+Opv.kohd.[[#This Row],[Nuorisotyöt. väh. ja osaamistarp. vast., työvoima-koulutus 13]]</f>
        <v>0</v>
      </c>
      <c r="CQ123" s="207">
        <f>Opv.kohd.[[#This Row],[Yhteensä 4]]+Opv.kohd.[[#This Row],[Yhteensä 13]]</f>
        <v>0</v>
      </c>
      <c r="CR123" s="207">
        <f>Opv.kohd.[[#This Row],[Ensikertaisella suoritepäätöksellä jaetut tavoitteelliset opiskelijavuodet yhteensä 4]]+Opv.kohd.[[#This Row],[Tavoitteelliset opiskelijavuodet yhteensä 13]]</f>
        <v>0</v>
      </c>
      <c r="CS123" s="120">
        <v>0</v>
      </c>
      <c r="CT123" s="120">
        <v>0</v>
      </c>
      <c r="CU123" s="120">
        <v>0</v>
      </c>
      <c r="CV123" s="120">
        <v>0</v>
      </c>
      <c r="CW123" s="120">
        <v>0</v>
      </c>
      <c r="CX123" s="120">
        <v>0</v>
      </c>
      <c r="CY123" s="120">
        <v>0</v>
      </c>
      <c r="CZ123" s="120">
        <v>0</v>
      </c>
      <c r="DA123" s="209">
        <f>IFERROR(Opv.kohd.[[#This Row],[Järjestämisluvan mukaiset 13]]/Opv.kohd.[[#This Row],[Järjestämisluvan mukaiset 12]],0)</f>
        <v>0</v>
      </c>
      <c r="DB123" s="209">
        <f>IFERROR(Opv.kohd.[[#This Row],[Kohdentamat-tomat 13]]/Opv.kohd.[[#This Row],[Kohdentamat-tomat 12]],0)</f>
        <v>0</v>
      </c>
      <c r="DC123" s="209">
        <f>IFERROR(Opv.kohd.[[#This Row],[Työvoima-koulutus 13]]/Opv.kohd.[[#This Row],[Työvoima-koulutus 12]],0)</f>
        <v>0</v>
      </c>
      <c r="DD123" s="209">
        <f>IFERROR(Opv.kohd.[[#This Row],[Maahan-muuttajien koulutus 13]]/Opv.kohd.[[#This Row],[Maahan-muuttajien koulutus 12]],0)</f>
        <v>0</v>
      </c>
      <c r="DE123" s="209">
        <f>IFERROR(Opv.kohd.[[#This Row],[Nuorisotyöt. väh. ja osaamistarp. vast., muu kuin työvoima-koulutus 13]]/Opv.kohd.[[#This Row],[Nuorisotyöt. väh. ja osaamistarp. vast., muu kuin työvoima-koulutus 12]],0)</f>
        <v>0</v>
      </c>
      <c r="DF123" s="209">
        <f>IFERROR(Opv.kohd.[[#This Row],[Nuorisotyöt. väh. ja osaamistarp. vast., työvoima-koulutus 13]]/Opv.kohd.[[#This Row],[Nuorisotyöt. väh. ja osaamistarp. vast., työvoima-koulutus 12]],0)</f>
        <v>0</v>
      </c>
      <c r="DG123" s="209">
        <f>IFERROR(Opv.kohd.[[#This Row],[Yhteensä 13]]/Opv.kohd.[[#This Row],[Yhteensä 12]],0)</f>
        <v>0</v>
      </c>
      <c r="DH123" s="209">
        <f>IFERROR(Opv.kohd.[[#This Row],[Tavoitteelliset opiskelijavuodet yhteensä 13]]/Opv.kohd.[[#This Row],[Tavoitteelliset opiskelijavuodet yhteensä 12]],0)</f>
        <v>0</v>
      </c>
      <c r="DI123" s="207">
        <f>Opv.kohd.[[#This Row],[Järjestämisluvan mukaiset 12]]-Opv.kohd.[[#This Row],[Järjestämisluvan mukaiset 9]]</f>
        <v>-1814</v>
      </c>
      <c r="DJ123" s="207">
        <f>Opv.kohd.[[#This Row],[Kohdentamat-tomat 12]]-Opv.kohd.[[#This Row],[Kohdentamat-tomat 9]]</f>
        <v>-70</v>
      </c>
      <c r="DK123" s="207">
        <f>Opv.kohd.[[#This Row],[Työvoima-koulutus 12]]-Opv.kohd.[[#This Row],[Työvoima-koulutus 9]]</f>
        <v>-165</v>
      </c>
      <c r="DL123" s="207">
        <f>Opv.kohd.[[#This Row],[Maahan-muuttajien koulutus 12]]-Opv.kohd.[[#This Row],[Maahan-muuttajien koulutus 9]]</f>
        <v>-22</v>
      </c>
      <c r="DM123" s="207">
        <f>Opv.kohd.[[#This Row],[Nuorisotyöt. väh. ja osaamistarp. vast., muu kuin työvoima-koulutus 12]]-Opv.kohd.[[#This Row],[Nuorisotyöt. väh. ja osaamistarp. vast., muu kuin työvoima-koulutus 9]]</f>
        <v>0</v>
      </c>
      <c r="DN123" s="207">
        <f>Opv.kohd.[[#This Row],[Nuorisotyöt. väh. ja osaamistarp. vast., työvoima-koulutus 12]]-Opv.kohd.[[#This Row],[Nuorisotyöt. väh. ja osaamistarp. vast., työvoima-koulutus 9]]</f>
        <v>0</v>
      </c>
      <c r="DO123" s="207">
        <f>Opv.kohd.[[#This Row],[Yhteensä 12]]-Opv.kohd.[[#This Row],[Yhteensä 9]]</f>
        <v>-257</v>
      </c>
      <c r="DP123" s="207">
        <f>Opv.kohd.[[#This Row],[Tavoitteelliset opiskelijavuodet yhteensä 12]]-Opv.kohd.[[#This Row],[Tavoitteelliset opiskelijavuodet yhteensä 9]]</f>
        <v>-2071</v>
      </c>
      <c r="DQ123" s="209">
        <f>IFERROR(Opv.kohd.[[#This Row],[Järjestämisluvan mukaiset 15]]/Opv.kohd.[[#This Row],[Järjestämisluvan mukaiset 9]],0)</f>
        <v>-1</v>
      </c>
      <c r="DR123" s="209">
        <f t="shared" si="25"/>
        <v>0</v>
      </c>
      <c r="DS123" s="209">
        <f t="shared" si="26"/>
        <v>0</v>
      </c>
      <c r="DT123" s="209">
        <f t="shared" si="27"/>
        <v>0</v>
      </c>
      <c r="DU123" s="209">
        <f t="shared" si="28"/>
        <v>0</v>
      </c>
      <c r="DV123" s="209">
        <f t="shared" si="29"/>
        <v>0</v>
      </c>
      <c r="DW123" s="209">
        <f t="shared" si="30"/>
        <v>0</v>
      </c>
      <c r="DX123" s="209">
        <f t="shared" si="31"/>
        <v>0</v>
      </c>
    </row>
    <row r="124" spans="1:128" x14ac:dyDescent="0.25">
      <c r="A124" s="204" t="e">
        <f>IF(INDEX(#REF!,ROW(124:124)-1,1)=0,"",INDEX(#REF!,ROW(124:124)-1,1))</f>
        <v>#REF!</v>
      </c>
      <c r="B124" s="205" t="str">
        <f>IFERROR(VLOOKUP(Opv.kohd.[[#This Row],[Y-tunnus]],'0 Järjestäjätiedot'!$A:$H,2,FALSE),"")</f>
        <v/>
      </c>
      <c r="C124" s="204" t="str">
        <f>IFERROR(VLOOKUP(Opv.kohd.[[#This Row],[Y-tunnus]],'0 Järjestäjätiedot'!$A:$H,COLUMN('0 Järjestäjätiedot'!D:D),FALSE),"")</f>
        <v/>
      </c>
      <c r="D124" s="204" t="str">
        <f>IFERROR(VLOOKUP(Opv.kohd.[[#This Row],[Y-tunnus]],'0 Järjestäjätiedot'!$A:$H,COLUMN('0 Järjestäjätiedot'!H:H),FALSE),"")</f>
        <v/>
      </c>
      <c r="E124" s="204">
        <f>IFERROR(VLOOKUP(Opv.kohd.[[#This Row],[Y-tunnus]],#REF!,COLUMN(#REF!),FALSE),0)</f>
        <v>0</v>
      </c>
      <c r="F124" s="204">
        <f>IFERROR(VLOOKUP(Opv.kohd.[[#This Row],[Y-tunnus]],#REF!,COLUMN(#REF!),FALSE),0)</f>
        <v>0</v>
      </c>
      <c r="G124" s="204">
        <f>IFERROR(VLOOKUP(Opv.kohd.[[#This Row],[Y-tunnus]],#REF!,COLUMN(#REF!),FALSE),0)</f>
        <v>0</v>
      </c>
      <c r="H124" s="204">
        <f>IFERROR(VLOOKUP(Opv.kohd.[[#This Row],[Y-tunnus]],#REF!,COLUMN(#REF!),FALSE),0)</f>
        <v>0</v>
      </c>
      <c r="I124" s="204">
        <f>IFERROR(VLOOKUP(Opv.kohd.[[#This Row],[Y-tunnus]],#REF!,COLUMN(#REF!),FALSE),0)</f>
        <v>0</v>
      </c>
      <c r="J124" s="204">
        <f>IFERROR(VLOOKUP(Opv.kohd.[[#This Row],[Y-tunnus]],#REF!,COLUMN(#REF!),FALSE),0)</f>
        <v>0</v>
      </c>
      <c r="K12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24" s="204">
        <f>Opv.kohd.[[#This Row],[Järjestämisluvan mukaiset 1]]+Opv.kohd.[[#This Row],[Yhteensä  1]]</f>
        <v>0</v>
      </c>
      <c r="M124" s="204">
        <f>IFERROR(VLOOKUP(Opv.kohd.[[#This Row],[Y-tunnus]],#REF!,COLUMN(#REF!),FALSE),0)</f>
        <v>0</v>
      </c>
      <c r="N124" s="204">
        <f>IFERROR(VLOOKUP(Opv.kohd.[[#This Row],[Y-tunnus]],#REF!,COLUMN(#REF!),FALSE),0)</f>
        <v>0</v>
      </c>
      <c r="O124" s="204">
        <f>IFERROR(VLOOKUP(Opv.kohd.[[#This Row],[Y-tunnus]],#REF!,COLUMN(#REF!),FALSE)+VLOOKUP(Opv.kohd.[[#This Row],[Y-tunnus]],#REF!,COLUMN(#REF!),FALSE),0)</f>
        <v>0</v>
      </c>
      <c r="P124" s="204">
        <f>Opv.kohd.[[#This Row],[Talousarvion perusteella kohdentamattomat]]+Opv.kohd.[[#This Row],[Talousarvion perusteella työvoimakoulutus 1]]+Opv.kohd.[[#This Row],[Lisätalousarvioiden perusteella]]</f>
        <v>0</v>
      </c>
      <c r="Q124" s="204">
        <f>IFERROR(VLOOKUP(Opv.kohd.[[#This Row],[Y-tunnus]],#REF!,COLUMN(#REF!),FALSE),0)</f>
        <v>0</v>
      </c>
      <c r="R124" s="210">
        <f>IFERROR(VLOOKUP(Opv.kohd.[[#This Row],[Y-tunnus]],#REF!,COLUMN(#REF!),FALSE)-(Opv.kohd.[[#This Row],[Kohdentamaton työvoima-koulutus 2]]+Opv.kohd.[[#This Row],[Maahan-muuttajien koulutus 2]]+Opv.kohd.[[#This Row],[Lisätalousarvioiden perusteella jaetut 2]]),0)</f>
        <v>0</v>
      </c>
      <c r="S124" s="210">
        <f>IFERROR(VLOOKUP(Opv.kohd.[[#This Row],[Y-tunnus]],#REF!,COLUMN(#REF!),FALSE)+VLOOKUP(Opv.kohd.[[#This Row],[Y-tunnus]],#REF!,COLUMN(#REF!),FALSE),0)</f>
        <v>0</v>
      </c>
      <c r="T124" s="210">
        <f>IFERROR(VLOOKUP(Opv.kohd.[[#This Row],[Y-tunnus]],#REF!,COLUMN(#REF!),FALSE)+VLOOKUP(Opv.kohd.[[#This Row],[Y-tunnus]],#REF!,COLUMN(#REF!),FALSE),0)</f>
        <v>0</v>
      </c>
      <c r="U12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24" s="210">
        <f>Opv.kohd.[[#This Row],[Kohdentamat-tomat 2]]+Opv.kohd.[[#This Row],[Kohdentamaton työvoima-koulutus 2]]+Opv.kohd.[[#This Row],[Maahan-muuttajien koulutus 2]]+Opv.kohd.[[#This Row],[Lisätalousarvioiden perusteella jaetut 2]]</f>
        <v>0</v>
      </c>
      <c r="W124" s="210">
        <f>Opv.kohd.[[#This Row],[Kohdentamat-tomat 2]]-(Opv.kohd.[[#This Row],[Järjestämisluvan mukaiset 1]]+Opv.kohd.[[#This Row],[Kohdentamat-tomat 1]]+Opv.kohd.[[#This Row],[Nuorisotyöt. väh. ja osaamistarp. vast., muu kuin työvoima-koulutus 1]]+Opv.kohd.[[#This Row],[Talousarvion perusteella kohdentamattomat]])</f>
        <v>0</v>
      </c>
      <c r="X124" s="210">
        <f>Opv.kohd.[[#This Row],[Kohdentamaton työvoima-koulutus 2]]-(Opv.kohd.[[#This Row],[Työvoima-koulutus 1]]+Opv.kohd.[[#This Row],[Nuorisotyöt. väh. ja osaamistarp. vast., työvoima-koulutus 1]]+Opv.kohd.[[#This Row],[Talousarvion perusteella työvoimakoulutus 1]])</f>
        <v>0</v>
      </c>
      <c r="Y124" s="210">
        <f>Opv.kohd.[[#This Row],[Maahan-muuttajien koulutus 2]]-Opv.kohd.[[#This Row],[Maahan-muuttajien koulutus 1]]</f>
        <v>0</v>
      </c>
      <c r="Z124" s="210">
        <f>Opv.kohd.[[#This Row],[Lisätalousarvioiden perusteella jaetut 2]]-Opv.kohd.[[#This Row],[Lisätalousarvioiden perusteella]]</f>
        <v>0</v>
      </c>
      <c r="AA124" s="210">
        <f>Opv.kohd.[[#This Row],[Toteutuneet opiskelijavuodet yhteensä 2]]-Opv.kohd.[[#This Row],[Vuoden 2018 tavoitteelliset opiskelijavuodet yhteensä 1]]</f>
        <v>0</v>
      </c>
      <c r="AB124" s="207">
        <f>IFERROR(VLOOKUP(Opv.kohd.[[#This Row],[Y-tunnus]],#REF!,3,FALSE),0)</f>
        <v>0</v>
      </c>
      <c r="AC124" s="207">
        <f>IFERROR(VLOOKUP(Opv.kohd.[[#This Row],[Y-tunnus]],#REF!,4,FALSE),0)</f>
        <v>0</v>
      </c>
      <c r="AD124" s="207">
        <f>IFERROR(VLOOKUP(Opv.kohd.[[#This Row],[Y-tunnus]],#REF!,5,FALSE),0)</f>
        <v>0</v>
      </c>
      <c r="AE124" s="207">
        <f>IFERROR(VLOOKUP(Opv.kohd.[[#This Row],[Y-tunnus]],#REF!,6,FALSE),0)</f>
        <v>0</v>
      </c>
      <c r="AF124" s="207">
        <f>IFERROR(VLOOKUP(Opv.kohd.[[#This Row],[Y-tunnus]],#REF!,7,FALSE),0)</f>
        <v>0</v>
      </c>
      <c r="AG124" s="207">
        <f>IFERROR(VLOOKUP(Opv.kohd.[[#This Row],[Y-tunnus]],#REF!,8,FALSE),0)</f>
        <v>0</v>
      </c>
      <c r="AH124" s="207">
        <f>IFERROR(VLOOKUP(Opv.kohd.[[#This Row],[Y-tunnus]],#REF!,9,FALSE),0)</f>
        <v>0</v>
      </c>
      <c r="AI124" s="207">
        <f>IFERROR(VLOOKUP(Opv.kohd.[[#This Row],[Y-tunnus]],#REF!,10,FALSE),0)</f>
        <v>0</v>
      </c>
      <c r="AJ124" s="204">
        <f>Opv.kohd.[[#This Row],[Järjestämisluvan mukaiset 4]]-Opv.kohd.[[#This Row],[Järjestämisluvan mukaiset 1]]</f>
        <v>0</v>
      </c>
      <c r="AK124" s="204">
        <f>Opv.kohd.[[#This Row],[Kohdentamat-tomat 4]]-Opv.kohd.[[#This Row],[Kohdentamat-tomat 1]]</f>
        <v>0</v>
      </c>
      <c r="AL124" s="204">
        <f>Opv.kohd.[[#This Row],[Työvoima-koulutus 4]]-Opv.kohd.[[#This Row],[Työvoima-koulutus 1]]</f>
        <v>0</v>
      </c>
      <c r="AM124" s="204">
        <f>Opv.kohd.[[#This Row],[Maahan-muuttajien koulutus 4]]-Opv.kohd.[[#This Row],[Maahan-muuttajien koulutus 1]]</f>
        <v>0</v>
      </c>
      <c r="AN124" s="204">
        <f>Opv.kohd.[[#This Row],[Nuorisotyöt. väh. ja osaamistarp. vast., muu kuin työvoima-koulutus 4]]-Opv.kohd.[[#This Row],[Nuorisotyöt. väh. ja osaamistarp. vast., muu kuin työvoima-koulutus 1]]</f>
        <v>0</v>
      </c>
      <c r="AO124" s="204">
        <f>Opv.kohd.[[#This Row],[Nuorisotyöt. väh. ja osaamistarp. vast., työvoima-koulutus 4]]-Opv.kohd.[[#This Row],[Nuorisotyöt. väh. ja osaamistarp. vast., työvoima-koulutus 1]]</f>
        <v>0</v>
      </c>
      <c r="AP124" s="204">
        <f>Opv.kohd.[[#This Row],[Yhteensä 4]]-Opv.kohd.[[#This Row],[Yhteensä  1]]</f>
        <v>0</v>
      </c>
      <c r="AQ124" s="204">
        <f>Opv.kohd.[[#This Row],[Ensikertaisella suoritepäätöksellä jaetut tavoitteelliset opiskelijavuodet yhteensä 4]]-Opv.kohd.[[#This Row],[Ensikertaisella suoritepäätöksellä jaetut tavoitteelliset opiskelijavuodet yhteensä 1]]</f>
        <v>0</v>
      </c>
      <c r="AR124" s="208">
        <f>IFERROR(Opv.kohd.[[#This Row],[Järjestämisluvan mukaiset 5]]/Opv.kohd.[[#This Row],[Järjestämisluvan mukaiset 4]],0)</f>
        <v>0</v>
      </c>
      <c r="AS124" s="208">
        <f>IFERROR(Opv.kohd.[[#This Row],[Kohdentamat-tomat 5]]/Opv.kohd.[[#This Row],[Kohdentamat-tomat 4]],0)</f>
        <v>0</v>
      </c>
      <c r="AT124" s="208">
        <f>IFERROR(Opv.kohd.[[#This Row],[Työvoima-koulutus 5]]/Opv.kohd.[[#This Row],[Työvoima-koulutus 4]],0)</f>
        <v>0</v>
      </c>
      <c r="AU124" s="208">
        <f>IFERROR(Opv.kohd.[[#This Row],[Maahan-muuttajien koulutus 5]]/Opv.kohd.[[#This Row],[Maahan-muuttajien koulutus 4]],0)</f>
        <v>0</v>
      </c>
      <c r="AV124" s="208">
        <f>IFERROR(Opv.kohd.[[#This Row],[Nuorisotyöt. väh. ja osaamistarp. vast., muu kuin työvoima-koulutus 5]]/Opv.kohd.[[#This Row],[Nuorisotyöt. väh. ja osaamistarp. vast., muu kuin työvoima-koulutus 4]],0)</f>
        <v>0</v>
      </c>
      <c r="AW124" s="208">
        <f>IFERROR(Opv.kohd.[[#This Row],[Nuorisotyöt. väh. ja osaamistarp. vast., työvoima-koulutus 5]]/Opv.kohd.[[#This Row],[Nuorisotyöt. väh. ja osaamistarp. vast., työvoima-koulutus 4]],0)</f>
        <v>0</v>
      </c>
      <c r="AX124" s="208">
        <f>IFERROR(Opv.kohd.[[#This Row],[Yhteensä 5]]/Opv.kohd.[[#This Row],[Yhteensä 4]],0)</f>
        <v>0</v>
      </c>
      <c r="AY124" s="208">
        <f>IFERROR(Opv.kohd.[[#This Row],[Ensikertaisella suoritepäätöksellä jaetut tavoitteelliset opiskelijavuodet yhteensä 5]]/Opv.kohd.[[#This Row],[Ensikertaisella suoritepäätöksellä jaetut tavoitteelliset opiskelijavuodet yhteensä 4]],0)</f>
        <v>0</v>
      </c>
      <c r="AZ124" s="207">
        <f>Opv.kohd.[[#This Row],[Yhteensä 7a]]-Opv.kohd.[[#This Row],[Työvoima-koulutus 7a]]</f>
        <v>0</v>
      </c>
      <c r="BA124" s="207">
        <f>IFERROR(VLOOKUP(Opv.kohd.[[#This Row],[Y-tunnus]],#REF!,COLUMN(#REF!),FALSE),0)</f>
        <v>0</v>
      </c>
      <c r="BB124" s="207">
        <f>IFERROR(VLOOKUP(Opv.kohd.[[#This Row],[Y-tunnus]],#REF!,COLUMN(#REF!),FALSE),0)</f>
        <v>0</v>
      </c>
      <c r="BC124" s="207">
        <f>Opv.kohd.[[#This Row],[Muu kuin työvoima-koulutus 7c]]-Opv.kohd.[[#This Row],[Muu kuin työvoima-koulutus 7a]]</f>
        <v>0</v>
      </c>
      <c r="BD124" s="207">
        <f>Opv.kohd.[[#This Row],[Työvoima-koulutus 7c]]-Opv.kohd.[[#This Row],[Työvoima-koulutus 7a]]</f>
        <v>0</v>
      </c>
      <c r="BE124" s="207">
        <f>Opv.kohd.[[#This Row],[Yhteensä 7c]]-Opv.kohd.[[#This Row],[Yhteensä 7a]]</f>
        <v>0</v>
      </c>
      <c r="BF124" s="207">
        <f>Opv.kohd.[[#This Row],[Yhteensä 7c]]-Opv.kohd.[[#This Row],[Työvoima-koulutus 7c]]</f>
        <v>0</v>
      </c>
      <c r="BG124" s="207">
        <f>IFERROR(VLOOKUP(Opv.kohd.[[#This Row],[Y-tunnus]],#REF!,COLUMN(#REF!),FALSE),0)</f>
        <v>0</v>
      </c>
      <c r="BH124" s="207">
        <f>IFERROR(VLOOKUP(Opv.kohd.[[#This Row],[Y-tunnus]],#REF!,COLUMN(#REF!),FALSE),0)</f>
        <v>0</v>
      </c>
      <c r="BI124" s="207">
        <f>IFERROR(VLOOKUP(Opv.kohd.[[#This Row],[Y-tunnus]],#REF!,COLUMN(#REF!),FALSE),0)</f>
        <v>0</v>
      </c>
      <c r="BJ124" s="207">
        <f>IFERROR(VLOOKUP(Opv.kohd.[[#This Row],[Y-tunnus]],#REF!,COLUMN(#REF!),FALSE),0)</f>
        <v>0</v>
      </c>
      <c r="BK124" s="207">
        <f>Opv.kohd.[[#This Row],[Muu kuin työvoima-koulutus 7d]]+Opv.kohd.[[#This Row],[Työvoima-koulutus 7d]]</f>
        <v>0</v>
      </c>
      <c r="BL124" s="207">
        <f>Opv.kohd.[[#This Row],[Muu kuin työvoima-koulutus 7c]]-Opv.kohd.[[#This Row],[Muu kuin työvoima-koulutus 7d]]</f>
        <v>0</v>
      </c>
      <c r="BM124" s="207">
        <f>Opv.kohd.[[#This Row],[Työvoima-koulutus 7c]]-Opv.kohd.[[#This Row],[Työvoima-koulutus 7d]]</f>
        <v>0</v>
      </c>
      <c r="BN124" s="207">
        <f>Opv.kohd.[[#This Row],[Yhteensä 7c]]-Opv.kohd.[[#This Row],[Yhteensä 7d]]</f>
        <v>0</v>
      </c>
      <c r="BO124" s="207">
        <f>Opv.kohd.[[#This Row],[Muu kuin työvoima-koulutus 7e]]-(Opv.kohd.[[#This Row],[Järjestämisluvan mukaiset 4]]+Opv.kohd.[[#This Row],[Kohdentamat-tomat 4]]+Opv.kohd.[[#This Row],[Maahan-muuttajien koulutus 4]]+Opv.kohd.[[#This Row],[Nuorisotyöt. väh. ja osaamistarp. vast., muu kuin työvoima-koulutus 4]])</f>
        <v>0</v>
      </c>
      <c r="BP124" s="207">
        <f>Opv.kohd.[[#This Row],[Työvoima-koulutus 7e]]-(Opv.kohd.[[#This Row],[Työvoima-koulutus 4]]+Opv.kohd.[[#This Row],[Nuorisotyöt. väh. ja osaamistarp. vast., työvoima-koulutus 4]])</f>
        <v>0</v>
      </c>
      <c r="BQ124" s="207">
        <f>Opv.kohd.[[#This Row],[Yhteensä 7e]]-Opv.kohd.[[#This Row],[Ensikertaisella suoritepäätöksellä jaetut tavoitteelliset opiskelijavuodet yhteensä 4]]</f>
        <v>0</v>
      </c>
      <c r="BR124" s="263">
        <v>5755</v>
      </c>
      <c r="BS124" s="263">
        <v>214</v>
      </c>
      <c r="BT124" s="263">
        <v>150</v>
      </c>
      <c r="BU124" s="263">
        <v>27</v>
      </c>
      <c r="BV124" s="263">
        <v>25</v>
      </c>
      <c r="BW124" s="263">
        <v>0</v>
      </c>
      <c r="BX124" s="263">
        <v>416</v>
      </c>
      <c r="BY124" s="263">
        <v>6171</v>
      </c>
      <c r="BZ124" s="207">
        <f t="shared" si="17"/>
        <v>5755</v>
      </c>
      <c r="CA124" s="207">
        <f t="shared" si="18"/>
        <v>214</v>
      </c>
      <c r="CB124" s="207">
        <f t="shared" si="19"/>
        <v>150</v>
      </c>
      <c r="CC124" s="207">
        <f t="shared" si="20"/>
        <v>27</v>
      </c>
      <c r="CD124" s="207">
        <f t="shared" si="21"/>
        <v>25</v>
      </c>
      <c r="CE124" s="207">
        <f t="shared" si="22"/>
        <v>0</v>
      </c>
      <c r="CF124" s="207">
        <f t="shared" si="23"/>
        <v>416</v>
      </c>
      <c r="CG124" s="207">
        <f t="shared" si="24"/>
        <v>6171</v>
      </c>
      <c r="CH124" s="207">
        <f>Opv.kohd.[[#This Row],[Tavoitteelliset opiskelijavuodet yhteensä 9]]-Opv.kohd.[[#This Row],[Työvoima-koulutus 9]]-Opv.kohd.[[#This Row],[Nuorisotyöt. väh. ja osaamistarp. vast., työvoima-koulutus 9]]-Opv.kohd.[[#This Row],[Muu kuin työvoima-koulutus 7e]]</f>
        <v>6021</v>
      </c>
      <c r="CI124" s="207">
        <f>(Opv.kohd.[[#This Row],[Työvoima-koulutus 9]]+Opv.kohd.[[#This Row],[Nuorisotyöt. väh. ja osaamistarp. vast., työvoima-koulutus 9]])-Opv.kohd.[[#This Row],[Työvoima-koulutus 7e]]</f>
        <v>150</v>
      </c>
      <c r="CJ124" s="207">
        <f>Opv.kohd.[[#This Row],[Tavoitteelliset opiskelijavuodet yhteensä 9]]-Opv.kohd.[[#This Row],[Yhteensä 7e]]</f>
        <v>6171</v>
      </c>
      <c r="CK124" s="207">
        <f>Opv.kohd.[[#This Row],[Järjestämisluvan mukaiset 4]]+Opv.kohd.[[#This Row],[Järjestämisluvan mukaiset 13]]</f>
        <v>0</v>
      </c>
      <c r="CL124" s="207">
        <f>Opv.kohd.[[#This Row],[Kohdentamat-tomat 4]]+Opv.kohd.[[#This Row],[Kohdentamat-tomat 13]]</f>
        <v>0</v>
      </c>
      <c r="CM124" s="207">
        <f>Opv.kohd.[[#This Row],[Työvoima-koulutus 4]]+Opv.kohd.[[#This Row],[Työvoima-koulutus 13]]</f>
        <v>0</v>
      </c>
      <c r="CN124" s="207">
        <f>Opv.kohd.[[#This Row],[Maahan-muuttajien koulutus 4]]+Opv.kohd.[[#This Row],[Maahan-muuttajien koulutus 13]]</f>
        <v>0</v>
      </c>
      <c r="CO124" s="207">
        <f>Opv.kohd.[[#This Row],[Nuorisotyöt. väh. ja osaamistarp. vast., muu kuin työvoima-koulutus 4]]+Opv.kohd.[[#This Row],[Nuorisotyöt. väh. ja osaamistarp. vast., muu kuin työvoima-koulutus 13]]</f>
        <v>0</v>
      </c>
      <c r="CP124" s="207">
        <f>Opv.kohd.[[#This Row],[Nuorisotyöt. väh. ja osaamistarp. vast., työvoima-koulutus 4]]+Opv.kohd.[[#This Row],[Nuorisotyöt. väh. ja osaamistarp. vast., työvoima-koulutus 13]]</f>
        <v>0</v>
      </c>
      <c r="CQ124" s="207">
        <f>Opv.kohd.[[#This Row],[Yhteensä 4]]+Opv.kohd.[[#This Row],[Yhteensä 13]]</f>
        <v>0</v>
      </c>
      <c r="CR124" s="207">
        <f>Opv.kohd.[[#This Row],[Ensikertaisella suoritepäätöksellä jaetut tavoitteelliset opiskelijavuodet yhteensä 4]]+Opv.kohd.[[#This Row],[Tavoitteelliset opiskelijavuodet yhteensä 13]]</f>
        <v>0</v>
      </c>
      <c r="CS124" s="120">
        <v>0</v>
      </c>
      <c r="CT124" s="120">
        <v>0</v>
      </c>
      <c r="CU124" s="120">
        <v>0</v>
      </c>
      <c r="CV124" s="120">
        <v>0</v>
      </c>
      <c r="CW124" s="120">
        <v>0</v>
      </c>
      <c r="CX124" s="120">
        <v>0</v>
      </c>
      <c r="CY124" s="120">
        <v>0</v>
      </c>
      <c r="CZ124" s="120">
        <v>0</v>
      </c>
      <c r="DA124" s="209">
        <f>IFERROR(Opv.kohd.[[#This Row],[Järjestämisluvan mukaiset 13]]/Opv.kohd.[[#This Row],[Järjestämisluvan mukaiset 12]],0)</f>
        <v>0</v>
      </c>
      <c r="DB124" s="209">
        <f>IFERROR(Opv.kohd.[[#This Row],[Kohdentamat-tomat 13]]/Opv.kohd.[[#This Row],[Kohdentamat-tomat 12]],0)</f>
        <v>0</v>
      </c>
      <c r="DC124" s="209">
        <f>IFERROR(Opv.kohd.[[#This Row],[Työvoima-koulutus 13]]/Opv.kohd.[[#This Row],[Työvoima-koulutus 12]],0)</f>
        <v>0</v>
      </c>
      <c r="DD124" s="209">
        <f>IFERROR(Opv.kohd.[[#This Row],[Maahan-muuttajien koulutus 13]]/Opv.kohd.[[#This Row],[Maahan-muuttajien koulutus 12]],0)</f>
        <v>0</v>
      </c>
      <c r="DE124" s="209">
        <f>IFERROR(Opv.kohd.[[#This Row],[Nuorisotyöt. väh. ja osaamistarp. vast., muu kuin työvoima-koulutus 13]]/Opv.kohd.[[#This Row],[Nuorisotyöt. väh. ja osaamistarp. vast., muu kuin työvoima-koulutus 12]],0)</f>
        <v>0</v>
      </c>
      <c r="DF124" s="209">
        <f>IFERROR(Opv.kohd.[[#This Row],[Nuorisotyöt. väh. ja osaamistarp. vast., työvoima-koulutus 13]]/Opv.kohd.[[#This Row],[Nuorisotyöt. väh. ja osaamistarp. vast., työvoima-koulutus 12]],0)</f>
        <v>0</v>
      </c>
      <c r="DG124" s="209">
        <f>IFERROR(Opv.kohd.[[#This Row],[Yhteensä 13]]/Opv.kohd.[[#This Row],[Yhteensä 12]],0)</f>
        <v>0</v>
      </c>
      <c r="DH124" s="209">
        <f>IFERROR(Opv.kohd.[[#This Row],[Tavoitteelliset opiskelijavuodet yhteensä 13]]/Opv.kohd.[[#This Row],[Tavoitteelliset opiskelijavuodet yhteensä 12]],0)</f>
        <v>0</v>
      </c>
      <c r="DI124" s="207">
        <f>Opv.kohd.[[#This Row],[Järjestämisluvan mukaiset 12]]-Opv.kohd.[[#This Row],[Järjestämisluvan mukaiset 9]]</f>
        <v>-5755</v>
      </c>
      <c r="DJ124" s="207">
        <f>Opv.kohd.[[#This Row],[Kohdentamat-tomat 12]]-Opv.kohd.[[#This Row],[Kohdentamat-tomat 9]]</f>
        <v>-214</v>
      </c>
      <c r="DK124" s="207">
        <f>Opv.kohd.[[#This Row],[Työvoima-koulutus 12]]-Opv.kohd.[[#This Row],[Työvoima-koulutus 9]]</f>
        <v>-150</v>
      </c>
      <c r="DL124" s="207">
        <f>Opv.kohd.[[#This Row],[Maahan-muuttajien koulutus 12]]-Opv.kohd.[[#This Row],[Maahan-muuttajien koulutus 9]]</f>
        <v>-27</v>
      </c>
      <c r="DM124" s="207">
        <f>Opv.kohd.[[#This Row],[Nuorisotyöt. väh. ja osaamistarp. vast., muu kuin työvoima-koulutus 12]]-Opv.kohd.[[#This Row],[Nuorisotyöt. väh. ja osaamistarp. vast., muu kuin työvoima-koulutus 9]]</f>
        <v>-25</v>
      </c>
      <c r="DN124" s="207">
        <f>Opv.kohd.[[#This Row],[Nuorisotyöt. väh. ja osaamistarp. vast., työvoima-koulutus 12]]-Opv.kohd.[[#This Row],[Nuorisotyöt. väh. ja osaamistarp. vast., työvoima-koulutus 9]]</f>
        <v>0</v>
      </c>
      <c r="DO124" s="207">
        <f>Opv.kohd.[[#This Row],[Yhteensä 12]]-Opv.kohd.[[#This Row],[Yhteensä 9]]</f>
        <v>-416</v>
      </c>
      <c r="DP124" s="207">
        <f>Opv.kohd.[[#This Row],[Tavoitteelliset opiskelijavuodet yhteensä 12]]-Opv.kohd.[[#This Row],[Tavoitteelliset opiskelijavuodet yhteensä 9]]</f>
        <v>-6171</v>
      </c>
      <c r="DQ124" s="209">
        <f>IFERROR(Opv.kohd.[[#This Row],[Järjestämisluvan mukaiset 15]]/Opv.kohd.[[#This Row],[Järjestämisluvan mukaiset 9]],0)</f>
        <v>-1</v>
      </c>
      <c r="DR124" s="209">
        <f t="shared" si="25"/>
        <v>0</v>
      </c>
      <c r="DS124" s="209">
        <f t="shared" si="26"/>
        <v>0</v>
      </c>
      <c r="DT124" s="209">
        <f t="shared" si="27"/>
        <v>0</v>
      </c>
      <c r="DU124" s="209">
        <f t="shared" si="28"/>
        <v>0</v>
      </c>
      <c r="DV124" s="209">
        <f t="shared" si="29"/>
        <v>0</v>
      </c>
      <c r="DW124" s="209">
        <f t="shared" si="30"/>
        <v>0</v>
      </c>
      <c r="DX124" s="209">
        <f t="shared" si="31"/>
        <v>0</v>
      </c>
    </row>
    <row r="125" spans="1:128" x14ac:dyDescent="0.25">
      <c r="A125" s="204" t="e">
        <f>IF(INDEX(#REF!,ROW(125:125)-1,1)=0,"",INDEX(#REF!,ROW(125:125)-1,1))</f>
        <v>#REF!</v>
      </c>
      <c r="B125" s="205" t="str">
        <f>IFERROR(VLOOKUP(Opv.kohd.[[#This Row],[Y-tunnus]],'0 Järjestäjätiedot'!$A:$H,2,FALSE),"")</f>
        <v/>
      </c>
      <c r="C125" s="204" t="str">
        <f>IFERROR(VLOOKUP(Opv.kohd.[[#This Row],[Y-tunnus]],'0 Järjestäjätiedot'!$A:$H,COLUMN('0 Järjestäjätiedot'!D:D),FALSE),"")</f>
        <v/>
      </c>
      <c r="D125" s="204" t="str">
        <f>IFERROR(VLOOKUP(Opv.kohd.[[#This Row],[Y-tunnus]],'0 Järjestäjätiedot'!$A:$H,COLUMN('0 Järjestäjätiedot'!H:H),FALSE),"")</f>
        <v/>
      </c>
      <c r="E125" s="204">
        <f>IFERROR(VLOOKUP(Opv.kohd.[[#This Row],[Y-tunnus]],#REF!,COLUMN(#REF!),FALSE),0)</f>
        <v>0</v>
      </c>
      <c r="F125" s="204">
        <f>IFERROR(VLOOKUP(Opv.kohd.[[#This Row],[Y-tunnus]],#REF!,COLUMN(#REF!),FALSE),0)</f>
        <v>0</v>
      </c>
      <c r="G125" s="204">
        <f>IFERROR(VLOOKUP(Opv.kohd.[[#This Row],[Y-tunnus]],#REF!,COLUMN(#REF!),FALSE),0)</f>
        <v>0</v>
      </c>
      <c r="H125" s="204">
        <f>IFERROR(VLOOKUP(Opv.kohd.[[#This Row],[Y-tunnus]],#REF!,COLUMN(#REF!),FALSE),0)</f>
        <v>0</v>
      </c>
      <c r="I125" s="204">
        <f>IFERROR(VLOOKUP(Opv.kohd.[[#This Row],[Y-tunnus]],#REF!,COLUMN(#REF!),FALSE),0)</f>
        <v>0</v>
      </c>
      <c r="J125" s="204">
        <f>IFERROR(VLOOKUP(Opv.kohd.[[#This Row],[Y-tunnus]],#REF!,COLUMN(#REF!),FALSE),0)</f>
        <v>0</v>
      </c>
      <c r="K12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25" s="204">
        <f>Opv.kohd.[[#This Row],[Järjestämisluvan mukaiset 1]]+Opv.kohd.[[#This Row],[Yhteensä  1]]</f>
        <v>0</v>
      </c>
      <c r="M125" s="204">
        <f>IFERROR(VLOOKUP(Opv.kohd.[[#This Row],[Y-tunnus]],#REF!,COLUMN(#REF!),FALSE),0)</f>
        <v>0</v>
      </c>
      <c r="N125" s="204">
        <f>IFERROR(VLOOKUP(Opv.kohd.[[#This Row],[Y-tunnus]],#REF!,COLUMN(#REF!),FALSE),0)</f>
        <v>0</v>
      </c>
      <c r="O125" s="204">
        <f>IFERROR(VLOOKUP(Opv.kohd.[[#This Row],[Y-tunnus]],#REF!,COLUMN(#REF!),FALSE)+VLOOKUP(Opv.kohd.[[#This Row],[Y-tunnus]],#REF!,COLUMN(#REF!),FALSE),0)</f>
        <v>0</v>
      </c>
      <c r="P125" s="204">
        <f>Opv.kohd.[[#This Row],[Talousarvion perusteella kohdentamattomat]]+Opv.kohd.[[#This Row],[Talousarvion perusteella työvoimakoulutus 1]]+Opv.kohd.[[#This Row],[Lisätalousarvioiden perusteella]]</f>
        <v>0</v>
      </c>
      <c r="Q125" s="204">
        <f>IFERROR(VLOOKUP(Opv.kohd.[[#This Row],[Y-tunnus]],#REF!,COLUMN(#REF!),FALSE),0)</f>
        <v>0</v>
      </c>
      <c r="R125" s="210">
        <f>IFERROR(VLOOKUP(Opv.kohd.[[#This Row],[Y-tunnus]],#REF!,COLUMN(#REF!),FALSE)-(Opv.kohd.[[#This Row],[Kohdentamaton työvoima-koulutus 2]]+Opv.kohd.[[#This Row],[Maahan-muuttajien koulutus 2]]+Opv.kohd.[[#This Row],[Lisätalousarvioiden perusteella jaetut 2]]),0)</f>
        <v>0</v>
      </c>
      <c r="S125" s="210">
        <f>IFERROR(VLOOKUP(Opv.kohd.[[#This Row],[Y-tunnus]],#REF!,COLUMN(#REF!),FALSE)+VLOOKUP(Opv.kohd.[[#This Row],[Y-tunnus]],#REF!,COLUMN(#REF!),FALSE),0)</f>
        <v>0</v>
      </c>
      <c r="T125" s="210">
        <f>IFERROR(VLOOKUP(Opv.kohd.[[#This Row],[Y-tunnus]],#REF!,COLUMN(#REF!),FALSE)+VLOOKUP(Opv.kohd.[[#This Row],[Y-tunnus]],#REF!,COLUMN(#REF!),FALSE),0)</f>
        <v>0</v>
      </c>
      <c r="U12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25" s="210">
        <f>Opv.kohd.[[#This Row],[Kohdentamat-tomat 2]]+Opv.kohd.[[#This Row],[Kohdentamaton työvoima-koulutus 2]]+Opv.kohd.[[#This Row],[Maahan-muuttajien koulutus 2]]+Opv.kohd.[[#This Row],[Lisätalousarvioiden perusteella jaetut 2]]</f>
        <v>0</v>
      </c>
      <c r="W125" s="210">
        <f>Opv.kohd.[[#This Row],[Kohdentamat-tomat 2]]-(Opv.kohd.[[#This Row],[Järjestämisluvan mukaiset 1]]+Opv.kohd.[[#This Row],[Kohdentamat-tomat 1]]+Opv.kohd.[[#This Row],[Nuorisotyöt. väh. ja osaamistarp. vast., muu kuin työvoima-koulutus 1]]+Opv.kohd.[[#This Row],[Talousarvion perusteella kohdentamattomat]])</f>
        <v>0</v>
      </c>
      <c r="X125" s="210">
        <f>Opv.kohd.[[#This Row],[Kohdentamaton työvoima-koulutus 2]]-(Opv.kohd.[[#This Row],[Työvoima-koulutus 1]]+Opv.kohd.[[#This Row],[Nuorisotyöt. väh. ja osaamistarp. vast., työvoima-koulutus 1]]+Opv.kohd.[[#This Row],[Talousarvion perusteella työvoimakoulutus 1]])</f>
        <v>0</v>
      </c>
      <c r="Y125" s="210">
        <f>Opv.kohd.[[#This Row],[Maahan-muuttajien koulutus 2]]-Opv.kohd.[[#This Row],[Maahan-muuttajien koulutus 1]]</f>
        <v>0</v>
      </c>
      <c r="Z125" s="210">
        <f>Opv.kohd.[[#This Row],[Lisätalousarvioiden perusteella jaetut 2]]-Opv.kohd.[[#This Row],[Lisätalousarvioiden perusteella]]</f>
        <v>0</v>
      </c>
      <c r="AA125" s="210">
        <f>Opv.kohd.[[#This Row],[Toteutuneet opiskelijavuodet yhteensä 2]]-Opv.kohd.[[#This Row],[Vuoden 2018 tavoitteelliset opiskelijavuodet yhteensä 1]]</f>
        <v>0</v>
      </c>
      <c r="AB125" s="207">
        <f>IFERROR(VLOOKUP(Opv.kohd.[[#This Row],[Y-tunnus]],#REF!,3,FALSE),0)</f>
        <v>0</v>
      </c>
      <c r="AC125" s="207">
        <f>IFERROR(VLOOKUP(Opv.kohd.[[#This Row],[Y-tunnus]],#REF!,4,FALSE),0)</f>
        <v>0</v>
      </c>
      <c r="AD125" s="207">
        <f>IFERROR(VLOOKUP(Opv.kohd.[[#This Row],[Y-tunnus]],#REF!,5,FALSE),0)</f>
        <v>0</v>
      </c>
      <c r="AE125" s="207">
        <f>IFERROR(VLOOKUP(Opv.kohd.[[#This Row],[Y-tunnus]],#REF!,6,FALSE),0)</f>
        <v>0</v>
      </c>
      <c r="AF125" s="207">
        <f>IFERROR(VLOOKUP(Opv.kohd.[[#This Row],[Y-tunnus]],#REF!,7,FALSE),0)</f>
        <v>0</v>
      </c>
      <c r="AG125" s="207">
        <f>IFERROR(VLOOKUP(Opv.kohd.[[#This Row],[Y-tunnus]],#REF!,8,FALSE),0)</f>
        <v>0</v>
      </c>
      <c r="AH125" s="207">
        <f>IFERROR(VLOOKUP(Opv.kohd.[[#This Row],[Y-tunnus]],#REF!,9,FALSE),0)</f>
        <v>0</v>
      </c>
      <c r="AI125" s="207">
        <f>IFERROR(VLOOKUP(Opv.kohd.[[#This Row],[Y-tunnus]],#REF!,10,FALSE),0)</f>
        <v>0</v>
      </c>
      <c r="AJ125" s="204">
        <f>Opv.kohd.[[#This Row],[Järjestämisluvan mukaiset 4]]-Opv.kohd.[[#This Row],[Järjestämisluvan mukaiset 1]]</f>
        <v>0</v>
      </c>
      <c r="AK125" s="204">
        <f>Opv.kohd.[[#This Row],[Kohdentamat-tomat 4]]-Opv.kohd.[[#This Row],[Kohdentamat-tomat 1]]</f>
        <v>0</v>
      </c>
      <c r="AL125" s="204">
        <f>Opv.kohd.[[#This Row],[Työvoima-koulutus 4]]-Opv.kohd.[[#This Row],[Työvoima-koulutus 1]]</f>
        <v>0</v>
      </c>
      <c r="AM125" s="204">
        <f>Opv.kohd.[[#This Row],[Maahan-muuttajien koulutus 4]]-Opv.kohd.[[#This Row],[Maahan-muuttajien koulutus 1]]</f>
        <v>0</v>
      </c>
      <c r="AN125" s="204">
        <f>Opv.kohd.[[#This Row],[Nuorisotyöt. väh. ja osaamistarp. vast., muu kuin työvoima-koulutus 4]]-Opv.kohd.[[#This Row],[Nuorisotyöt. väh. ja osaamistarp. vast., muu kuin työvoima-koulutus 1]]</f>
        <v>0</v>
      </c>
      <c r="AO125" s="204">
        <f>Opv.kohd.[[#This Row],[Nuorisotyöt. väh. ja osaamistarp. vast., työvoima-koulutus 4]]-Opv.kohd.[[#This Row],[Nuorisotyöt. väh. ja osaamistarp. vast., työvoima-koulutus 1]]</f>
        <v>0</v>
      </c>
      <c r="AP125" s="204">
        <f>Opv.kohd.[[#This Row],[Yhteensä 4]]-Opv.kohd.[[#This Row],[Yhteensä  1]]</f>
        <v>0</v>
      </c>
      <c r="AQ125" s="204">
        <f>Opv.kohd.[[#This Row],[Ensikertaisella suoritepäätöksellä jaetut tavoitteelliset opiskelijavuodet yhteensä 4]]-Opv.kohd.[[#This Row],[Ensikertaisella suoritepäätöksellä jaetut tavoitteelliset opiskelijavuodet yhteensä 1]]</f>
        <v>0</v>
      </c>
      <c r="AR125" s="208">
        <f>IFERROR(Opv.kohd.[[#This Row],[Järjestämisluvan mukaiset 5]]/Opv.kohd.[[#This Row],[Järjestämisluvan mukaiset 4]],0)</f>
        <v>0</v>
      </c>
      <c r="AS125" s="208">
        <f>IFERROR(Opv.kohd.[[#This Row],[Kohdentamat-tomat 5]]/Opv.kohd.[[#This Row],[Kohdentamat-tomat 4]],0)</f>
        <v>0</v>
      </c>
      <c r="AT125" s="208">
        <f>IFERROR(Opv.kohd.[[#This Row],[Työvoima-koulutus 5]]/Opv.kohd.[[#This Row],[Työvoima-koulutus 4]],0)</f>
        <v>0</v>
      </c>
      <c r="AU125" s="208">
        <f>IFERROR(Opv.kohd.[[#This Row],[Maahan-muuttajien koulutus 5]]/Opv.kohd.[[#This Row],[Maahan-muuttajien koulutus 4]],0)</f>
        <v>0</v>
      </c>
      <c r="AV125" s="208">
        <f>IFERROR(Opv.kohd.[[#This Row],[Nuorisotyöt. väh. ja osaamistarp. vast., muu kuin työvoima-koulutus 5]]/Opv.kohd.[[#This Row],[Nuorisotyöt. väh. ja osaamistarp. vast., muu kuin työvoima-koulutus 4]],0)</f>
        <v>0</v>
      </c>
      <c r="AW125" s="208">
        <f>IFERROR(Opv.kohd.[[#This Row],[Nuorisotyöt. väh. ja osaamistarp. vast., työvoima-koulutus 5]]/Opv.kohd.[[#This Row],[Nuorisotyöt. väh. ja osaamistarp. vast., työvoima-koulutus 4]],0)</f>
        <v>0</v>
      </c>
      <c r="AX125" s="208">
        <f>IFERROR(Opv.kohd.[[#This Row],[Yhteensä 5]]/Opv.kohd.[[#This Row],[Yhteensä 4]],0)</f>
        <v>0</v>
      </c>
      <c r="AY125" s="208">
        <f>IFERROR(Opv.kohd.[[#This Row],[Ensikertaisella suoritepäätöksellä jaetut tavoitteelliset opiskelijavuodet yhteensä 5]]/Opv.kohd.[[#This Row],[Ensikertaisella suoritepäätöksellä jaetut tavoitteelliset opiskelijavuodet yhteensä 4]],0)</f>
        <v>0</v>
      </c>
      <c r="AZ125" s="207">
        <f>Opv.kohd.[[#This Row],[Yhteensä 7a]]-Opv.kohd.[[#This Row],[Työvoima-koulutus 7a]]</f>
        <v>0</v>
      </c>
      <c r="BA125" s="207">
        <f>IFERROR(VLOOKUP(Opv.kohd.[[#This Row],[Y-tunnus]],#REF!,COLUMN(#REF!),FALSE),0)</f>
        <v>0</v>
      </c>
      <c r="BB125" s="207">
        <f>IFERROR(VLOOKUP(Opv.kohd.[[#This Row],[Y-tunnus]],#REF!,COLUMN(#REF!),FALSE),0)</f>
        <v>0</v>
      </c>
      <c r="BC125" s="207">
        <f>Opv.kohd.[[#This Row],[Muu kuin työvoima-koulutus 7c]]-Opv.kohd.[[#This Row],[Muu kuin työvoima-koulutus 7a]]</f>
        <v>0</v>
      </c>
      <c r="BD125" s="207">
        <f>Opv.kohd.[[#This Row],[Työvoima-koulutus 7c]]-Opv.kohd.[[#This Row],[Työvoima-koulutus 7a]]</f>
        <v>0</v>
      </c>
      <c r="BE125" s="207">
        <f>Opv.kohd.[[#This Row],[Yhteensä 7c]]-Opv.kohd.[[#This Row],[Yhteensä 7a]]</f>
        <v>0</v>
      </c>
      <c r="BF125" s="207">
        <f>Opv.kohd.[[#This Row],[Yhteensä 7c]]-Opv.kohd.[[#This Row],[Työvoima-koulutus 7c]]</f>
        <v>0</v>
      </c>
      <c r="BG125" s="207">
        <f>IFERROR(VLOOKUP(Opv.kohd.[[#This Row],[Y-tunnus]],#REF!,COLUMN(#REF!),FALSE),0)</f>
        <v>0</v>
      </c>
      <c r="BH125" s="207">
        <f>IFERROR(VLOOKUP(Opv.kohd.[[#This Row],[Y-tunnus]],#REF!,COLUMN(#REF!),FALSE),0)</f>
        <v>0</v>
      </c>
      <c r="BI125" s="207">
        <f>IFERROR(VLOOKUP(Opv.kohd.[[#This Row],[Y-tunnus]],#REF!,COLUMN(#REF!),FALSE),0)</f>
        <v>0</v>
      </c>
      <c r="BJ125" s="207">
        <f>IFERROR(VLOOKUP(Opv.kohd.[[#This Row],[Y-tunnus]],#REF!,COLUMN(#REF!),FALSE),0)</f>
        <v>0</v>
      </c>
      <c r="BK125" s="207">
        <f>Opv.kohd.[[#This Row],[Muu kuin työvoima-koulutus 7d]]+Opv.kohd.[[#This Row],[Työvoima-koulutus 7d]]</f>
        <v>0</v>
      </c>
      <c r="BL125" s="207">
        <f>Opv.kohd.[[#This Row],[Muu kuin työvoima-koulutus 7c]]-Opv.kohd.[[#This Row],[Muu kuin työvoima-koulutus 7d]]</f>
        <v>0</v>
      </c>
      <c r="BM125" s="207">
        <f>Opv.kohd.[[#This Row],[Työvoima-koulutus 7c]]-Opv.kohd.[[#This Row],[Työvoima-koulutus 7d]]</f>
        <v>0</v>
      </c>
      <c r="BN125" s="207">
        <f>Opv.kohd.[[#This Row],[Yhteensä 7c]]-Opv.kohd.[[#This Row],[Yhteensä 7d]]</f>
        <v>0</v>
      </c>
      <c r="BO125" s="207">
        <f>Opv.kohd.[[#This Row],[Muu kuin työvoima-koulutus 7e]]-(Opv.kohd.[[#This Row],[Järjestämisluvan mukaiset 4]]+Opv.kohd.[[#This Row],[Kohdentamat-tomat 4]]+Opv.kohd.[[#This Row],[Maahan-muuttajien koulutus 4]]+Opv.kohd.[[#This Row],[Nuorisotyöt. väh. ja osaamistarp. vast., muu kuin työvoima-koulutus 4]])</f>
        <v>0</v>
      </c>
      <c r="BP125" s="207">
        <f>Opv.kohd.[[#This Row],[Työvoima-koulutus 7e]]-(Opv.kohd.[[#This Row],[Työvoima-koulutus 4]]+Opv.kohd.[[#This Row],[Nuorisotyöt. väh. ja osaamistarp. vast., työvoima-koulutus 4]])</f>
        <v>0</v>
      </c>
      <c r="BQ125" s="207">
        <f>Opv.kohd.[[#This Row],[Yhteensä 7e]]-Opv.kohd.[[#This Row],[Ensikertaisella suoritepäätöksellä jaetut tavoitteelliset opiskelijavuodet yhteensä 4]]</f>
        <v>0</v>
      </c>
      <c r="BR125" s="263">
        <v>4109</v>
      </c>
      <c r="BS125" s="263">
        <v>128</v>
      </c>
      <c r="BT125" s="263">
        <v>470</v>
      </c>
      <c r="BU125" s="263">
        <v>30</v>
      </c>
      <c r="BV125" s="263">
        <v>0</v>
      </c>
      <c r="BW125" s="263">
        <v>30</v>
      </c>
      <c r="BX125" s="263">
        <v>658</v>
      </c>
      <c r="BY125" s="263">
        <v>4767</v>
      </c>
      <c r="BZ125" s="207">
        <f t="shared" si="17"/>
        <v>4109</v>
      </c>
      <c r="CA125" s="207">
        <f t="shared" si="18"/>
        <v>128</v>
      </c>
      <c r="CB125" s="207">
        <f t="shared" si="19"/>
        <v>470</v>
      </c>
      <c r="CC125" s="207">
        <f t="shared" si="20"/>
        <v>30</v>
      </c>
      <c r="CD125" s="207">
        <f t="shared" si="21"/>
        <v>0</v>
      </c>
      <c r="CE125" s="207">
        <f t="shared" si="22"/>
        <v>30</v>
      </c>
      <c r="CF125" s="207">
        <f t="shared" si="23"/>
        <v>658</v>
      </c>
      <c r="CG125" s="207">
        <f t="shared" si="24"/>
        <v>4767</v>
      </c>
      <c r="CH125" s="207">
        <f>Opv.kohd.[[#This Row],[Tavoitteelliset opiskelijavuodet yhteensä 9]]-Opv.kohd.[[#This Row],[Työvoima-koulutus 9]]-Opv.kohd.[[#This Row],[Nuorisotyöt. väh. ja osaamistarp. vast., työvoima-koulutus 9]]-Opv.kohd.[[#This Row],[Muu kuin työvoima-koulutus 7e]]</f>
        <v>4267</v>
      </c>
      <c r="CI125" s="207">
        <f>(Opv.kohd.[[#This Row],[Työvoima-koulutus 9]]+Opv.kohd.[[#This Row],[Nuorisotyöt. väh. ja osaamistarp. vast., työvoima-koulutus 9]])-Opv.kohd.[[#This Row],[Työvoima-koulutus 7e]]</f>
        <v>500</v>
      </c>
      <c r="CJ125" s="207">
        <f>Opv.kohd.[[#This Row],[Tavoitteelliset opiskelijavuodet yhteensä 9]]-Opv.kohd.[[#This Row],[Yhteensä 7e]]</f>
        <v>4767</v>
      </c>
      <c r="CK125" s="207">
        <f>Opv.kohd.[[#This Row],[Järjestämisluvan mukaiset 4]]+Opv.kohd.[[#This Row],[Järjestämisluvan mukaiset 13]]</f>
        <v>0</v>
      </c>
      <c r="CL125" s="207">
        <f>Opv.kohd.[[#This Row],[Kohdentamat-tomat 4]]+Opv.kohd.[[#This Row],[Kohdentamat-tomat 13]]</f>
        <v>0</v>
      </c>
      <c r="CM125" s="207">
        <f>Opv.kohd.[[#This Row],[Työvoima-koulutus 4]]+Opv.kohd.[[#This Row],[Työvoima-koulutus 13]]</f>
        <v>0</v>
      </c>
      <c r="CN125" s="207">
        <f>Opv.kohd.[[#This Row],[Maahan-muuttajien koulutus 4]]+Opv.kohd.[[#This Row],[Maahan-muuttajien koulutus 13]]</f>
        <v>0</v>
      </c>
      <c r="CO125" s="207">
        <f>Opv.kohd.[[#This Row],[Nuorisotyöt. väh. ja osaamistarp. vast., muu kuin työvoima-koulutus 4]]+Opv.kohd.[[#This Row],[Nuorisotyöt. väh. ja osaamistarp. vast., muu kuin työvoima-koulutus 13]]</f>
        <v>0</v>
      </c>
      <c r="CP125" s="207">
        <f>Opv.kohd.[[#This Row],[Nuorisotyöt. väh. ja osaamistarp. vast., työvoima-koulutus 4]]+Opv.kohd.[[#This Row],[Nuorisotyöt. väh. ja osaamistarp. vast., työvoima-koulutus 13]]</f>
        <v>0</v>
      </c>
      <c r="CQ125" s="207">
        <f>Opv.kohd.[[#This Row],[Yhteensä 4]]+Opv.kohd.[[#This Row],[Yhteensä 13]]</f>
        <v>0</v>
      </c>
      <c r="CR125" s="207">
        <f>Opv.kohd.[[#This Row],[Ensikertaisella suoritepäätöksellä jaetut tavoitteelliset opiskelijavuodet yhteensä 4]]+Opv.kohd.[[#This Row],[Tavoitteelliset opiskelijavuodet yhteensä 13]]</f>
        <v>0</v>
      </c>
      <c r="CS125" s="120">
        <v>0</v>
      </c>
      <c r="CT125" s="120">
        <v>0</v>
      </c>
      <c r="CU125" s="120">
        <v>0</v>
      </c>
      <c r="CV125" s="120">
        <v>0</v>
      </c>
      <c r="CW125" s="120">
        <v>0</v>
      </c>
      <c r="CX125" s="120">
        <v>0</v>
      </c>
      <c r="CY125" s="120">
        <v>0</v>
      </c>
      <c r="CZ125" s="120">
        <v>0</v>
      </c>
      <c r="DA125" s="209">
        <f>IFERROR(Opv.kohd.[[#This Row],[Järjestämisluvan mukaiset 13]]/Opv.kohd.[[#This Row],[Järjestämisluvan mukaiset 12]],0)</f>
        <v>0</v>
      </c>
      <c r="DB125" s="209">
        <f>IFERROR(Opv.kohd.[[#This Row],[Kohdentamat-tomat 13]]/Opv.kohd.[[#This Row],[Kohdentamat-tomat 12]],0)</f>
        <v>0</v>
      </c>
      <c r="DC125" s="209">
        <f>IFERROR(Opv.kohd.[[#This Row],[Työvoima-koulutus 13]]/Opv.kohd.[[#This Row],[Työvoima-koulutus 12]],0)</f>
        <v>0</v>
      </c>
      <c r="DD125" s="209">
        <f>IFERROR(Opv.kohd.[[#This Row],[Maahan-muuttajien koulutus 13]]/Opv.kohd.[[#This Row],[Maahan-muuttajien koulutus 12]],0)</f>
        <v>0</v>
      </c>
      <c r="DE125" s="209">
        <f>IFERROR(Opv.kohd.[[#This Row],[Nuorisotyöt. väh. ja osaamistarp. vast., muu kuin työvoima-koulutus 13]]/Opv.kohd.[[#This Row],[Nuorisotyöt. väh. ja osaamistarp. vast., muu kuin työvoima-koulutus 12]],0)</f>
        <v>0</v>
      </c>
      <c r="DF125" s="209">
        <f>IFERROR(Opv.kohd.[[#This Row],[Nuorisotyöt. väh. ja osaamistarp. vast., työvoima-koulutus 13]]/Opv.kohd.[[#This Row],[Nuorisotyöt. väh. ja osaamistarp. vast., työvoima-koulutus 12]],0)</f>
        <v>0</v>
      </c>
      <c r="DG125" s="209">
        <f>IFERROR(Opv.kohd.[[#This Row],[Yhteensä 13]]/Opv.kohd.[[#This Row],[Yhteensä 12]],0)</f>
        <v>0</v>
      </c>
      <c r="DH125" s="209">
        <f>IFERROR(Opv.kohd.[[#This Row],[Tavoitteelliset opiskelijavuodet yhteensä 13]]/Opv.kohd.[[#This Row],[Tavoitteelliset opiskelijavuodet yhteensä 12]],0)</f>
        <v>0</v>
      </c>
      <c r="DI125" s="207">
        <f>Opv.kohd.[[#This Row],[Järjestämisluvan mukaiset 12]]-Opv.kohd.[[#This Row],[Järjestämisluvan mukaiset 9]]</f>
        <v>-4109</v>
      </c>
      <c r="DJ125" s="207">
        <f>Opv.kohd.[[#This Row],[Kohdentamat-tomat 12]]-Opv.kohd.[[#This Row],[Kohdentamat-tomat 9]]</f>
        <v>-128</v>
      </c>
      <c r="DK125" s="207">
        <f>Opv.kohd.[[#This Row],[Työvoima-koulutus 12]]-Opv.kohd.[[#This Row],[Työvoima-koulutus 9]]</f>
        <v>-470</v>
      </c>
      <c r="DL125" s="207">
        <f>Opv.kohd.[[#This Row],[Maahan-muuttajien koulutus 12]]-Opv.kohd.[[#This Row],[Maahan-muuttajien koulutus 9]]</f>
        <v>-30</v>
      </c>
      <c r="DM125" s="207">
        <f>Opv.kohd.[[#This Row],[Nuorisotyöt. väh. ja osaamistarp. vast., muu kuin työvoima-koulutus 12]]-Opv.kohd.[[#This Row],[Nuorisotyöt. väh. ja osaamistarp. vast., muu kuin työvoima-koulutus 9]]</f>
        <v>0</v>
      </c>
      <c r="DN125" s="207">
        <f>Opv.kohd.[[#This Row],[Nuorisotyöt. väh. ja osaamistarp. vast., työvoima-koulutus 12]]-Opv.kohd.[[#This Row],[Nuorisotyöt. väh. ja osaamistarp. vast., työvoima-koulutus 9]]</f>
        <v>-30</v>
      </c>
      <c r="DO125" s="207">
        <f>Opv.kohd.[[#This Row],[Yhteensä 12]]-Opv.kohd.[[#This Row],[Yhteensä 9]]</f>
        <v>-658</v>
      </c>
      <c r="DP125" s="207">
        <f>Opv.kohd.[[#This Row],[Tavoitteelliset opiskelijavuodet yhteensä 12]]-Opv.kohd.[[#This Row],[Tavoitteelliset opiskelijavuodet yhteensä 9]]</f>
        <v>-4767</v>
      </c>
      <c r="DQ125" s="209">
        <f>IFERROR(Opv.kohd.[[#This Row],[Järjestämisluvan mukaiset 15]]/Opv.kohd.[[#This Row],[Järjestämisluvan mukaiset 9]],0)</f>
        <v>-1</v>
      </c>
      <c r="DR125" s="209">
        <f t="shared" si="25"/>
        <v>0</v>
      </c>
      <c r="DS125" s="209">
        <f t="shared" si="26"/>
        <v>0</v>
      </c>
      <c r="DT125" s="209">
        <f t="shared" si="27"/>
        <v>0</v>
      </c>
      <c r="DU125" s="209">
        <f t="shared" si="28"/>
        <v>0</v>
      </c>
      <c r="DV125" s="209">
        <f t="shared" si="29"/>
        <v>0</v>
      </c>
      <c r="DW125" s="209">
        <f t="shared" si="30"/>
        <v>0</v>
      </c>
      <c r="DX125" s="209">
        <f t="shared" si="31"/>
        <v>0</v>
      </c>
    </row>
    <row r="126" spans="1:128" x14ac:dyDescent="0.25">
      <c r="A126" s="204" t="e">
        <f>IF(INDEX(#REF!,ROW(126:126)-1,1)=0,"",INDEX(#REF!,ROW(126:126)-1,1))</f>
        <v>#REF!</v>
      </c>
      <c r="B126" s="205" t="str">
        <f>IFERROR(VLOOKUP(Opv.kohd.[[#This Row],[Y-tunnus]],'0 Järjestäjätiedot'!$A:$H,2,FALSE),"")</f>
        <v/>
      </c>
      <c r="C126" s="204" t="str">
        <f>IFERROR(VLOOKUP(Opv.kohd.[[#This Row],[Y-tunnus]],'0 Järjestäjätiedot'!$A:$H,COLUMN('0 Järjestäjätiedot'!D:D),FALSE),"")</f>
        <v/>
      </c>
      <c r="D126" s="204" t="str">
        <f>IFERROR(VLOOKUP(Opv.kohd.[[#This Row],[Y-tunnus]],'0 Järjestäjätiedot'!$A:$H,COLUMN('0 Järjestäjätiedot'!H:H),FALSE),"")</f>
        <v/>
      </c>
      <c r="E126" s="204">
        <f>IFERROR(VLOOKUP(Opv.kohd.[[#This Row],[Y-tunnus]],#REF!,COLUMN(#REF!),FALSE),0)</f>
        <v>0</v>
      </c>
      <c r="F126" s="204">
        <f>IFERROR(VLOOKUP(Opv.kohd.[[#This Row],[Y-tunnus]],#REF!,COLUMN(#REF!),FALSE),0)</f>
        <v>0</v>
      </c>
      <c r="G126" s="204">
        <f>IFERROR(VLOOKUP(Opv.kohd.[[#This Row],[Y-tunnus]],#REF!,COLUMN(#REF!),FALSE),0)</f>
        <v>0</v>
      </c>
      <c r="H126" s="204">
        <f>IFERROR(VLOOKUP(Opv.kohd.[[#This Row],[Y-tunnus]],#REF!,COLUMN(#REF!),FALSE),0)</f>
        <v>0</v>
      </c>
      <c r="I126" s="204">
        <f>IFERROR(VLOOKUP(Opv.kohd.[[#This Row],[Y-tunnus]],#REF!,COLUMN(#REF!),FALSE),0)</f>
        <v>0</v>
      </c>
      <c r="J126" s="204">
        <f>IFERROR(VLOOKUP(Opv.kohd.[[#This Row],[Y-tunnus]],#REF!,COLUMN(#REF!),FALSE),0)</f>
        <v>0</v>
      </c>
      <c r="K12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26" s="204">
        <f>Opv.kohd.[[#This Row],[Järjestämisluvan mukaiset 1]]+Opv.kohd.[[#This Row],[Yhteensä  1]]</f>
        <v>0</v>
      </c>
      <c r="M126" s="204">
        <f>IFERROR(VLOOKUP(Opv.kohd.[[#This Row],[Y-tunnus]],#REF!,COLUMN(#REF!),FALSE),0)</f>
        <v>0</v>
      </c>
      <c r="N126" s="204">
        <f>IFERROR(VLOOKUP(Opv.kohd.[[#This Row],[Y-tunnus]],#REF!,COLUMN(#REF!),FALSE),0)</f>
        <v>0</v>
      </c>
      <c r="O126" s="204">
        <f>IFERROR(VLOOKUP(Opv.kohd.[[#This Row],[Y-tunnus]],#REF!,COLUMN(#REF!),FALSE)+VLOOKUP(Opv.kohd.[[#This Row],[Y-tunnus]],#REF!,COLUMN(#REF!),FALSE),0)</f>
        <v>0</v>
      </c>
      <c r="P126" s="204">
        <f>Opv.kohd.[[#This Row],[Talousarvion perusteella kohdentamattomat]]+Opv.kohd.[[#This Row],[Talousarvion perusteella työvoimakoulutus 1]]+Opv.kohd.[[#This Row],[Lisätalousarvioiden perusteella]]</f>
        <v>0</v>
      </c>
      <c r="Q126" s="204">
        <f>IFERROR(VLOOKUP(Opv.kohd.[[#This Row],[Y-tunnus]],#REF!,COLUMN(#REF!),FALSE),0)</f>
        <v>0</v>
      </c>
      <c r="R126" s="210">
        <f>IFERROR(VLOOKUP(Opv.kohd.[[#This Row],[Y-tunnus]],#REF!,COLUMN(#REF!),FALSE)-(Opv.kohd.[[#This Row],[Kohdentamaton työvoima-koulutus 2]]+Opv.kohd.[[#This Row],[Maahan-muuttajien koulutus 2]]+Opv.kohd.[[#This Row],[Lisätalousarvioiden perusteella jaetut 2]]),0)</f>
        <v>0</v>
      </c>
      <c r="S126" s="210">
        <f>IFERROR(VLOOKUP(Opv.kohd.[[#This Row],[Y-tunnus]],#REF!,COLUMN(#REF!),FALSE)+VLOOKUP(Opv.kohd.[[#This Row],[Y-tunnus]],#REF!,COLUMN(#REF!),FALSE),0)</f>
        <v>0</v>
      </c>
      <c r="T126" s="210">
        <f>IFERROR(VLOOKUP(Opv.kohd.[[#This Row],[Y-tunnus]],#REF!,COLUMN(#REF!),FALSE)+VLOOKUP(Opv.kohd.[[#This Row],[Y-tunnus]],#REF!,COLUMN(#REF!),FALSE),0)</f>
        <v>0</v>
      </c>
      <c r="U12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26" s="210">
        <f>Opv.kohd.[[#This Row],[Kohdentamat-tomat 2]]+Opv.kohd.[[#This Row],[Kohdentamaton työvoima-koulutus 2]]+Opv.kohd.[[#This Row],[Maahan-muuttajien koulutus 2]]+Opv.kohd.[[#This Row],[Lisätalousarvioiden perusteella jaetut 2]]</f>
        <v>0</v>
      </c>
      <c r="W126" s="210">
        <f>Opv.kohd.[[#This Row],[Kohdentamat-tomat 2]]-(Opv.kohd.[[#This Row],[Järjestämisluvan mukaiset 1]]+Opv.kohd.[[#This Row],[Kohdentamat-tomat 1]]+Opv.kohd.[[#This Row],[Nuorisotyöt. väh. ja osaamistarp. vast., muu kuin työvoima-koulutus 1]]+Opv.kohd.[[#This Row],[Talousarvion perusteella kohdentamattomat]])</f>
        <v>0</v>
      </c>
      <c r="X126" s="210">
        <f>Opv.kohd.[[#This Row],[Kohdentamaton työvoima-koulutus 2]]-(Opv.kohd.[[#This Row],[Työvoima-koulutus 1]]+Opv.kohd.[[#This Row],[Nuorisotyöt. väh. ja osaamistarp. vast., työvoima-koulutus 1]]+Opv.kohd.[[#This Row],[Talousarvion perusteella työvoimakoulutus 1]])</f>
        <v>0</v>
      </c>
      <c r="Y126" s="210">
        <f>Opv.kohd.[[#This Row],[Maahan-muuttajien koulutus 2]]-Opv.kohd.[[#This Row],[Maahan-muuttajien koulutus 1]]</f>
        <v>0</v>
      </c>
      <c r="Z126" s="210">
        <f>Opv.kohd.[[#This Row],[Lisätalousarvioiden perusteella jaetut 2]]-Opv.kohd.[[#This Row],[Lisätalousarvioiden perusteella]]</f>
        <v>0</v>
      </c>
      <c r="AA126" s="210">
        <f>Opv.kohd.[[#This Row],[Toteutuneet opiskelijavuodet yhteensä 2]]-Opv.kohd.[[#This Row],[Vuoden 2018 tavoitteelliset opiskelijavuodet yhteensä 1]]</f>
        <v>0</v>
      </c>
      <c r="AB126" s="207">
        <f>IFERROR(VLOOKUP(Opv.kohd.[[#This Row],[Y-tunnus]],#REF!,3,FALSE),0)</f>
        <v>0</v>
      </c>
      <c r="AC126" s="207">
        <f>IFERROR(VLOOKUP(Opv.kohd.[[#This Row],[Y-tunnus]],#REF!,4,FALSE),0)</f>
        <v>0</v>
      </c>
      <c r="AD126" s="207">
        <f>IFERROR(VLOOKUP(Opv.kohd.[[#This Row],[Y-tunnus]],#REF!,5,FALSE),0)</f>
        <v>0</v>
      </c>
      <c r="AE126" s="207">
        <f>IFERROR(VLOOKUP(Opv.kohd.[[#This Row],[Y-tunnus]],#REF!,6,FALSE),0)</f>
        <v>0</v>
      </c>
      <c r="AF126" s="207">
        <f>IFERROR(VLOOKUP(Opv.kohd.[[#This Row],[Y-tunnus]],#REF!,7,FALSE),0)</f>
        <v>0</v>
      </c>
      <c r="AG126" s="207">
        <f>IFERROR(VLOOKUP(Opv.kohd.[[#This Row],[Y-tunnus]],#REF!,8,FALSE),0)</f>
        <v>0</v>
      </c>
      <c r="AH126" s="207">
        <f>IFERROR(VLOOKUP(Opv.kohd.[[#This Row],[Y-tunnus]],#REF!,9,FALSE),0)</f>
        <v>0</v>
      </c>
      <c r="AI126" s="207">
        <f>IFERROR(VLOOKUP(Opv.kohd.[[#This Row],[Y-tunnus]],#REF!,10,FALSE),0)</f>
        <v>0</v>
      </c>
      <c r="AJ126" s="204">
        <f>Opv.kohd.[[#This Row],[Järjestämisluvan mukaiset 4]]-Opv.kohd.[[#This Row],[Järjestämisluvan mukaiset 1]]</f>
        <v>0</v>
      </c>
      <c r="AK126" s="204">
        <f>Opv.kohd.[[#This Row],[Kohdentamat-tomat 4]]-Opv.kohd.[[#This Row],[Kohdentamat-tomat 1]]</f>
        <v>0</v>
      </c>
      <c r="AL126" s="204">
        <f>Opv.kohd.[[#This Row],[Työvoima-koulutus 4]]-Opv.kohd.[[#This Row],[Työvoima-koulutus 1]]</f>
        <v>0</v>
      </c>
      <c r="AM126" s="204">
        <f>Opv.kohd.[[#This Row],[Maahan-muuttajien koulutus 4]]-Opv.kohd.[[#This Row],[Maahan-muuttajien koulutus 1]]</f>
        <v>0</v>
      </c>
      <c r="AN126" s="204">
        <f>Opv.kohd.[[#This Row],[Nuorisotyöt. väh. ja osaamistarp. vast., muu kuin työvoima-koulutus 4]]-Opv.kohd.[[#This Row],[Nuorisotyöt. väh. ja osaamistarp. vast., muu kuin työvoima-koulutus 1]]</f>
        <v>0</v>
      </c>
      <c r="AO126" s="204">
        <f>Opv.kohd.[[#This Row],[Nuorisotyöt. väh. ja osaamistarp. vast., työvoima-koulutus 4]]-Opv.kohd.[[#This Row],[Nuorisotyöt. väh. ja osaamistarp. vast., työvoima-koulutus 1]]</f>
        <v>0</v>
      </c>
      <c r="AP126" s="204">
        <f>Opv.kohd.[[#This Row],[Yhteensä 4]]-Opv.kohd.[[#This Row],[Yhteensä  1]]</f>
        <v>0</v>
      </c>
      <c r="AQ126" s="204">
        <f>Opv.kohd.[[#This Row],[Ensikertaisella suoritepäätöksellä jaetut tavoitteelliset opiskelijavuodet yhteensä 4]]-Opv.kohd.[[#This Row],[Ensikertaisella suoritepäätöksellä jaetut tavoitteelliset opiskelijavuodet yhteensä 1]]</f>
        <v>0</v>
      </c>
      <c r="AR126" s="208">
        <f>IFERROR(Opv.kohd.[[#This Row],[Järjestämisluvan mukaiset 5]]/Opv.kohd.[[#This Row],[Järjestämisluvan mukaiset 4]],0)</f>
        <v>0</v>
      </c>
      <c r="AS126" s="208">
        <f>IFERROR(Opv.kohd.[[#This Row],[Kohdentamat-tomat 5]]/Opv.kohd.[[#This Row],[Kohdentamat-tomat 4]],0)</f>
        <v>0</v>
      </c>
      <c r="AT126" s="208">
        <f>IFERROR(Opv.kohd.[[#This Row],[Työvoima-koulutus 5]]/Opv.kohd.[[#This Row],[Työvoima-koulutus 4]],0)</f>
        <v>0</v>
      </c>
      <c r="AU126" s="208">
        <f>IFERROR(Opv.kohd.[[#This Row],[Maahan-muuttajien koulutus 5]]/Opv.kohd.[[#This Row],[Maahan-muuttajien koulutus 4]],0)</f>
        <v>0</v>
      </c>
      <c r="AV126" s="208">
        <f>IFERROR(Opv.kohd.[[#This Row],[Nuorisotyöt. väh. ja osaamistarp. vast., muu kuin työvoima-koulutus 5]]/Opv.kohd.[[#This Row],[Nuorisotyöt. väh. ja osaamistarp. vast., muu kuin työvoima-koulutus 4]],0)</f>
        <v>0</v>
      </c>
      <c r="AW126" s="208">
        <f>IFERROR(Opv.kohd.[[#This Row],[Nuorisotyöt. väh. ja osaamistarp. vast., työvoima-koulutus 5]]/Opv.kohd.[[#This Row],[Nuorisotyöt. väh. ja osaamistarp. vast., työvoima-koulutus 4]],0)</f>
        <v>0</v>
      </c>
      <c r="AX126" s="208">
        <f>IFERROR(Opv.kohd.[[#This Row],[Yhteensä 5]]/Opv.kohd.[[#This Row],[Yhteensä 4]],0)</f>
        <v>0</v>
      </c>
      <c r="AY126" s="208">
        <f>IFERROR(Opv.kohd.[[#This Row],[Ensikertaisella suoritepäätöksellä jaetut tavoitteelliset opiskelijavuodet yhteensä 5]]/Opv.kohd.[[#This Row],[Ensikertaisella suoritepäätöksellä jaetut tavoitteelliset opiskelijavuodet yhteensä 4]],0)</f>
        <v>0</v>
      </c>
      <c r="AZ126" s="207">
        <f>Opv.kohd.[[#This Row],[Yhteensä 7a]]-Opv.kohd.[[#This Row],[Työvoima-koulutus 7a]]</f>
        <v>0</v>
      </c>
      <c r="BA126" s="207">
        <f>IFERROR(VLOOKUP(Opv.kohd.[[#This Row],[Y-tunnus]],#REF!,COLUMN(#REF!),FALSE),0)</f>
        <v>0</v>
      </c>
      <c r="BB126" s="207">
        <f>IFERROR(VLOOKUP(Opv.kohd.[[#This Row],[Y-tunnus]],#REF!,COLUMN(#REF!),FALSE),0)</f>
        <v>0</v>
      </c>
      <c r="BC126" s="207">
        <f>Opv.kohd.[[#This Row],[Muu kuin työvoima-koulutus 7c]]-Opv.kohd.[[#This Row],[Muu kuin työvoima-koulutus 7a]]</f>
        <v>0</v>
      </c>
      <c r="BD126" s="207">
        <f>Opv.kohd.[[#This Row],[Työvoima-koulutus 7c]]-Opv.kohd.[[#This Row],[Työvoima-koulutus 7a]]</f>
        <v>0</v>
      </c>
      <c r="BE126" s="207">
        <f>Opv.kohd.[[#This Row],[Yhteensä 7c]]-Opv.kohd.[[#This Row],[Yhteensä 7a]]</f>
        <v>0</v>
      </c>
      <c r="BF126" s="207">
        <f>Opv.kohd.[[#This Row],[Yhteensä 7c]]-Opv.kohd.[[#This Row],[Työvoima-koulutus 7c]]</f>
        <v>0</v>
      </c>
      <c r="BG126" s="207">
        <f>IFERROR(VLOOKUP(Opv.kohd.[[#This Row],[Y-tunnus]],#REF!,COLUMN(#REF!),FALSE),0)</f>
        <v>0</v>
      </c>
      <c r="BH126" s="207">
        <f>IFERROR(VLOOKUP(Opv.kohd.[[#This Row],[Y-tunnus]],#REF!,COLUMN(#REF!),FALSE),0)</f>
        <v>0</v>
      </c>
      <c r="BI126" s="207">
        <f>IFERROR(VLOOKUP(Opv.kohd.[[#This Row],[Y-tunnus]],#REF!,COLUMN(#REF!),FALSE),0)</f>
        <v>0</v>
      </c>
      <c r="BJ126" s="207">
        <f>IFERROR(VLOOKUP(Opv.kohd.[[#This Row],[Y-tunnus]],#REF!,COLUMN(#REF!),FALSE),0)</f>
        <v>0</v>
      </c>
      <c r="BK126" s="207">
        <f>Opv.kohd.[[#This Row],[Muu kuin työvoima-koulutus 7d]]+Opv.kohd.[[#This Row],[Työvoima-koulutus 7d]]</f>
        <v>0</v>
      </c>
      <c r="BL126" s="207">
        <f>Opv.kohd.[[#This Row],[Muu kuin työvoima-koulutus 7c]]-Opv.kohd.[[#This Row],[Muu kuin työvoima-koulutus 7d]]</f>
        <v>0</v>
      </c>
      <c r="BM126" s="207">
        <f>Opv.kohd.[[#This Row],[Työvoima-koulutus 7c]]-Opv.kohd.[[#This Row],[Työvoima-koulutus 7d]]</f>
        <v>0</v>
      </c>
      <c r="BN126" s="207">
        <f>Opv.kohd.[[#This Row],[Yhteensä 7c]]-Opv.kohd.[[#This Row],[Yhteensä 7d]]</f>
        <v>0</v>
      </c>
      <c r="BO126" s="207">
        <f>Opv.kohd.[[#This Row],[Muu kuin työvoima-koulutus 7e]]-(Opv.kohd.[[#This Row],[Järjestämisluvan mukaiset 4]]+Opv.kohd.[[#This Row],[Kohdentamat-tomat 4]]+Opv.kohd.[[#This Row],[Maahan-muuttajien koulutus 4]]+Opv.kohd.[[#This Row],[Nuorisotyöt. väh. ja osaamistarp. vast., muu kuin työvoima-koulutus 4]])</f>
        <v>0</v>
      </c>
      <c r="BP126" s="207">
        <f>Opv.kohd.[[#This Row],[Työvoima-koulutus 7e]]-(Opv.kohd.[[#This Row],[Työvoima-koulutus 4]]+Opv.kohd.[[#This Row],[Nuorisotyöt. väh. ja osaamistarp. vast., työvoima-koulutus 4]])</f>
        <v>0</v>
      </c>
      <c r="BQ126" s="207">
        <f>Opv.kohd.[[#This Row],[Yhteensä 7e]]-Opv.kohd.[[#This Row],[Ensikertaisella suoritepäätöksellä jaetut tavoitteelliset opiskelijavuodet yhteensä 4]]</f>
        <v>0</v>
      </c>
      <c r="BR126" s="263">
        <v>1564</v>
      </c>
      <c r="BS126" s="263">
        <v>170</v>
      </c>
      <c r="BT126" s="263">
        <v>80</v>
      </c>
      <c r="BU126" s="263">
        <v>100</v>
      </c>
      <c r="BV126" s="263">
        <v>10</v>
      </c>
      <c r="BW126" s="263">
        <v>0</v>
      </c>
      <c r="BX126" s="263">
        <v>360</v>
      </c>
      <c r="BY126" s="263">
        <v>1924</v>
      </c>
      <c r="BZ126" s="207">
        <f t="shared" si="17"/>
        <v>1564</v>
      </c>
      <c r="CA126" s="207">
        <f t="shared" si="18"/>
        <v>170</v>
      </c>
      <c r="CB126" s="207">
        <f t="shared" si="19"/>
        <v>80</v>
      </c>
      <c r="CC126" s="207">
        <f t="shared" si="20"/>
        <v>100</v>
      </c>
      <c r="CD126" s="207">
        <f t="shared" si="21"/>
        <v>10</v>
      </c>
      <c r="CE126" s="207">
        <f t="shared" si="22"/>
        <v>0</v>
      </c>
      <c r="CF126" s="207">
        <f t="shared" si="23"/>
        <v>360</v>
      </c>
      <c r="CG126" s="207">
        <f t="shared" si="24"/>
        <v>1924</v>
      </c>
      <c r="CH126" s="207">
        <f>Opv.kohd.[[#This Row],[Tavoitteelliset opiskelijavuodet yhteensä 9]]-Opv.kohd.[[#This Row],[Työvoima-koulutus 9]]-Opv.kohd.[[#This Row],[Nuorisotyöt. väh. ja osaamistarp. vast., työvoima-koulutus 9]]-Opv.kohd.[[#This Row],[Muu kuin työvoima-koulutus 7e]]</f>
        <v>1844</v>
      </c>
      <c r="CI126" s="207">
        <f>(Opv.kohd.[[#This Row],[Työvoima-koulutus 9]]+Opv.kohd.[[#This Row],[Nuorisotyöt. väh. ja osaamistarp. vast., työvoima-koulutus 9]])-Opv.kohd.[[#This Row],[Työvoima-koulutus 7e]]</f>
        <v>80</v>
      </c>
      <c r="CJ126" s="207">
        <f>Opv.kohd.[[#This Row],[Tavoitteelliset opiskelijavuodet yhteensä 9]]-Opv.kohd.[[#This Row],[Yhteensä 7e]]</f>
        <v>1924</v>
      </c>
      <c r="CK126" s="207">
        <f>Opv.kohd.[[#This Row],[Järjestämisluvan mukaiset 4]]+Opv.kohd.[[#This Row],[Järjestämisluvan mukaiset 13]]</f>
        <v>0</v>
      </c>
      <c r="CL126" s="207">
        <f>Opv.kohd.[[#This Row],[Kohdentamat-tomat 4]]+Opv.kohd.[[#This Row],[Kohdentamat-tomat 13]]</f>
        <v>0</v>
      </c>
      <c r="CM126" s="207">
        <f>Opv.kohd.[[#This Row],[Työvoima-koulutus 4]]+Opv.kohd.[[#This Row],[Työvoima-koulutus 13]]</f>
        <v>0</v>
      </c>
      <c r="CN126" s="207">
        <f>Opv.kohd.[[#This Row],[Maahan-muuttajien koulutus 4]]+Opv.kohd.[[#This Row],[Maahan-muuttajien koulutus 13]]</f>
        <v>0</v>
      </c>
      <c r="CO126" s="207">
        <f>Opv.kohd.[[#This Row],[Nuorisotyöt. väh. ja osaamistarp. vast., muu kuin työvoima-koulutus 4]]+Opv.kohd.[[#This Row],[Nuorisotyöt. väh. ja osaamistarp. vast., muu kuin työvoima-koulutus 13]]</f>
        <v>0</v>
      </c>
      <c r="CP126" s="207">
        <f>Opv.kohd.[[#This Row],[Nuorisotyöt. väh. ja osaamistarp. vast., työvoima-koulutus 4]]+Opv.kohd.[[#This Row],[Nuorisotyöt. väh. ja osaamistarp. vast., työvoima-koulutus 13]]</f>
        <v>0</v>
      </c>
      <c r="CQ126" s="207">
        <f>Opv.kohd.[[#This Row],[Yhteensä 4]]+Opv.kohd.[[#This Row],[Yhteensä 13]]</f>
        <v>0</v>
      </c>
      <c r="CR126" s="207">
        <f>Opv.kohd.[[#This Row],[Ensikertaisella suoritepäätöksellä jaetut tavoitteelliset opiskelijavuodet yhteensä 4]]+Opv.kohd.[[#This Row],[Tavoitteelliset opiskelijavuodet yhteensä 13]]</f>
        <v>0</v>
      </c>
      <c r="CS126" s="120">
        <v>0</v>
      </c>
      <c r="CT126" s="120">
        <v>0</v>
      </c>
      <c r="CU126" s="120">
        <v>0</v>
      </c>
      <c r="CV126" s="120">
        <v>0</v>
      </c>
      <c r="CW126" s="120">
        <v>0</v>
      </c>
      <c r="CX126" s="120">
        <v>0</v>
      </c>
      <c r="CY126" s="120">
        <v>0</v>
      </c>
      <c r="CZ126" s="120">
        <v>0</v>
      </c>
      <c r="DA126" s="209">
        <f>IFERROR(Opv.kohd.[[#This Row],[Järjestämisluvan mukaiset 13]]/Opv.kohd.[[#This Row],[Järjestämisluvan mukaiset 12]],0)</f>
        <v>0</v>
      </c>
      <c r="DB126" s="209">
        <f>IFERROR(Opv.kohd.[[#This Row],[Kohdentamat-tomat 13]]/Opv.kohd.[[#This Row],[Kohdentamat-tomat 12]],0)</f>
        <v>0</v>
      </c>
      <c r="DC126" s="209">
        <f>IFERROR(Opv.kohd.[[#This Row],[Työvoima-koulutus 13]]/Opv.kohd.[[#This Row],[Työvoima-koulutus 12]],0)</f>
        <v>0</v>
      </c>
      <c r="DD126" s="209">
        <f>IFERROR(Opv.kohd.[[#This Row],[Maahan-muuttajien koulutus 13]]/Opv.kohd.[[#This Row],[Maahan-muuttajien koulutus 12]],0)</f>
        <v>0</v>
      </c>
      <c r="DE126" s="209">
        <f>IFERROR(Opv.kohd.[[#This Row],[Nuorisotyöt. väh. ja osaamistarp. vast., muu kuin työvoima-koulutus 13]]/Opv.kohd.[[#This Row],[Nuorisotyöt. väh. ja osaamistarp. vast., muu kuin työvoima-koulutus 12]],0)</f>
        <v>0</v>
      </c>
      <c r="DF126" s="209">
        <f>IFERROR(Opv.kohd.[[#This Row],[Nuorisotyöt. väh. ja osaamistarp. vast., työvoima-koulutus 13]]/Opv.kohd.[[#This Row],[Nuorisotyöt. väh. ja osaamistarp. vast., työvoima-koulutus 12]],0)</f>
        <v>0</v>
      </c>
      <c r="DG126" s="209">
        <f>IFERROR(Opv.kohd.[[#This Row],[Yhteensä 13]]/Opv.kohd.[[#This Row],[Yhteensä 12]],0)</f>
        <v>0</v>
      </c>
      <c r="DH126" s="209">
        <f>IFERROR(Opv.kohd.[[#This Row],[Tavoitteelliset opiskelijavuodet yhteensä 13]]/Opv.kohd.[[#This Row],[Tavoitteelliset opiskelijavuodet yhteensä 12]],0)</f>
        <v>0</v>
      </c>
      <c r="DI126" s="207">
        <f>Opv.kohd.[[#This Row],[Järjestämisluvan mukaiset 12]]-Opv.kohd.[[#This Row],[Järjestämisluvan mukaiset 9]]</f>
        <v>-1564</v>
      </c>
      <c r="DJ126" s="207">
        <f>Opv.kohd.[[#This Row],[Kohdentamat-tomat 12]]-Opv.kohd.[[#This Row],[Kohdentamat-tomat 9]]</f>
        <v>-170</v>
      </c>
      <c r="DK126" s="207">
        <f>Opv.kohd.[[#This Row],[Työvoima-koulutus 12]]-Opv.kohd.[[#This Row],[Työvoima-koulutus 9]]</f>
        <v>-80</v>
      </c>
      <c r="DL126" s="207">
        <f>Opv.kohd.[[#This Row],[Maahan-muuttajien koulutus 12]]-Opv.kohd.[[#This Row],[Maahan-muuttajien koulutus 9]]</f>
        <v>-100</v>
      </c>
      <c r="DM126" s="207">
        <f>Opv.kohd.[[#This Row],[Nuorisotyöt. väh. ja osaamistarp. vast., muu kuin työvoima-koulutus 12]]-Opv.kohd.[[#This Row],[Nuorisotyöt. väh. ja osaamistarp. vast., muu kuin työvoima-koulutus 9]]</f>
        <v>-10</v>
      </c>
      <c r="DN126" s="207">
        <f>Opv.kohd.[[#This Row],[Nuorisotyöt. väh. ja osaamistarp. vast., työvoima-koulutus 12]]-Opv.kohd.[[#This Row],[Nuorisotyöt. väh. ja osaamistarp. vast., työvoima-koulutus 9]]</f>
        <v>0</v>
      </c>
      <c r="DO126" s="207">
        <f>Opv.kohd.[[#This Row],[Yhteensä 12]]-Opv.kohd.[[#This Row],[Yhteensä 9]]</f>
        <v>-360</v>
      </c>
      <c r="DP126" s="207">
        <f>Opv.kohd.[[#This Row],[Tavoitteelliset opiskelijavuodet yhteensä 12]]-Opv.kohd.[[#This Row],[Tavoitteelliset opiskelijavuodet yhteensä 9]]</f>
        <v>-1924</v>
      </c>
      <c r="DQ126" s="209">
        <f>IFERROR(Opv.kohd.[[#This Row],[Järjestämisluvan mukaiset 15]]/Opv.kohd.[[#This Row],[Järjestämisluvan mukaiset 9]],0)</f>
        <v>-1</v>
      </c>
      <c r="DR126" s="209">
        <f t="shared" si="25"/>
        <v>0</v>
      </c>
      <c r="DS126" s="209">
        <f t="shared" si="26"/>
        <v>0</v>
      </c>
      <c r="DT126" s="209">
        <f t="shared" si="27"/>
        <v>0</v>
      </c>
      <c r="DU126" s="209">
        <f t="shared" si="28"/>
        <v>0</v>
      </c>
      <c r="DV126" s="209">
        <f t="shared" si="29"/>
        <v>0</v>
      </c>
      <c r="DW126" s="209">
        <f t="shared" si="30"/>
        <v>0</v>
      </c>
      <c r="DX126" s="209">
        <f t="shared" si="31"/>
        <v>0</v>
      </c>
    </row>
    <row r="127" spans="1:128" x14ac:dyDescent="0.25">
      <c r="A127" s="204" t="e">
        <f>IF(INDEX(#REF!,ROW(127:127)-1,1)=0,"",INDEX(#REF!,ROW(127:127)-1,1))</f>
        <v>#REF!</v>
      </c>
      <c r="B127" s="205" t="str">
        <f>IFERROR(VLOOKUP(Opv.kohd.[[#This Row],[Y-tunnus]],'0 Järjestäjätiedot'!$A:$H,2,FALSE),"")</f>
        <v/>
      </c>
      <c r="C127" s="204" t="str">
        <f>IFERROR(VLOOKUP(Opv.kohd.[[#This Row],[Y-tunnus]],'0 Järjestäjätiedot'!$A:$H,COLUMN('0 Järjestäjätiedot'!D:D),FALSE),"")</f>
        <v/>
      </c>
      <c r="D127" s="204" t="str">
        <f>IFERROR(VLOOKUP(Opv.kohd.[[#This Row],[Y-tunnus]],'0 Järjestäjätiedot'!$A:$H,COLUMN('0 Järjestäjätiedot'!H:H),FALSE),"")</f>
        <v/>
      </c>
      <c r="E127" s="204">
        <f>IFERROR(VLOOKUP(Opv.kohd.[[#This Row],[Y-tunnus]],#REF!,COLUMN(#REF!),FALSE),0)</f>
        <v>0</v>
      </c>
      <c r="F127" s="204">
        <f>IFERROR(VLOOKUP(Opv.kohd.[[#This Row],[Y-tunnus]],#REF!,COLUMN(#REF!),FALSE),0)</f>
        <v>0</v>
      </c>
      <c r="G127" s="204">
        <f>IFERROR(VLOOKUP(Opv.kohd.[[#This Row],[Y-tunnus]],#REF!,COLUMN(#REF!),FALSE),0)</f>
        <v>0</v>
      </c>
      <c r="H127" s="204">
        <f>IFERROR(VLOOKUP(Opv.kohd.[[#This Row],[Y-tunnus]],#REF!,COLUMN(#REF!),FALSE),0)</f>
        <v>0</v>
      </c>
      <c r="I127" s="204">
        <f>IFERROR(VLOOKUP(Opv.kohd.[[#This Row],[Y-tunnus]],#REF!,COLUMN(#REF!),FALSE),0)</f>
        <v>0</v>
      </c>
      <c r="J127" s="204">
        <f>IFERROR(VLOOKUP(Opv.kohd.[[#This Row],[Y-tunnus]],#REF!,COLUMN(#REF!),FALSE),0)</f>
        <v>0</v>
      </c>
      <c r="K12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27" s="204">
        <f>Opv.kohd.[[#This Row],[Järjestämisluvan mukaiset 1]]+Opv.kohd.[[#This Row],[Yhteensä  1]]</f>
        <v>0</v>
      </c>
      <c r="M127" s="204">
        <f>IFERROR(VLOOKUP(Opv.kohd.[[#This Row],[Y-tunnus]],#REF!,COLUMN(#REF!),FALSE),0)</f>
        <v>0</v>
      </c>
      <c r="N127" s="204">
        <f>IFERROR(VLOOKUP(Opv.kohd.[[#This Row],[Y-tunnus]],#REF!,COLUMN(#REF!),FALSE),0)</f>
        <v>0</v>
      </c>
      <c r="O127" s="204">
        <f>IFERROR(VLOOKUP(Opv.kohd.[[#This Row],[Y-tunnus]],#REF!,COLUMN(#REF!),FALSE)+VLOOKUP(Opv.kohd.[[#This Row],[Y-tunnus]],#REF!,COLUMN(#REF!),FALSE),0)</f>
        <v>0</v>
      </c>
      <c r="P127" s="204">
        <f>Opv.kohd.[[#This Row],[Talousarvion perusteella kohdentamattomat]]+Opv.kohd.[[#This Row],[Talousarvion perusteella työvoimakoulutus 1]]+Opv.kohd.[[#This Row],[Lisätalousarvioiden perusteella]]</f>
        <v>0</v>
      </c>
      <c r="Q127" s="204">
        <f>IFERROR(VLOOKUP(Opv.kohd.[[#This Row],[Y-tunnus]],#REF!,COLUMN(#REF!),FALSE),0)</f>
        <v>0</v>
      </c>
      <c r="R127" s="210">
        <f>IFERROR(VLOOKUP(Opv.kohd.[[#This Row],[Y-tunnus]],#REF!,COLUMN(#REF!),FALSE)-(Opv.kohd.[[#This Row],[Kohdentamaton työvoima-koulutus 2]]+Opv.kohd.[[#This Row],[Maahan-muuttajien koulutus 2]]+Opv.kohd.[[#This Row],[Lisätalousarvioiden perusteella jaetut 2]]),0)</f>
        <v>0</v>
      </c>
      <c r="S127" s="210">
        <f>IFERROR(VLOOKUP(Opv.kohd.[[#This Row],[Y-tunnus]],#REF!,COLUMN(#REF!),FALSE)+VLOOKUP(Opv.kohd.[[#This Row],[Y-tunnus]],#REF!,COLUMN(#REF!),FALSE),0)</f>
        <v>0</v>
      </c>
      <c r="T127" s="210">
        <f>IFERROR(VLOOKUP(Opv.kohd.[[#This Row],[Y-tunnus]],#REF!,COLUMN(#REF!),FALSE)+VLOOKUP(Opv.kohd.[[#This Row],[Y-tunnus]],#REF!,COLUMN(#REF!),FALSE),0)</f>
        <v>0</v>
      </c>
      <c r="U12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27" s="210">
        <f>Opv.kohd.[[#This Row],[Kohdentamat-tomat 2]]+Opv.kohd.[[#This Row],[Kohdentamaton työvoima-koulutus 2]]+Opv.kohd.[[#This Row],[Maahan-muuttajien koulutus 2]]+Opv.kohd.[[#This Row],[Lisätalousarvioiden perusteella jaetut 2]]</f>
        <v>0</v>
      </c>
      <c r="W127" s="210">
        <f>Opv.kohd.[[#This Row],[Kohdentamat-tomat 2]]-(Opv.kohd.[[#This Row],[Järjestämisluvan mukaiset 1]]+Opv.kohd.[[#This Row],[Kohdentamat-tomat 1]]+Opv.kohd.[[#This Row],[Nuorisotyöt. väh. ja osaamistarp. vast., muu kuin työvoima-koulutus 1]]+Opv.kohd.[[#This Row],[Talousarvion perusteella kohdentamattomat]])</f>
        <v>0</v>
      </c>
      <c r="X127" s="210">
        <f>Opv.kohd.[[#This Row],[Kohdentamaton työvoima-koulutus 2]]-(Opv.kohd.[[#This Row],[Työvoima-koulutus 1]]+Opv.kohd.[[#This Row],[Nuorisotyöt. väh. ja osaamistarp. vast., työvoima-koulutus 1]]+Opv.kohd.[[#This Row],[Talousarvion perusteella työvoimakoulutus 1]])</f>
        <v>0</v>
      </c>
      <c r="Y127" s="210">
        <f>Opv.kohd.[[#This Row],[Maahan-muuttajien koulutus 2]]-Opv.kohd.[[#This Row],[Maahan-muuttajien koulutus 1]]</f>
        <v>0</v>
      </c>
      <c r="Z127" s="210">
        <f>Opv.kohd.[[#This Row],[Lisätalousarvioiden perusteella jaetut 2]]-Opv.kohd.[[#This Row],[Lisätalousarvioiden perusteella]]</f>
        <v>0</v>
      </c>
      <c r="AA127" s="210">
        <f>Opv.kohd.[[#This Row],[Toteutuneet opiskelijavuodet yhteensä 2]]-Opv.kohd.[[#This Row],[Vuoden 2018 tavoitteelliset opiskelijavuodet yhteensä 1]]</f>
        <v>0</v>
      </c>
      <c r="AB127" s="207">
        <f>IFERROR(VLOOKUP(Opv.kohd.[[#This Row],[Y-tunnus]],#REF!,3,FALSE),0)</f>
        <v>0</v>
      </c>
      <c r="AC127" s="207">
        <f>IFERROR(VLOOKUP(Opv.kohd.[[#This Row],[Y-tunnus]],#REF!,4,FALSE),0)</f>
        <v>0</v>
      </c>
      <c r="AD127" s="207">
        <f>IFERROR(VLOOKUP(Opv.kohd.[[#This Row],[Y-tunnus]],#REF!,5,FALSE),0)</f>
        <v>0</v>
      </c>
      <c r="AE127" s="207">
        <f>IFERROR(VLOOKUP(Opv.kohd.[[#This Row],[Y-tunnus]],#REF!,6,FALSE),0)</f>
        <v>0</v>
      </c>
      <c r="AF127" s="207">
        <f>IFERROR(VLOOKUP(Opv.kohd.[[#This Row],[Y-tunnus]],#REF!,7,FALSE),0)</f>
        <v>0</v>
      </c>
      <c r="AG127" s="207">
        <f>IFERROR(VLOOKUP(Opv.kohd.[[#This Row],[Y-tunnus]],#REF!,8,FALSE),0)</f>
        <v>0</v>
      </c>
      <c r="AH127" s="207">
        <f>IFERROR(VLOOKUP(Opv.kohd.[[#This Row],[Y-tunnus]],#REF!,9,FALSE),0)</f>
        <v>0</v>
      </c>
      <c r="AI127" s="207">
        <f>IFERROR(VLOOKUP(Opv.kohd.[[#This Row],[Y-tunnus]],#REF!,10,FALSE),0)</f>
        <v>0</v>
      </c>
      <c r="AJ127" s="204">
        <f>Opv.kohd.[[#This Row],[Järjestämisluvan mukaiset 4]]-Opv.kohd.[[#This Row],[Järjestämisluvan mukaiset 1]]</f>
        <v>0</v>
      </c>
      <c r="AK127" s="204">
        <f>Opv.kohd.[[#This Row],[Kohdentamat-tomat 4]]-Opv.kohd.[[#This Row],[Kohdentamat-tomat 1]]</f>
        <v>0</v>
      </c>
      <c r="AL127" s="204">
        <f>Opv.kohd.[[#This Row],[Työvoima-koulutus 4]]-Opv.kohd.[[#This Row],[Työvoima-koulutus 1]]</f>
        <v>0</v>
      </c>
      <c r="AM127" s="204">
        <f>Opv.kohd.[[#This Row],[Maahan-muuttajien koulutus 4]]-Opv.kohd.[[#This Row],[Maahan-muuttajien koulutus 1]]</f>
        <v>0</v>
      </c>
      <c r="AN127" s="204">
        <f>Opv.kohd.[[#This Row],[Nuorisotyöt. väh. ja osaamistarp. vast., muu kuin työvoima-koulutus 4]]-Opv.kohd.[[#This Row],[Nuorisotyöt. väh. ja osaamistarp. vast., muu kuin työvoima-koulutus 1]]</f>
        <v>0</v>
      </c>
      <c r="AO127" s="204">
        <f>Opv.kohd.[[#This Row],[Nuorisotyöt. väh. ja osaamistarp. vast., työvoima-koulutus 4]]-Opv.kohd.[[#This Row],[Nuorisotyöt. väh. ja osaamistarp. vast., työvoima-koulutus 1]]</f>
        <v>0</v>
      </c>
      <c r="AP127" s="204">
        <f>Opv.kohd.[[#This Row],[Yhteensä 4]]-Opv.kohd.[[#This Row],[Yhteensä  1]]</f>
        <v>0</v>
      </c>
      <c r="AQ127" s="204">
        <f>Opv.kohd.[[#This Row],[Ensikertaisella suoritepäätöksellä jaetut tavoitteelliset opiskelijavuodet yhteensä 4]]-Opv.kohd.[[#This Row],[Ensikertaisella suoritepäätöksellä jaetut tavoitteelliset opiskelijavuodet yhteensä 1]]</f>
        <v>0</v>
      </c>
      <c r="AR127" s="208">
        <f>IFERROR(Opv.kohd.[[#This Row],[Järjestämisluvan mukaiset 5]]/Opv.kohd.[[#This Row],[Järjestämisluvan mukaiset 4]],0)</f>
        <v>0</v>
      </c>
      <c r="AS127" s="208">
        <f>IFERROR(Opv.kohd.[[#This Row],[Kohdentamat-tomat 5]]/Opv.kohd.[[#This Row],[Kohdentamat-tomat 4]],0)</f>
        <v>0</v>
      </c>
      <c r="AT127" s="208">
        <f>IFERROR(Opv.kohd.[[#This Row],[Työvoima-koulutus 5]]/Opv.kohd.[[#This Row],[Työvoima-koulutus 4]],0)</f>
        <v>0</v>
      </c>
      <c r="AU127" s="208">
        <f>IFERROR(Opv.kohd.[[#This Row],[Maahan-muuttajien koulutus 5]]/Opv.kohd.[[#This Row],[Maahan-muuttajien koulutus 4]],0)</f>
        <v>0</v>
      </c>
      <c r="AV127" s="208">
        <f>IFERROR(Opv.kohd.[[#This Row],[Nuorisotyöt. väh. ja osaamistarp. vast., muu kuin työvoima-koulutus 5]]/Opv.kohd.[[#This Row],[Nuorisotyöt. väh. ja osaamistarp. vast., muu kuin työvoima-koulutus 4]],0)</f>
        <v>0</v>
      </c>
      <c r="AW127" s="208">
        <f>IFERROR(Opv.kohd.[[#This Row],[Nuorisotyöt. väh. ja osaamistarp. vast., työvoima-koulutus 5]]/Opv.kohd.[[#This Row],[Nuorisotyöt. väh. ja osaamistarp. vast., työvoima-koulutus 4]],0)</f>
        <v>0</v>
      </c>
      <c r="AX127" s="208">
        <f>IFERROR(Opv.kohd.[[#This Row],[Yhteensä 5]]/Opv.kohd.[[#This Row],[Yhteensä 4]],0)</f>
        <v>0</v>
      </c>
      <c r="AY127" s="208">
        <f>IFERROR(Opv.kohd.[[#This Row],[Ensikertaisella suoritepäätöksellä jaetut tavoitteelliset opiskelijavuodet yhteensä 5]]/Opv.kohd.[[#This Row],[Ensikertaisella suoritepäätöksellä jaetut tavoitteelliset opiskelijavuodet yhteensä 4]],0)</f>
        <v>0</v>
      </c>
      <c r="AZ127" s="207">
        <f>Opv.kohd.[[#This Row],[Yhteensä 7a]]-Opv.kohd.[[#This Row],[Työvoima-koulutus 7a]]</f>
        <v>0</v>
      </c>
      <c r="BA127" s="207">
        <f>IFERROR(VLOOKUP(Opv.kohd.[[#This Row],[Y-tunnus]],#REF!,COLUMN(#REF!),FALSE),0)</f>
        <v>0</v>
      </c>
      <c r="BB127" s="207">
        <f>IFERROR(VLOOKUP(Opv.kohd.[[#This Row],[Y-tunnus]],#REF!,COLUMN(#REF!),FALSE),0)</f>
        <v>0</v>
      </c>
      <c r="BC127" s="207">
        <f>Opv.kohd.[[#This Row],[Muu kuin työvoima-koulutus 7c]]-Opv.kohd.[[#This Row],[Muu kuin työvoima-koulutus 7a]]</f>
        <v>0</v>
      </c>
      <c r="BD127" s="207">
        <f>Opv.kohd.[[#This Row],[Työvoima-koulutus 7c]]-Opv.kohd.[[#This Row],[Työvoima-koulutus 7a]]</f>
        <v>0</v>
      </c>
      <c r="BE127" s="207">
        <f>Opv.kohd.[[#This Row],[Yhteensä 7c]]-Opv.kohd.[[#This Row],[Yhteensä 7a]]</f>
        <v>0</v>
      </c>
      <c r="BF127" s="207">
        <f>Opv.kohd.[[#This Row],[Yhteensä 7c]]-Opv.kohd.[[#This Row],[Työvoima-koulutus 7c]]</f>
        <v>0</v>
      </c>
      <c r="BG127" s="207">
        <f>IFERROR(VLOOKUP(Opv.kohd.[[#This Row],[Y-tunnus]],#REF!,COLUMN(#REF!),FALSE),0)</f>
        <v>0</v>
      </c>
      <c r="BH127" s="207">
        <f>IFERROR(VLOOKUP(Opv.kohd.[[#This Row],[Y-tunnus]],#REF!,COLUMN(#REF!),FALSE),0)</f>
        <v>0</v>
      </c>
      <c r="BI127" s="207">
        <f>IFERROR(VLOOKUP(Opv.kohd.[[#This Row],[Y-tunnus]],#REF!,COLUMN(#REF!),FALSE),0)</f>
        <v>0</v>
      </c>
      <c r="BJ127" s="207">
        <f>IFERROR(VLOOKUP(Opv.kohd.[[#This Row],[Y-tunnus]],#REF!,COLUMN(#REF!),FALSE),0)</f>
        <v>0</v>
      </c>
      <c r="BK127" s="207">
        <f>Opv.kohd.[[#This Row],[Muu kuin työvoima-koulutus 7d]]+Opv.kohd.[[#This Row],[Työvoima-koulutus 7d]]</f>
        <v>0</v>
      </c>
      <c r="BL127" s="207">
        <f>Opv.kohd.[[#This Row],[Muu kuin työvoima-koulutus 7c]]-Opv.kohd.[[#This Row],[Muu kuin työvoima-koulutus 7d]]</f>
        <v>0</v>
      </c>
      <c r="BM127" s="207">
        <f>Opv.kohd.[[#This Row],[Työvoima-koulutus 7c]]-Opv.kohd.[[#This Row],[Työvoima-koulutus 7d]]</f>
        <v>0</v>
      </c>
      <c r="BN127" s="207">
        <f>Opv.kohd.[[#This Row],[Yhteensä 7c]]-Opv.kohd.[[#This Row],[Yhteensä 7d]]</f>
        <v>0</v>
      </c>
      <c r="BO127" s="207">
        <f>Opv.kohd.[[#This Row],[Muu kuin työvoima-koulutus 7e]]-(Opv.kohd.[[#This Row],[Järjestämisluvan mukaiset 4]]+Opv.kohd.[[#This Row],[Kohdentamat-tomat 4]]+Opv.kohd.[[#This Row],[Maahan-muuttajien koulutus 4]]+Opv.kohd.[[#This Row],[Nuorisotyöt. väh. ja osaamistarp. vast., muu kuin työvoima-koulutus 4]])</f>
        <v>0</v>
      </c>
      <c r="BP127" s="207">
        <f>Opv.kohd.[[#This Row],[Työvoima-koulutus 7e]]-(Opv.kohd.[[#This Row],[Työvoima-koulutus 4]]+Opv.kohd.[[#This Row],[Nuorisotyöt. väh. ja osaamistarp. vast., työvoima-koulutus 4]])</f>
        <v>0</v>
      </c>
      <c r="BQ127" s="207">
        <f>Opv.kohd.[[#This Row],[Yhteensä 7e]]-Opv.kohd.[[#This Row],[Ensikertaisella suoritepäätöksellä jaetut tavoitteelliset opiskelijavuodet yhteensä 4]]</f>
        <v>0</v>
      </c>
      <c r="BR127" s="263">
        <v>49</v>
      </c>
      <c r="BS127" s="263">
        <v>40</v>
      </c>
      <c r="BT127" s="263">
        <v>0</v>
      </c>
      <c r="BU127" s="263">
        <v>0</v>
      </c>
      <c r="BV127" s="263">
        <v>0</v>
      </c>
      <c r="BW127" s="263">
        <v>0</v>
      </c>
      <c r="BX127" s="263">
        <v>40</v>
      </c>
      <c r="BY127" s="263">
        <v>89</v>
      </c>
      <c r="BZ127" s="207">
        <f t="shared" si="17"/>
        <v>49</v>
      </c>
      <c r="CA127" s="207">
        <f t="shared" si="18"/>
        <v>40</v>
      </c>
      <c r="CB127" s="207">
        <f t="shared" si="19"/>
        <v>0</v>
      </c>
      <c r="CC127" s="207">
        <f t="shared" si="20"/>
        <v>0</v>
      </c>
      <c r="CD127" s="207">
        <f t="shared" si="21"/>
        <v>0</v>
      </c>
      <c r="CE127" s="207">
        <f t="shared" si="22"/>
        <v>0</v>
      </c>
      <c r="CF127" s="207">
        <f t="shared" si="23"/>
        <v>40</v>
      </c>
      <c r="CG127" s="207">
        <f t="shared" si="24"/>
        <v>89</v>
      </c>
      <c r="CH127" s="207">
        <f>Opv.kohd.[[#This Row],[Tavoitteelliset opiskelijavuodet yhteensä 9]]-Opv.kohd.[[#This Row],[Työvoima-koulutus 9]]-Opv.kohd.[[#This Row],[Nuorisotyöt. väh. ja osaamistarp. vast., työvoima-koulutus 9]]-Opv.kohd.[[#This Row],[Muu kuin työvoima-koulutus 7e]]</f>
        <v>89</v>
      </c>
      <c r="CI127" s="207">
        <f>(Opv.kohd.[[#This Row],[Työvoima-koulutus 9]]+Opv.kohd.[[#This Row],[Nuorisotyöt. väh. ja osaamistarp. vast., työvoima-koulutus 9]])-Opv.kohd.[[#This Row],[Työvoima-koulutus 7e]]</f>
        <v>0</v>
      </c>
      <c r="CJ127" s="207">
        <f>Opv.kohd.[[#This Row],[Tavoitteelliset opiskelijavuodet yhteensä 9]]-Opv.kohd.[[#This Row],[Yhteensä 7e]]</f>
        <v>89</v>
      </c>
      <c r="CK127" s="207">
        <f>Opv.kohd.[[#This Row],[Järjestämisluvan mukaiset 4]]+Opv.kohd.[[#This Row],[Järjestämisluvan mukaiset 13]]</f>
        <v>0</v>
      </c>
      <c r="CL127" s="207">
        <f>Opv.kohd.[[#This Row],[Kohdentamat-tomat 4]]+Opv.kohd.[[#This Row],[Kohdentamat-tomat 13]]</f>
        <v>0</v>
      </c>
      <c r="CM127" s="207">
        <f>Opv.kohd.[[#This Row],[Työvoima-koulutus 4]]+Opv.kohd.[[#This Row],[Työvoima-koulutus 13]]</f>
        <v>0</v>
      </c>
      <c r="CN127" s="207">
        <f>Opv.kohd.[[#This Row],[Maahan-muuttajien koulutus 4]]+Opv.kohd.[[#This Row],[Maahan-muuttajien koulutus 13]]</f>
        <v>0</v>
      </c>
      <c r="CO127" s="207">
        <f>Opv.kohd.[[#This Row],[Nuorisotyöt. väh. ja osaamistarp. vast., muu kuin työvoima-koulutus 4]]+Opv.kohd.[[#This Row],[Nuorisotyöt. väh. ja osaamistarp. vast., muu kuin työvoima-koulutus 13]]</f>
        <v>0</v>
      </c>
      <c r="CP127" s="207">
        <f>Opv.kohd.[[#This Row],[Nuorisotyöt. väh. ja osaamistarp. vast., työvoima-koulutus 4]]+Opv.kohd.[[#This Row],[Nuorisotyöt. väh. ja osaamistarp. vast., työvoima-koulutus 13]]</f>
        <v>0</v>
      </c>
      <c r="CQ127" s="207">
        <f>Opv.kohd.[[#This Row],[Yhteensä 4]]+Opv.kohd.[[#This Row],[Yhteensä 13]]</f>
        <v>0</v>
      </c>
      <c r="CR127" s="207">
        <f>Opv.kohd.[[#This Row],[Ensikertaisella suoritepäätöksellä jaetut tavoitteelliset opiskelijavuodet yhteensä 4]]+Opv.kohd.[[#This Row],[Tavoitteelliset opiskelijavuodet yhteensä 13]]</f>
        <v>0</v>
      </c>
      <c r="CS127" s="120">
        <v>0</v>
      </c>
      <c r="CT127" s="120">
        <v>0</v>
      </c>
      <c r="CU127" s="120">
        <v>0</v>
      </c>
      <c r="CV127" s="120">
        <v>0</v>
      </c>
      <c r="CW127" s="120">
        <v>0</v>
      </c>
      <c r="CX127" s="120">
        <v>0</v>
      </c>
      <c r="CY127" s="120">
        <v>0</v>
      </c>
      <c r="CZ127" s="120">
        <v>0</v>
      </c>
      <c r="DA127" s="209">
        <f>IFERROR(Opv.kohd.[[#This Row],[Järjestämisluvan mukaiset 13]]/Opv.kohd.[[#This Row],[Järjestämisluvan mukaiset 12]],0)</f>
        <v>0</v>
      </c>
      <c r="DB127" s="209">
        <f>IFERROR(Opv.kohd.[[#This Row],[Kohdentamat-tomat 13]]/Opv.kohd.[[#This Row],[Kohdentamat-tomat 12]],0)</f>
        <v>0</v>
      </c>
      <c r="DC127" s="209">
        <f>IFERROR(Opv.kohd.[[#This Row],[Työvoima-koulutus 13]]/Opv.kohd.[[#This Row],[Työvoima-koulutus 12]],0)</f>
        <v>0</v>
      </c>
      <c r="DD127" s="209">
        <f>IFERROR(Opv.kohd.[[#This Row],[Maahan-muuttajien koulutus 13]]/Opv.kohd.[[#This Row],[Maahan-muuttajien koulutus 12]],0)</f>
        <v>0</v>
      </c>
      <c r="DE127" s="209">
        <f>IFERROR(Opv.kohd.[[#This Row],[Nuorisotyöt. väh. ja osaamistarp. vast., muu kuin työvoima-koulutus 13]]/Opv.kohd.[[#This Row],[Nuorisotyöt. väh. ja osaamistarp. vast., muu kuin työvoima-koulutus 12]],0)</f>
        <v>0</v>
      </c>
      <c r="DF127" s="209">
        <f>IFERROR(Opv.kohd.[[#This Row],[Nuorisotyöt. väh. ja osaamistarp. vast., työvoima-koulutus 13]]/Opv.kohd.[[#This Row],[Nuorisotyöt. väh. ja osaamistarp. vast., työvoima-koulutus 12]],0)</f>
        <v>0</v>
      </c>
      <c r="DG127" s="209">
        <f>IFERROR(Opv.kohd.[[#This Row],[Yhteensä 13]]/Opv.kohd.[[#This Row],[Yhteensä 12]],0)</f>
        <v>0</v>
      </c>
      <c r="DH127" s="209">
        <f>IFERROR(Opv.kohd.[[#This Row],[Tavoitteelliset opiskelijavuodet yhteensä 13]]/Opv.kohd.[[#This Row],[Tavoitteelliset opiskelijavuodet yhteensä 12]],0)</f>
        <v>0</v>
      </c>
      <c r="DI127" s="207">
        <f>Opv.kohd.[[#This Row],[Järjestämisluvan mukaiset 12]]-Opv.kohd.[[#This Row],[Järjestämisluvan mukaiset 9]]</f>
        <v>-49</v>
      </c>
      <c r="DJ127" s="207">
        <f>Opv.kohd.[[#This Row],[Kohdentamat-tomat 12]]-Opv.kohd.[[#This Row],[Kohdentamat-tomat 9]]</f>
        <v>-40</v>
      </c>
      <c r="DK127" s="207">
        <f>Opv.kohd.[[#This Row],[Työvoima-koulutus 12]]-Opv.kohd.[[#This Row],[Työvoima-koulutus 9]]</f>
        <v>0</v>
      </c>
      <c r="DL127" s="207">
        <f>Opv.kohd.[[#This Row],[Maahan-muuttajien koulutus 12]]-Opv.kohd.[[#This Row],[Maahan-muuttajien koulutus 9]]</f>
        <v>0</v>
      </c>
      <c r="DM127" s="207">
        <f>Opv.kohd.[[#This Row],[Nuorisotyöt. väh. ja osaamistarp. vast., muu kuin työvoima-koulutus 12]]-Opv.kohd.[[#This Row],[Nuorisotyöt. väh. ja osaamistarp. vast., muu kuin työvoima-koulutus 9]]</f>
        <v>0</v>
      </c>
      <c r="DN127" s="207">
        <f>Opv.kohd.[[#This Row],[Nuorisotyöt. väh. ja osaamistarp. vast., työvoima-koulutus 12]]-Opv.kohd.[[#This Row],[Nuorisotyöt. väh. ja osaamistarp. vast., työvoima-koulutus 9]]</f>
        <v>0</v>
      </c>
      <c r="DO127" s="207">
        <f>Opv.kohd.[[#This Row],[Yhteensä 12]]-Opv.kohd.[[#This Row],[Yhteensä 9]]</f>
        <v>-40</v>
      </c>
      <c r="DP127" s="207">
        <f>Opv.kohd.[[#This Row],[Tavoitteelliset opiskelijavuodet yhteensä 12]]-Opv.kohd.[[#This Row],[Tavoitteelliset opiskelijavuodet yhteensä 9]]</f>
        <v>-89</v>
      </c>
      <c r="DQ127" s="209">
        <f>IFERROR(Opv.kohd.[[#This Row],[Järjestämisluvan mukaiset 15]]/Opv.kohd.[[#This Row],[Järjestämisluvan mukaiset 9]],0)</f>
        <v>-1</v>
      </c>
      <c r="DR127" s="209">
        <f t="shared" si="25"/>
        <v>0</v>
      </c>
      <c r="DS127" s="209">
        <f t="shared" si="26"/>
        <v>0</v>
      </c>
      <c r="DT127" s="209">
        <f t="shared" si="27"/>
        <v>0</v>
      </c>
      <c r="DU127" s="209">
        <f t="shared" si="28"/>
        <v>0</v>
      </c>
      <c r="DV127" s="209">
        <f t="shared" si="29"/>
        <v>0</v>
      </c>
      <c r="DW127" s="209">
        <f t="shared" si="30"/>
        <v>0</v>
      </c>
      <c r="DX127" s="211">
        <f t="shared" si="31"/>
        <v>0</v>
      </c>
    </row>
    <row r="128" spans="1:128" x14ac:dyDescent="0.25">
      <c r="A128" s="204" t="e">
        <f>IF(INDEX(#REF!,ROW(128:128)-1,1)=0,"",INDEX(#REF!,ROW(128:128)-1,1))</f>
        <v>#REF!</v>
      </c>
      <c r="B128" s="205" t="str">
        <f>IFERROR(VLOOKUP(Opv.kohd.[[#This Row],[Y-tunnus]],'0 Järjestäjätiedot'!$A:$H,2,FALSE),"")</f>
        <v/>
      </c>
      <c r="C128" s="204" t="str">
        <f>IFERROR(VLOOKUP(Opv.kohd.[[#This Row],[Y-tunnus]],'0 Järjestäjätiedot'!$A:$H,COLUMN('0 Järjestäjätiedot'!D:D),FALSE),"")</f>
        <v/>
      </c>
      <c r="D128" s="204" t="str">
        <f>IFERROR(VLOOKUP(Opv.kohd.[[#This Row],[Y-tunnus]],'0 Järjestäjätiedot'!$A:$H,COLUMN('0 Järjestäjätiedot'!H:H),FALSE),"")</f>
        <v/>
      </c>
      <c r="E128" s="204">
        <f>IFERROR(VLOOKUP(Opv.kohd.[[#This Row],[Y-tunnus]],#REF!,COLUMN(#REF!),FALSE),0)</f>
        <v>0</v>
      </c>
      <c r="F128" s="204">
        <f>IFERROR(VLOOKUP(Opv.kohd.[[#This Row],[Y-tunnus]],#REF!,COLUMN(#REF!),FALSE),0)</f>
        <v>0</v>
      </c>
      <c r="G128" s="204">
        <f>IFERROR(VLOOKUP(Opv.kohd.[[#This Row],[Y-tunnus]],#REF!,COLUMN(#REF!),FALSE),0)</f>
        <v>0</v>
      </c>
      <c r="H128" s="204">
        <f>IFERROR(VLOOKUP(Opv.kohd.[[#This Row],[Y-tunnus]],#REF!,COLUMN(#REF!),FALSE),0)</f>
        <v>0</v>
      </c>
      <c r="I128" s="204">
        <f>IFERROR(VLOOKUP(Opv.kohd.[[#This Row],[Y-tunnus]],#REF!,COLUMN(#REF!),FALSE),0)</f>
        <v>0</v>
      </c>
      <c r="J128" s="204">
        <f>IFERROR(VLOOKUP(Opv.kohd.[[#This Row],[Y-tunnus]],#REF!,COLUMN(#REF!),FALSE),0)</f>
        <v>0</v>
      </c>
      <c r="K12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28" s="204">
        <f>Opv.kohd.[[#This Row],[Järjestämisluvan mukaiset 1]]+Opv.kohd.[[#This Row],[Yhteensä  1]]</f>
        <v>0</v>
      </c>
      <c r="M128" s="204">
        <f>IFERROR(VLOOKUP(Opv.kohd.[[#This Row],[Y-tunnus]],#REF!,COLUMN(#REF!),FALSE),0)</f>
        <v>0</v>
      </c>
      <c r="N128" s="204">
        <f>IFERROR(VLOOKUP(Opv.kohd.[[#This Row],[Y-tunnus]],#REF!,COLUMN(#REF!),FALSE),0)</f>
        <v>0</v>
      </c>
      <c r="O128" s="204">
        <f>IFERROR(VLOOKUP(Opv.kohd.[[#This Row],[Y-tunnus]],#REF!,COLUMN(#REF!),FALSE)+VLOOKUP(Opv.kohd.[[#This Row],[Y-tunnus]],#REF!,COLUMN(#REF!),FALSE),0)</f>
        <v>0</v>
      </c>
      <c r="P128" s="204">
        <f>Opv.kohd.[[#This Row],[Talousarvion perusteella kohdentamattomat]]+Opv.kohd.[[#This Row],[Talousarvion perusteella työvoimakoulutus 1]]+Opv.kohd.[[#This Row],[Lisätalousarvioiden perusteella]]</f>
        <v>0</v>
      </c>
      <c r="Q128" s="204">
        <f>IFERROR(VLOOKUP(Opv.kohd.[[#This Row],[Y-tunnus]],#REF!,COLUMN(#REF!),FALSE),0)</f>
        <v>0</v>
      </c>
      <c r="R128" s="210">
        <f>IFERROR(VLOOKUP(Opv.kohd.[[#This Row],[Y-tunnus]],#REF!,COLUMN(#REF!),FALSE)-(Opv.kohd.[[#This Row],[Kohdentamaton työvoima-koulutus 2]]+Opv.kohd.[[#This Row],[Maahan-muuttajien koulutus 2]]+Opv.kohd.[[#This Row],[Lisätalousarvioiden perusteella jaetut 2]]),0)</f>
        <v>0</v>
      </c>
      <c r="S128" s="210">
        <f>IFERROR(VLOOKUP(Opv.kohd.[[#This Row],[Y-tunnus]],#REF!,COLUMN(#REF!),FALSE)+VLOOKUP(Opv.kohd.[[#This Row],[Y-tunnus]],#REF!,COLUMN(#REF!),FALSE),0)</f>
        <v>0</v>
      </c>
      <c r="T128" s="210">
        <f>IFERROR(VLOOKUP(Opv.kohd.[[#This Row],[Y-tunnus]],#REF!,COLUMN(#REF!),FALSE)+VLOOKUP(Opv.kohd.[[#This Row],[Y-tunnus]],#REF!,COLUMN(#REF!),FALSE),0)</f>
        <v>0</v>
      </c>
      <c r="U12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28" s="210">
        <f>Opv.kohd.[[#This Row],[Kohdentamat-tomat 2]]+Opv.kohd.[[#This Row],[Kohdentamaton työvoima-koulutus 2]]+Opv.kohd.[[#This Row],[Maahan-muuttajien koulutus 2]]+Opv.kohd.[[#This Row],[Lisätalousarvioiden perusteella jaetut 2]]</f>
        <v>0</v>
      </c>
      <c r="W128" s="210">
        <f>Opv.kohd.[[#This Row],[Kohdentamat-tomat 2]]-(Opv.kohd.[[#This Row],[Järjestämisluvan mukaiset 1]]+Opv.kohd.[[#This Row],[Kohdentamat-tomat 1]]+Opv.kohd.[[#This Row],[Nuorisotyöt. väh. ja osaamistarp. vast., muu kuin työvoima-koulutus 1]]+Opv.kohd.[[#This Row],[Talousarvion perusteella kohdentamattomat]])</f>
        <v>0</v>
      </c>
      <c r="X128" s="210">
        <f>Opv.kohd.[[#This Row],[Kohdentamaton työvoima-koulutus 2]]-(Opv.kohd.[[#This Row],[Työvoima-koulutus 1]]+Opv.kohd.[[#This Row],[Nuorisotyöt. väh. ja osaamistarp. vast., työvoima-koulutus 1]]+Opv.kohd.[[#This Row],[Talousarvion perusteella työvoimakoulutus 1]])</f>
        <v>0</v>
      </c>
      <c r="Y128" s="210">
        <f>Opv.kohd.[[#This Row],[Maahan-muuttajien koulutus 2]]-Opv.kohd.[[#This Row],[Maahan-muuttajien koulutus 1]]</f>
        <v>0</v>
      </c>
      <c r="Z128" s="210">
        <f>Opv.kohd.[[#This Row],[Lisätalousarvioiden perusteella jaetut 2]]-Opv.kohd.[[#This Row],[Lisätalousarvioiden perusteella]]</f>
        <v>0</v>
      </c>
      <c r="AA128" s="210">
        <f>Opv.kohd.[[#This Row],[Toteutuneet opiskelijavuodet yhteensä 2]]-Opv.kohd.[[#This Row],[Vuoden 2018 tavoitteelliset opiskelijavuodet yhteensä 1]]</f>
        <v>0</v>
      </c>
      <c r="AB128" s="207">
        <f>IFERROR(VLOOKUP(Opv.kohd.[[#This Row],[Y-tunnus]],#REF!,3,FALSE),0)</f>
        <v>0</v>
      </c>
      <c r="AC128" s="207">
        <f>IFERROR(VLOOKUP(Opv.kohd.[[#This Row],[Y-tunnus]],#REF!,4,FALSE),0)</f>
        <v>0</v>
      </c>
      <c r="AD128" s="207">
        <f>IFERROR(VLOOKUP(Opv.kohd.[[#This Row],[Y-tunnus]],#REF!,5,FALSE),0)</f>
        <v>0</v>
      </c>
      <c r="AE128" s="207">
        <f>IFERROR(VLOOKUP(Opv.kohd.[[#This Row],[Y-tunnus]],#REF!,6,FALSE),0)</f>
        <v>0</v>
      </c>
      <c r="AF128" s="207">
        <f>IFERROR(VLOOKUP(Opv.kohd.[[#This Row],[Y-tunnus]],#REF!,7,FALSE),0)</f>
        <v>0</v>
      </c>
      <c r="AG128" s="207">
        <f>IFERROR(VLOOKUP(Opv.kohd.[[#This Row],[Y-tunnus]],#REF!,8,FALSE),0)</f>
        <v>0</v>
      </c>
      <c r="AH128" s="207">
        <f>IFERROR(VLOOKUP(Opv.kohd.[[#This Row],[Y-tunnus]],#REF!,9,FALSE),0)</f>
        <v>0</v>
      </c>
      <c r="AI128" s="207">
        <f>IFERROR(VLOOKUP(Opv.kohd.[[#This Row],[Y-tunnus]],#REF!,10,FALSE),0)</f>
        <v>0</v>
      </c>
      <c r="AJ128" s="204">
        <f>Opv.kohd.[[#This Row],[Järjestämisluvan mukaiset 4]]-Opv.kohd.[[#This Row],[Järjestämisluvan mukaiset 1]]</f>
        <v>0</v>
      </c>
      <c r="AK128" s="204">
        <f>Opv.kohd.[[#This Row],[Kohdentamat-tomat 4]]-Opv.kohd.[[#This Row],[Kohdentamat-tomat 1]]</f>
        <v>0</v>
      </c>
      <c r="AL128" s="204">
        <f>Opv.kohd.[[#This Row],[Työvoima-koulutus 4]]-Opv.kohd.[[#This Row],[Työvoima-koulutus 1]]</f>
        <v>0</v>
      </c>
      <c r="AM128" s="204">
        <f>Opv.kohd.[[#This Row],[Maahan-muuttajien koulutus 4]]-Opv.kohd.[[#This Row],[Maahan-muuttajien koulutus 1]]</f>
        <v>0</v>
      </c>
      <c r="AN128" s="204">
        <f>Opv.kohd.[[#This Row],[Nuorisotyöt. väh. ja osaamistarp. vast., muu kuin työvoima-koulutus 4]]-Opv.kohd.[[#This Row],[Nuorisotyöt. väh. ja osaamistarp. vast., muu kuin työvoima-koulutus 1]]</f>
        <v>0</v>
      </c>
      <c r="AO128" s="204">
        <f>Opv.kohd.[[#This Row],[Nuorisotyöt. väh. ja osaamistarp. vast., työvoima-koulutus 4]]-Opv.kohd.[[#This Row],[Nuorisotyöt. väh. ja osaamistarp. vast., työvoima-koulutus 1]]</f>
        <v>0</v>
      </c>
      <c r="AP128" s="204">
        <f>Opv.kohd.[[#This Row],[Yhteensä 4]]-Opv.kohd.[[#This Row],[Yhteensä  1]]</f>
        <v>0</v>
      </c>
      <c r="AQ128" s="204">
        <f>Opv.kohd.[[#This Row],[Ensikertaisella suoritepäätöksellä jaetut tavoitteelliset opiskelijavuodet yhteensä 4]]-Opv.kohd.[[#This Row],[Ensikertaisella suoritepäätöksellä jaetut tavoitteelliset opiskelijavuodet yhteensä 1]]</f>
        <v>0</v>
      </c>
      <c r="AR128" s="208">
        <f>IFERROR(Opv.kohd.[[#This Row],[Järjestämisluvan mukaiset 5]]/Opv.kohd.[[#This Row],[Järjestämisluvan mukaiset 4]],0)</f>
        <v>0</v>
      </c>
      <c r="AS128" s="208">
        <f>IFERROR(Opv.kohd.[[#This Row],[Kohdentamat-tomat 5]]/Opv.kohd.[[#This Row],[Kohdentamat-tomat 4]],0)</f>
        <v>0</v>
      </c>
      <c r="AT128" s="208">
        <f>IFERROR(Opv.kohd.[[#This Row],[Työvoima-koulutus 5]]/Opv.kohd.[[#This Row],[Työvoima-koulutus 4]],0)</f>
        <v>0</v>
      </c>
      <c r="AU128" s="208">
        <f>IFERROR(Opv.kohd.[[#This Row],[Maahan-muuttajien koulutus 5]]/Opv.kohd.[[#This Row],[Maahan-muuttajien koulutus 4]],0)</f>
        <v>0</v>
      </c>
      <c r="AV128" s="208">
        <f>IFERROR(Opv.kohd.[[#This Row],[Nuorisotyöt. väh. ja osaamistarp. vast., muu kuin työvoima-koulutus 5]]/Opv.kohd.[[#This Row],[Nuorisotyöt. väh. ja osaamistarp. vast., muu kuin työvoima-koulutus 4]],0)</f>
        <v>0</v>
      </c>
      <c r="AW128" s="208">
        <f>IFERROR(Opv.kohd.[[#This Row],[Nuorisotyöt. väh. ja osaamistarp. vast., työvoima-koulutus 5]]/Opv.kohd.[[#This Row],[Nuorisotyöt. väh. ja osaamistarp. vast., työvoima-koulutus 4]],0)</f>
        <v>0</v>
      </c>
      <c r="AX128" s="208">
        <f>IFERROR(Opv.kohd.[[#This Row],[Yhteensä 5]]/Opv.kohd.[[#This Row],[Yhteensä 4]],0)</f>
        <v>0</v>
      </c>
      <c r="AY128" s="208">
        <f>IFERROR(Opv.kohd.[[#This Row],[Ensikertaisella suoritepäätöksellä jaetut tavoitteelliset opiskelijavuodet yhteensä 5]]/Opv.kohd.[[#This Row],[Ensikertaisella suoritepäätöksellä jaetut tavoitteelliset opiskelijavuodet yhteensä 4]],0)</f>
        <v>0</v>
      </c>
      <c r="AZ128" s="207">
        <f>Opv.kohd.[[#This Row],[Yhteensä 7a]]-Opv.kohd.[[#This Row],[Työvoima-koulutus 7a]]</f>
        <v>0</v>
      </c>
      <c r="BA128" s="207">
        <f>IFERROR(VLOOKUP(Opv.kohd.[[#This Row],[Y-tunnus]],#REF!,COLUMN(#REF!),FALSE),0)</f>
        <v>0</v>
      </c>
      <c r="BB128" s="207">
        <f>IFERROR(VLOOKUP(Opv.kohd.[[#This Row],[Y-tunnus]],#REF!,COLUMN(#REF!),FALSE),0)</f>
        <v>0</v>
      </c>
      <c r="BC128" s="207">
        <f>Opv.kohd.[[#This Row],[Muu kuin työvoima-koulutus 7c]]-Opv.kohd.[[#This Row],[Muu kuin työvoima-koulutus 7a]]</f>
        <v>0</v>
      </c>
      <c r="BD128" s="207">
        <f>Opv.kohd.[[#This Row],[Työvoima-koulutus 7c]]-Opv.kohd.[[#This Row],[Työvoima-koulutus 7a]]</f>
        <v>0</v>
      </c>
      <c r="BE128" s="207">
        <f>Opv.kohd.[[#This Row],[Yhteensä 7c]]-Opv.kohd.[[#This Row],[Yhteensä 7a]]</f>
        <v>0</v>
      </c>
      <c r="BF128" s="207">
        <f>Opv.kohd.[[#This Row],[Yhteensä 7c]]-Opv.kohd.[[#This Row],[Työvoima-koulutus 7c]]</f>
        <v>0</v>
      </c>
      <c r="BG128" s="207">
        <f>IFERROR(VLOOKUP(Opv.kohd.[[#This Row],[Y-tunnus]],#REF!,COLUMN(#REF!),FALSE),0)</f>
        <v>0</v>
      </c>
      <c r="BH128" s="207">
        <f>IFERROR(VLOOKUP(Opv.kohd.[[#This Row],[Y-tunnus]],#REF!,COLUMN(#REF!),FALSE),0)</f>
        <v>0</v>
      </c>
      <c r="BI128" s="207">
        <f>IFERROR(VLOOKUP(Opv.kohd.[[#This Row],[Y-tunnus]],#REF!,COLUMN(#REF!),FALSE),0)</f>
        <v>0</v>
      </c>
      <c r="BJ128" s="207">
        <f>IFERROR(VLOOKUP(Opv.kohd.[[#This Row],[Y-tunnus]],#REF!,COLUMN(#REF!),FALSE),0)</f>
        <v>0</v>
      </c>
      <c r="BK128" s="207">
        <f>Opv.kohd.[[#This Row],[Muu kuin työvoima-koulutus 7d]]+Opv.kohd.[[#This Row],[Työvoima-koulutus 7d]]</f>
        <v>0</v>
      </c>
      <c r="BL128" s="207">
        <f>Opv.kohd.[[#This Row],[Muu kuin työvoima-koulutus 7c]]-Opv.kohd.[[#This Row],[Muu kuin työvoima-koulutus 7d]]</f>
        <v>0</v>
      </c>
      <c r="BM128" s="207">
        <f>Opv.kohd.[[#This Row],[Työvoima-koulutus 7c]]-Opv.kohd.[[#This Row],[Työvoima-koulutus 7d]]</f>
        <v>0</v>
      </c>
      <c r="BN128" s="207">
        <f>Opv.kohd.[[#This Row],[Yhteensä 7c]]-Opv.kohd.[[#This Row],[Yhteensä 7d]]</f>
        <v>0</v>
      </c>
      <c r="BO128" s="207">
        <f>Opv.kohd.[[#This Row],[Muu kuin työvoima-koulutus 7e]]-(Opv.kohd.[[#This Row],[Järjestämisluvan mukaiset 4]]+Opv.kohd.[[#This Row],[Kohdentamat-tomat 4]]+Opv.kohd.[[#This Row],[Maahan-muuttajien koulutus 4]]+Opv.kohd.[[#This Row],[Nuorisotyöt. väh. ja osaamistarp. vast., muu kuin työvoima-koulutus 4]])</f>
        <v>0</v>
      </c>
      <c r="BP128" s="207">
        <f>Opv.kohd.[[#This Row],[Työvoima-koulutus 7e]]-(Opv.kohd.[[#This Row],[Työvoima-koulutus 4]]+Opv.kohd.[[#This Row],[Nuorisotyöt. väh. ja osaamistarp. vast., työvoima-koulutus 4]])</f>
        <v>0</v>
      </c>
      <c r="BQ128" s="207">
        <f>Opv.kohd.[[#This Row],[Yhteensä 7e]]-Opv.kohd.[[#This Row],[Ensikertaisella suoritepäätöksellä jaetut tavoitteelliset opiskelijavuodet yhteensä 4]]</f>
        <v>0</v>
      </c>
      <c r="BR128" s="263">
        <v>27</v>
      </c>
      <c r="BS128" s="263">
        <v>2</v>
      </c>
      <c r="BT128" s="263">
        <v>0</v>
      </c>
      <c r="BU128" s="263">
        <v>0</v>
      </c>
      <c r="BV128" s="263">
        <v>0</v>
      </c>
      <c r="BW128" s="263">
        <v>0</v>
      </c>
      <c r="BX128" s="263">
        <v>2</v>
      </c>
      <c r="BY128" s="263">
        <v>29</v>
      </c>
      <c r="BZ128" s="207">
        <f t="shared" si="17"/>
        <v>27</v>
      </c>
      <c r="CA128" s="207">
        <f t="shared" si="18"/>
        <v>2</v>
      </c>
      <c r="CB128" s="207">
        <f t="shared" si="19"/>
        <v>0</v>
      </c>
      <c r="CC128" s="207">
        <f t="shared" si="20"/>
        <v>0</v>
      </c>
      <c r="CD128" s="207">
        <f t="shared" si="21"/>
        <v>0</v>
      </c>
      <c r="CE128" s="207">
        <f t="shared" si="22"/>
        <v>0</v>
      </c>
      <c r="CF128" s="207">
        <f t="shared" si="23"/>
        <v>2</v>
      </c>
      <c r="CG128" s="207">
        <f t="shared" si="24"/>
        <v>29</v>
      </c>
      <c r="CH128" s="207">
        <f>Opv.kohd.[[#This Row],[Tavoitteelliset opiskelijavuodet yhteensä 9]]-Opv.kohd.[[#This Row],[Työvoima-koulutus 9]]-Opv.kohd.[[#This Row],[Nuorisotyöt. väh. ja osaamistarp. vast., työvoima-koulutus 9]]-Opv.kohd.[[#This Row],[Muu kuin työvoima-koulutus 7e]]</f>
        <v>29</v>
      </c>
      <c r="CI128" s="207">
        <f>(Opv.kohd.[[#This Row],[Työvoima-koulutus 9]]+Opv.kohd.[[#This Row],[Nuorisotyöt. väh. ja osaamistarp. vast., työvoima-koulutus 9]])-Opv.kohd.[[#This Row],[Työvoima-koulutus 7e]]</f>
        <v>0</v>
      </c>
      <c r="CJ128" s="207">
        <f>Opv.kohd.[[#This Row],[Tavoitteelliset opiskelijavuodet yhteensä 9]]-Opv.kohd.[[#This Row],[Yhteensä 7e]]</f>
        <v>29</v>
      </c>
      <c r="CK128" s="207">
        <f>Opv.kohd.[[#This Row],[Järjestämisluvan mukaiset 4]]+Opv.kohd.[[#This Row],[Järjestämisluvan mukaiset 13]]</f>
        <v>0</v>
      </c>
      <c r="CL128" s="207">
        <f>Opv.kohd.[[#This Row],[Kohdentamat-tomat 4]]+Opv.kohd.[[#This Row],[Kohdentamat-tomat 13]]</f>
        <v>0</v>
      </c>
      <c r="CM128" s="207">
        <f>Opv.kohd.[[#This Row],[Työvoima-koulutus 4]]+Opv.kohd.[[#This Row],[Työvoima-koulutus 13]]</f>
        <v>0</v>
      </c>
      <c r="CN128" s="207">
        <f>Opv.kohd.[[#This Row],[Maahan-muuttajien koulutus 4]]+Opv.kohd.[[#This Row],[Maahan-muuttajien koulutus 13]]</f>
        <v>0</v>
      </c>
      <c r="CO128" s="207">
        <f>Opv.kohd.[[#This Row],[Nuorisotyöt. väh. ja osaamistarp. vast., muu kuin työvoima-koulutus 4]]+Opv.kohd.[[#This Row],[Nuorisotyöt. väh. ja osaamistarp. vast., muu kuin työvoima-koulutus 13]]</f>
        <v>0</v>
      </c>
      <c r="CP128" s="207">
        <f>Opv.kohd.[[#This Row],[Nuorisotyöt. väh. ja osaamistarp. vast., työvoima-koulutus 4]]+Opv.kohd.[[#This Row],[Nuorisotyöt. väh. ja osaamistarp. vast., työvoima-koulutus 13]]</f>
        <v>0</v>
      </c>
      <c r="CQ128" s="207">
        <f>Opv.kohd.[[#This Row],[Yhteensä 4]]+Opv.kohd.[[#This Row],[Yhteensä 13]]</f>
        <v>0</v>
      </c>
      <c r="CR128" s="207">
        <f>Opv.kohd.[[#This Row],[Ensikertaisella suoritepäätöksellä jaetut tavoitteelliset opiskelijavuodet yhteensä 4]]+Opv.kohd.[[#This Row],[Tavoitteelliset opiskelijavuodet yhteensä 13]]</f>
        <v>0</v>
      </c>
      <c r="CS128" s="120">
        <v>0</v>
      </c>
      <c r="CT128" s="120">
        <v>0</v>
      </c>
      <c r="CU128" s="120">
        <v>0</v>
      </c>
      <c r="CV128" s="120">
        <v>0</v>
      </c>
      <c r="CW128" s="120">
        <v>0</v>
      </c>
      <c r="CX128" s="120">
        <v>0</v>
      </c>
      <c r="CY128" s="120">
        <v>0</v>
      </c>
      <c r="CZ128" s="120">
        <v>0</v>
      </c>
      <c r="DA128" s="209">
        <f>IFERROR(Opv.kohd.[[#This Row],[Järjestämisluvan mukaiset 13]]/Opv.kohd.[[#This Row],[Järjestämisluvan mukaiset 12]],0)</f>
        <v>0</v>
      </c>
      <c r="DB128" s="209">
        <f>IFERROR(Opv.kohd.[[#This Row],[Kohdentamat-tomat 13]]/Opv.kohd.[[#This Row],[Kohdentamat-tomat 12]],0)</f>
        <v>0</v>
      </c>
      <c r="DC128" s="209">
        <f>IFERROR(Opv.kohd.[[#This Row],[Työvoima-koulutus 13]]/Opv.kohd.[[#This Row],[Työvoima-koulutus 12]],0)</f>
        <v>0</v>
      </c>
      <c r="DD128" s="209">
        <f>IFERROR(Opv.kohd.[[#This Row],[Maahan-muuttajien koulutus 13]]/Opv.kohd.[[#This Row],[Maahan-muuttajien koulutus 12]],0)</f>
        <v>0</v>
      </c>
      <c r="DE128" s="209">
        <f>IFERROR(Opv.kohd.[[#This Row],[Nuorisotyöt. väh. ja osaamistarp. vast., muu kuin työvoima-koulutus 13]]/Opv.kohd.[[#This Row],[Nuorisotyöt. väh. ja osaamistarp. vast., muu kuin työvoima-koulutus 12]],0)</f>
        <v>0</v>
      </c>
      <c r="DF128" s="209">
        <f>IFERROR(Opv.kohd.[[#This Row],[Nuorisotyöt. väh. ja osaamistarp. vast., työvoima-koulutus 13]]/Opv.kohd.[[#This Row],[Nuorisotyöt. väh. ja osaamistarp. vast., työvoima-koulutus 12]],0)</f>
        <v>0</v>
      </c>
      <c r="DG128" s="209">
        <f>IFERROR(Opv.kohd.[[#This Row],[Yhteensä 13]]/Opv.kohd.[[#This Row],[Yhteensä 12]],0)</f>
        <v>0</v>
      </c>
      <c r="DH128" s="209">
        <f>IFERROR(Opv.kohd.[[#This Row],[Tavoitteelliset opiskelijavuodet yhteensä 13]]/Opv.kohd.[[#This Row],[Tavoitteelliset opiskelijavuodet yhteensä 12]],0)</f>
        <v>0</v>
      </c>
      <c r="DI128" s="207">
        <f>Opv.kohd.[[#This Row],[Järjestämisluvan mukaiset 12]]-Opv.kohd.[[#This Row],[Järjestämisluvan mukaiset 9]]</f>
        <v>-27</v>
      </c>
      <c r="DJ128" s="207">
        <f>Opv.kohd.[[#This Row],[Kohdentamat-tomat 12]]-Opv.kohd.[[#This Row],[Kohdentamat-tomat 9]]</f>
        <v>-2</v>
      </c>
      <c r="DK128" s="207">
        <f>Opv.kohd.[[#This Row],[Työvoima-koulutus 12]]-Opv.kohd.[[#This Row],[Työvoima-koulutus 9]]</f>
        <v>0</v>
      </c>
      <c r="DL128" s="207">
        <f>Opv.kohd.[[#This Row],[Maahan-muuttajien koulutus 12]]-Opv.kohd.[[#This Row],[Maahan-muuttajien koulutus 9]]</f>
        <v>0</v>
      </c>
      <c r="DM128" s="207">
        <f>Opv.kohd.[[#This Row],[Nuorisotyöt. väh. ja osaamistarp. vast., muu kuin työvoima-koulutus 12]]-Opv.kohd.[[#This Row],[Nuorisotyöt. väh. ja osaamistarp. vast., muu kuin työvoima-koulutus 9]]</f>
        <v>0</v>
      </c>
      <c r="DN128" s="207">
        <f>Opv.kohd.[[#This Row],[Nuorisotyöt. väh. ja osaamistarp. vast., työvoima-koulutus 12]]-Opv.kohd.[[#This Row],[Nuorisotyöt. väh. ja osaamistarp. vast., työvoima-koulutus 9]]</f>
        <v>0</v>
      </c>
      <c r="DO128" s="207">
        <f>Opv.kohd.[[#This Row],[Yhteensä 12]]-Opv.kohd.[[#This Row],[Yhteensä 9]]</f>
        <v>-2</v>
      </c>
      <c r="DP128" s="207">
        <f>Opv.kohd.[[#This Row],[Tavoitteelliset opiskelijavuodet yhteensä 12]]-Opv.kohd.[[#This Row],[Tavoitteelliset opiskelijavuodet yhteensä 9]]</f>
        <v>-29</v>
      </c>
      <c r="DQ128" s="209">
        <f>IFERROR(Opv.kohd.[[#This Row],[Järjestämisluvan mukaiset 15]]/Opv.kohd.[[#This Row],[Järjestämisluvan mukaiset 9]],0)</f>
        <v>-1</v>
      </c>
      <c r="DR128" s="209">
        <f t="shared" si="25"/>
        <v>0</v>
      </c>
      <c r="DS128" s="209">
        <f t="shared" si="26"/>
        <v>0</v>
      </c>
      <c r="DT128" s="209">
        <f t="shared" si="27"/>
        <v>0</v>
      </c>
      <c r="DU128" s="209">
        <f t="shared" si="28"/>
        <v>0</v>
      </c>
      <c r="DV128" s="209">
        <f t="shared" si="29"/>
        <v>0</v>
      </c>
      <c r="DW128" s="209">
        <f t="shared" si="30"/>
        <v>0</v>
      </c>
      <c r="DX128" s="209">
        <f t="shared" si="31"/>
        <v>0</v>
      </c>
    </row>
    <row r="129" spans="1:128" x14ac:dyDescent="0.25">
      <c r="A129" s="204" t="e">
        <f>IF(INDEX(#REF!,ROW(129:129)-1,1)=0,"",INDEX(#REF!,ROW(129:129)-1,1))</f>
        <v>#REF!</v>
      </c>
      <c r="B129" s="205" t="str">
        <f>IFERROR(VLOOKUP(Opv.kohd.[[#This Row],[Y-tunnus]],'0 Järjestäjätiedot'!$A:$H,2,FALSE),"")</f>
        <v/>
      </c>
      <c r="C129" s="204" t="str">
        <f>IFERROR(VLOOKUP(Opv.kohd.[[#This Row],[Y-tunnus]],'0 Järjestäjätiedot'!$A:$H,COLUMN('0 Järjestäjätiedot'!D:D),FALSE),"")</f>
        <v/>
      </c>
      <c r="D129" s="204" t="str">
        <f>IFERROR(VLOOKUP(Opv.kohd.[[#This Row],[Y-tunnus]],'0 Järjestäjätiedot'!$A:$H,COLUMN('0 Järjestäjätiedot'!H:H),FALSE),"")</f>
        <v/>
      </c>
      <c r="E129" s="204">
        <f>IFERROR(VLOOKUP(Opv.kohd.[[#This Row],[Y-tunnus]],#REF!,COLUMN(#REF!),FALSE),0)</f>
        <v>0</v>
      </c>
      <c r="F129" s="204">
        <f>IFERROR(VLOOKUP(Opv.kohd.[[#This Row],[Y-tunnus]],#REF!,COLUMN(#REF!),FALSE),0)</f>
        <v>0</v>
      </c>
      <c r="G129" s="204">
        <f>IFERROR(VLOOKUP(Opv.kohd.[[#This Row],[Y-tunnus]],#REF!,COLUMN(#REF!),FALSE),0)</f>
        <v>0</v>
      </c>
      <c r="H129" s="204">
        <f>IFERROR(VLOOKUP(Opv.kohd.[[#This Row],[Y-tunnus]],#REF!,COLUMN(#REF!),FALSE),0)</f>
        <v>0</v>
      </c>
      <c r="I129" s="204">
        <f>IFERROR(VLOOKUP(Opv.kohd.[[#This Row],[Y-tunnus]],#REF!,COLUMN(#REF!),FALSE),0)</f>
        <v>0</v>
      </c>
      <c r="J129" s="204">
        <f>IFERROR(VLOOKUP(Opv.kohd.[[#This Row],[Y-tunnus]],#REF!,COLUMN(#REF!),FALSE),0)</f>
        <v>0</v>
      </c>
      <c r="K12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29" s="204">
        <f>Opv.kohd.[[#This Row],[Järjestämisluvan mukaiset 1]]+Opv.kohd.[[#This Row],[Yhteensä  1]]</f>
        <v>0</v>
      </c>
      <c r="M129" s="204">
        <f>IFERROR(VLOOKUP(Opv.kohd.[[#This Row],[Y-tunnus]],#REF!,COLUMN(#REF!),FALSE),0)</f>
        <v>0</v>
      </c>
      <c r="N129" s="204">
        <f>IFERROR(VLOOKUP(Opv.kohd.[[#This Row],[Y-tunnus]],#REF!,COLUMN(#REF!),FALSE),0)</f>
        <v>0</v>
      </c>
      <c r="O129" s="204">
        <f>IFERROR(VLOOKUP(Opv.kohd.[[#This Row],[Y-tunnus]],#REF!,COLUMN(#REF!),FALSE)+VLOOKUP(Opv.kohd.[[#This Row],[Y-tunnus]],#REF!,COLUMN(#REF!),FALSE),0)</f>
        <v>0</v>
      </c>
      <c r="P129" s="204">
        <f>Opv.kohd.[[#This Row],[Talousarvion perusteella kohdentamattomat]]+Opv.kohd.[[#This Row],[Talousarvion perusteella työvoimakoulutus 1]]+Opv.kohd.[[#This Row],[Lisätalousarvioiden perusteella]]</f>
        <v>0</v>
      </c>
      <c r="Q129" s="204">
        <f>IFERROR(VLOOKUP(Opv.kohd.[[#This Row],[Y-tunnus]],#REF!,COLUMN(#REF!),FALSE),0)</f>
        <v>0</v>
      </c>
      <c r="R129" s="210">
        <f>IFERROR(VLOOKUP(Opv.kohd.[[#This Row],[Y-tunnus]],#REF!,COLUMN(#REF!),FALSE)-(Opv.kohd.[[#This Row],[Kohdentamaton työvoima-koulutus 2]]+Opv.kohd.[[#This Row],[Maahan-muuttajien koulutus 2]]+Opv.kohd.[[#This Row],[Lisätalousarvioiden perusteella jaetut 2]]),0)</f>
        <v>0</v>
      </c>
      <c r="S129" s="210">
        <f>IFERROR(VLOOKUP(Opv.kohd.[[#This Row],[Y-tunnus]],#REF!,COLUMN(#REF!),FALSE)+VLOOKUP(Opv.kohd.[[#This Row],[Y-tunnus]],#REF!,COLUMN(#REF!),FALSE),0)</f>
        <v>0</v>
      </c>
      <c r="T129" s="210">
        <f>IFERROR(VLOOKUP(Opv.kohd.[[#This Row],[Y-tunnus]],#REF!,COLUMN(#REF!),FALSE)+VLOOKUP(Opv.kohd.[[#This Row],[Y-tunnus]],#REF!,COLUMN(#REF!),FALSE),0)</f>
        <v>0</v>
      </c>
      <c r="U12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29" s="210">
        <f>Opv.kohd.[[#This Row],[Kohdentamat-tomat 2]]+Opv.kohd.[[#This Row],[Kohdentamaton työvoima-koulutus 2]]+Opv.kohd.[[#This Row],[Maahan-muuttajien koulutus 2]]+Opv.kohd.[[#This Row],[Lisätalousarvioiden perusteella jaetut 2]]</f>
        <v>0</v>
      </c>
      <c r="W129" s="210">
        <f>Opv.kohd.[[#This Row],[Kohdentamat-tomat 2]]-(Opv.kohd.[[#This Row],[Järjestämisluvan mukaiset 1]]+Opv.kohd.[[#This Row],[Kohdentamat-tomat 1]]+Opv.kohd.[[#This Row],[Nuorisotyöt. väh. ja osaamistarp. vast., muu kuin työvoima-koulutus 1]]+Opv.kohd.[[#This Row],[Talousarvion perusteella kohdentamattomat]])</f>
        <v>0</v>
      </c>
      <c r="X129" s="210">
        <f>Opv.kohd.[[#This Row],[Kohdentamaton työvoima-koulutus 2]]-(Opv.kohd.[[#This Row],[Työvoima-koulutus 1]]+Opv.kohd.[[#This Row],[Nuorisotyöt. väh. ja osaamistarp. vast., työvoima-koulutus 1]]+Opv.kohd.[[#This Row],[Talousarvion perusteella työvoimakoulutus 1]])</f>
        <v>0</v>
      </c>
      <c r="Y129" s="210">
        <f>Opv.kohd.[[#This Row],[Maahan-muuttajien koulutus 2]]-Opv.kohd.[[#This Row],[Maahan-muuttajien koulutus 1]]</f>
        <v>0</v>
      </c>
      <c r="Z129" s="210">
        <f>Opv.kohd.[[#This Row],[Lisätalousarvioiden perusteella jaetut 2]]-Opv.kohd.[[#This Row],[Lisätalousarvioiden perusteella]]</f>
        <v>0</v>
      </c>
      <c r="AA129" s="210">
        <f>Opv.kohd.[[#This Row],[Toteutuneet opiskelijavuodet yhteensä 2]]-Opv.kohd.[[#This Row],[Vuoden 2018 tavoitteelliset opiskelijavuodet yhteensä 1]]</f>
        <v>0</v>
      </c>
      <c r="AB129" s="207">
        <f>IFERROR(VLOOKUP(Opv.kohd.[[#This Row],[Y-tunnus]],#REF!,3,FALSE),0)</f>
        <v>0</v>
      </c>
      <c r="AC129" s="207">
        <f>IFERROR(VLOOKUP(Opv.kohd.[[#This Row],[Y-tunnus]],#REF!,4,FALSE),0)</f>
        <v>0</v>
      </c>
      <c r="AD129" s="207">
        <f>IFERROR(VLOOKUP(Opv.kohd.[[#This Row],[Y-tunnus]],#REF!,5,FALSE),0)</f>
        <v>0</v>
      </c>
      <c r="AE129" s="207">
        <f>IFERROR(VLOOKUP(Opv.kohd.[[#This Row],[Y-tunnus]],#REF!,6,FALSE),0)</f>
        <v>0</v>
      </c>
      <c r="AF129" s="207">
        <f>IFERROR(VLOOKUP(Opv.kohd.[[#This Row],[Y-tunnus]],#REF!,7,FALSE),0)</f>
        <v>0</v>
      </c>
      <c r="AG129" s="207">
        <f>IFERROR(VLOOKUP(Opv.kohd.[[#This Row],[Y-tunnus]],#REF!,8,FALSE),0)</f>
        <v>0</v>
      </c>
      <c r="AH129" s="207">
        <f>IFERROR(VLOOKUP(Opv.kohd.[[#This Row],[Y-tunnus]],#REF!,9,FALSE),0)</f>
        <v>0</v>
      </c>
      <c r="AI129" s="207">
        <f>IFERROR(VLOOKUP(Opv.kohd.[[#This Row],[Y-tunnus]],#REF!,10,FALSE),0)</f>
        <v>0</v>
      </c>
      <c r="AJ129" s="204">
        <f>Opv.kohd.[[#This Row],[Järjestämisluvan mukaiset 4]]-Opv.kohd.[[#This Row],[Järjestämisluvan mukaiset 1]]</f>
        <v>0</v>
      </c>
      <c r="AK129" s="204">
        <f>Opv.kohd.[[#This Row],[Kohdentamat-tomat 4]]-Opv.kohd.[[#This Row],[Kohdentamat-tomat 1]]</f>
        <v>0</v>
      </c>
      <c r="AL129" s="204">
        <f>Opv.kohd.[[#This Row],[Työvoima-koulutus 4]]-Opv.kohd.[[#This Row],[Työvoima-koulutus 1]]</f>
        <v>0</v>
      </c>
      <c r="AM129" s="204">
        <f>Opv.kohd.[[#This Row],[Maahan-muuttajien koulutus 4]]-Opv.kohd.[[#This Row],[Maahan-muuttajien koulutus 1]]</f>
        <v>0</v>
      </c>
      <c r="AN129" s="204">
        <f>Opv.kohd.[[#This Row],[Nuorisotyöt. väh. ja osaamistarp. vast., muu kuin työvoima-koulutus 4]]-Opv.kohd.[[#This Row],[Nuorisotyöt. väh. ja osaamistarp. vast., muu kuin työvoima-koulutus 1]]</f>
        <v>0</v>
      </c>
      <c r="AO129" s="204">
        <f>Opv.kohd.[[#This Row],[Nuorisotyöt. väh. ja osaamistarp. vast., työvoima-koulutus 4]]-Opv.kohd.[[#This Row],[Nuorisotyöt. väh. ja osaamistarp. vast., työvoima-koulutus 1]]</f>
        <v>0</v>
      </c>
      <c r="AP129" s="204">
        <f>Opv.kohd.[[#This Row],[Yhteensä 4]]-Opv.kohd.[[#This Row],[Yhteensä  1]]</f>
        <v>0</v>
      </c>
      <c r="AQ129" s="204">
        <f>Opv.kohd.[[#This Row],[Ensikertaisella suoritepäätöksellä jaetut tavoitteelliset opiskelijavuodet yhteensä 4]]-Opv.kohd.[[#This Row],[Ensikertaisella suoritepäätöksellä jaetut tavoitteelliset opiskelijavuodet yhteensä 1]]</f>
        <v>0</v>
      </c>
      <c r="AR129" s="208">
        <f>IFERROR(Opv.kohd.[[#This Row],[Järjestämisluvan mukaiset 5]]/Opv.kohd.[[#This Row],[Järjestämisluvan mukaiset 4]],0)</f>
        <v>0</v>
      </c>
      <c r="AS129" s="208">
        <f>IFERROR(Opv.kohd.[[#This Row],[Kohdentamat-tomat 5]]/Opv.kohd.[[#This Row],[Kohdentamat-tomat 4]],0)</f>
        <v>0</v>
      </c>
      <c r="AT129" s="208">
        <f>IFERROR(Opv.kohd.[[#This Row],[Työvoima-koulutus 5]]/Opv.kohd.[[#This Row],[Työvoima-koulutus 4]],0)</f>
        <v>0</v>
      </c>
      <c r="AU129" s="208">
        <f>IFERROR(Opv.kohd.[[#This Row],[Maahan-muuttajien koulutus 5]]/Opv.kohd.[[#This Row],[Maahan-muuttajien koulutus 4]],0)</f>
        <v>0</v>
      </c>
      <c r="AV129" s="208">
        <f>IFERROR(Opv.kohd.[[#This Row],[Nuorisotyöt. väh. ja osaamistarp. vast., muu kuin työvoima-koulutus 5]]/Opv.kohd.[[#This Row],[Nuorisotyöt. väh. ja osaamistarp. vast., muu kuin työvoima-koulutus 4]],0)</f>
        <v>0</v>
      </c>
      <c r="AW129" s="208">
        <f>IFERROR(Opv.kohd.[[#This Row],[Nuorisotyöt. väh. ja osaamistarp. vast., työvoima-koulutus 5]]/Opv.kohd.[[#This Row],[Nuorisotyöt. väh. ja osaamistarp. vast., työvoima-koulutus 4]],0)</f>
        <v>0</v>
      </c>
      <c r="AX129" s="208">
        <f>IFERROR(Opv.kohd.[[#This Row],[Yhteensä 5]]/Opv.kohd.[[#This Row],[Yhteensä 4]],0)</f>
        <v>0</v>
      </c>
      <c r="AY129" s="208">
        <f>IFERROR(Opv.kohd.[[#This Row],[Ensikertaisella suoritepäätöksellä jaetut tavoitteelliset opiskelijavuodet yhteensä 5]]/Opv.kohd.[[#This Row],[Ensikertaisella suoritepäätöksellä jaetut tavoitteelliset opiskelijavuodet yhteensä 4]],0)</f>
        <v>0</v>
      </c>
      <c r="AZ129" s="207">
        <f>Opv.kohd.[[#This Row],[Yhteensä 7a]]-Opv.kohd.[[#This Row],[Työvoima-koulutus 7a]]</f>
        <v>0</v>
      </c>
      <c r="BA129" s="207">
        <f>IFERROR(VLOOKUP(Opv.kohd.[[#This Row],[Y-tunnus]],#REF!,COLUMN(#REF!),FALSE),0)</f>
        <v>0</v>
      </c>
      <c r="BB129" s="207">
        <f>IFERROR(VLOOKUP(Opv.kohd.[[#This Row],[Y-tunnus]],#REF!,COLUMN(#REF!),FALSE),0)</f>
        <v>0</v>
      </c>
      <c r="BC129" s="207">
        <f>Opv.kohd.[[#This Row],[Muu kuin työvoima-koulutus 7c]]-Opv.kohd.[[#This Row],[Muu kuin työvoima-koulutus 7a]]</f>
        <v>0</v>
      </c>
      <c r="BD129" s="207">
        <f>Opv.kohd.[[#This Row],[Työvoima-koulutus 7c]]-Opv.kohd.[[#This Row],[Työvoima-koulutus 7a]]</f>
        <v>0</v>
      </c>
      <c r="BE129" s="207">
        <f>Opv.kohd.[[#This Row],[Yhteensä 7c]]-Opv.kohd.[[#This Row],[Yhteensä 7a]]</f>
        <v>0</v>
      </c>
      <c r="BF129" s="207">
        <f>Opv.kohd.[[#This Row],[Yhteensä 7c]]-Opv.kohd.[[#This Row],[Työvoima-koulutus 7c]]</f>
        <v>0</v>
      </c>
      <c r="BG129" s="207">
        <f>IFERROR(VLOOKUP(Opv.kohd.[[#This Row],[Y-tunnus]],#REF!,COLUMN(#REF!),FALSE),0)</f>
        <v>0</v>
      </c>
      <c r="BH129" s="207">
        <f>IFERROR(VLOOKUP(Opv.kohd.[[#This Row],[Y-tunnus]],#REF!,COLUMN(#REF!),FALSE),0)</f>
        <v>0</v>
      </c>
      <c r="BI129" s="207">
        <f>IFERROR(VLOOKUP(Opv.kohd.[[#This Row],[Y-tunnus]],#REF!,COLUMN(#REF!),FALSE),0)</f>
        <v>0</v>
      </c>
      <c r="BJ129" s="207">
        <f>IFERROR(VLOOKUP(Opv.kohd.[[#This Row],[Y-tunnus]],#REF!,COLUMN(#REF!),FALSE),0)</f>
        <v>0</v>
      </c>
      <c r="BK129" s="207">
        <f>Opv.kohd.[[#This Row],[Muu kuin työvoima-koulutus 7d]]+Opv.kohd.[[#This Row],[Työvoima-koulutus 7d]]</f>
        <v>0</v>
      </c>
      <c r="BL129" s="207">
        <f>Opv.kohd.[[#This Row],[Muu kuin työvoima-koulutus 7c]]-Opv.kohd.[[#This Row],[Muu kuin työvoima-koulutus 7d]]</f>
        <v>0</v>
      </c>
      <c r="BM129" s="207">
        <f>Opv.kohd.[[#This Row],[Työvoima-koulutus 7c]]-Opv.kohd.[[#This Row],[Työvoima-koulutus 7d]]</f>
        <v>0</v>
      </c>
      <c r="BN129" s="207">
        <f>Opv.kohd.[[#This Row],[Yhteensä 7c]]-Opv.kohd.[[#This Row],[Yhteensä 7d]]</f>
        <v>0</v>
      </c>
      <c r="BO129" s="207">
        <f>Opv.kohd.[[#This Row],[Muu kuin työvoima-koulutus 7e]]-(Opv.kohd.[[#This Row],[Järjestämisluvan mukaiset 4]]+Opv.kohd.[[#This Row],[Kohdentamat-tomat 4]]+Opv.kohd.[[#This Row],[Maahan-muuttajien koulutus 4]]+Opv.kohd.[[#This Row],[Nuorisotyöt. väh. ja osaamistarp. vast., muu kuin työvoima-koulutus 4]])</f>
        <v>0</v>
      </c>
      <c r="BP129" s="207">
        <f>Opv.kohd.[[#This Row],[Työvoima-koulutus 7e]]-(Opv.kohd.[[#This Row],[Työvoima-koulutus 4]]+Opv.kohd.[[#This Row],[Nuorisotyöt. väh. ja osaamistarp. vast., työvoima-koulutus 4]])</f>
        <v>0</v>
      </c>
      <c r="BQ129" s="207">
        <f>Opv.kohd.[[#This Row],[Yhteensä 7e]]-Opv.kohd.[[#This Row],[Ensikertaisella suoritepäätöksellä jaetut tavoitteelliset opiskelijavuodet yhteensä 4]]</f>
        <v>0</v>
      </c>
      <c r="BR129" s="263">
        <v>21</v>
      </c>
      <c r="BS129" s="263">
        <v>0</v>
      </c>
      <c r="BT129" s="263">
        <v>0</v>
      </c>
      <c r="BU129" s="263">
        <v>0</v>
      </c>
      <c r="BV129" s="263">
        <v>0</v>
      </c>
      <c r="BW129" s="263">
        <v>0</v>
      </c>
      <c r="BX129" s="263">
        <v>0</v>
      </c>
      <c r="BY129" s="263">
        <v>21</v>
      </c>
      <c r="BZ129" s="207">
        <f t="shared" si="17"/>
        <v>21</v>
      </c>
      <c r="CA129" s="207">
        <f t="shared" si="18"/>
        <v>0</v>
      </c>
      <c r="CB129" s="207">
        <f t="shared" si="19"/>
        <v>0</v>
      </c>
      <c r="CC129" s="207">
        <f t="shared" si="20"/>
        <v>0</v>
      </c>
      <c r="CD129" s="207">
        <f t="shared" si="21"/>
        <v>0</v>
      </c>
      <c r="CE129" s="207">
        <f t="shared" si="22"/>
        <v>0</v>
      </c>
      <c r="CF129" s="207">
        <f t="shared" si="23"/>
        <v>0</v>
      </c>
      <c r="CG129" s="207">
        <f t="shared" si="24"/>
        <v>21</v>
      </c>
      <c r="CH129" s="207">
        <f>Opv.kohd.[[#This Row],[Tavoitteelliset opiskelijavuodet yhteensä 9]]-Opv.kohd.[[#This Row],[Työvoima-koulutus 9]]-Opv.kohd.[[#This Row],[Nuorisotyöt. väh. ja osaamistarp. vast., työvoima-koulutus 9]]-Opv.kohd.[[#This Row],[Muu kuin työvoima-koulutus 7e]]</f>
        <v>21</v>
      </c>
      <c r="CI129" s="207">
        <f>(Opv.kohd.[[#This Row],[Työvoima-koulutus 9]]+Opv.kohd.[[#This Row],[Nuorisotyöt. väh. ja osaamistarp. vast., työvoima-koulutus 9]])-Opv.kohd.[[#This Row],[Työvoima-koulutus 7e]]</f>
        <v>0</v>
      </c>
      <c r="CJ129" s="207">
        <f>Opv.kohd.[[#This Row],[Tavoitteelliset opiskelijavuodet yhteensä 9]]-Opv.kohd.[[#This Row],[Yhteensä 7e]]</f>
        <v>21</v>
      </c>
      <c r="CK129" s="207">
        <f>Opv.kohd.[[#This Row],[Järjestämisluvan mukaiset 4]]+Opv.kohd.[[#This Row],[Järjestämisluvan mukaiset 13]]</f>
        <v>0</v>
      </c>
      <c r="CL129" s="207">
        <f>Opv.kohd.[[#This Row],[Kohdentamat-tomat 4]]+Opv.kohd.[[#This Row],[Kohdentamat-tomat 13]]</f>
        <v>0</v>
      </c>
      <c r="CM129" s="207">
        <f>Opv.kohd.[[#This Row],[Työvoima-koulutus 4]]+Opv.kohd.[[#This Row],[Työvoima-koulutus 13]]</f>
        <v>0</v>
      </c>
      <c r="CN129" s="207">
        <f>Opv.kohd.[[#This Row],[Maahan-muuttajien koulutus 4]]+Opv.kohd.[[#This Row],[Maahan-muuttajien koulutus 13]]</f>
        <v>0</v>
      </c>
      <c r="CO129" s="207">
        <f>Opv.kohd.[[#This Row],[Nuorisotyöt. väh. ja osaamistarp. vast., muu kuin työvoima-koulutus 4]]+Opv.kohd.[[#This Row],[Nuorisotyöt. väh. ja osaamistarp. vast., muu kuin työvoima-koulutus 13]]</f>
        <v>0</v>
      </c>
      <c r="CP129" s="207">
        <f>Opv.kohd.[[#This Row],[Nuorisotyöt. väh. ja osaamistarp. vast., työvoima-koulutus 4]]+Opv.kohd.[[#This Row],[Nuorisotyöt. väh. ja osaamistarp. vast., työvoima-koulutus 13]]</f>
        <v>0</v>
      </c>
      <c r="CQ129" s="207">
        <f>Opv.kohd.[[#This Row],[Yhteensä 4]]+Opv.kohd.[[#This Row],[Yhteensä 13]]</f>
        <v>0</v>
      </c>
      <c r="CR129" s="207">
        <f>Opv.kohd.[[#This Row],[Ensikertaisella suoritepäätöksellä jaetut tavoitteelliset opiskelijavuodet yhteensä 4]]+Opv.kohd.[[#This Row],[Tavoitteelliset opiskelijavuodet yhteensä 13]]</f>
        <v>0</v>
      </c>
      <c r="CS129" s="120">
        <v>0</v>
      </c>
      <c r="CT129" s="120">
        <v>0</v>
      </c>
      <c r="CU129" s="120">
        <v>0</v>
      </c>
      <c r="CV129" s="120">
        <v>0</v>
      </c>
      <c r="CW129" s="120">
        <v>0</v>
      </c>
      <c r="CX129" s="120">
        <v>0</v>
      </c>
      <c r="CY129" s="120">
        <v>0</v>
      </c>
      <c r="CZ129" s="120">
        <v>0</v>
      </c>
      <c r="DA129" s="209">
        <f>IFERROR(Opv.kohd.[[#This Row],[Järjestämisluvan mukaiset 13]]/Opv.kohd.[[#This Row],[Järjestämisluvan mukaiset 12]],0)</f>
        <v>0</v>
      </c>
      <c r="DB129" s="209">
        <f>IFERROR(Opv.kohd.[[#This Row],[Kohdentamat-tomat 13]]/Opv.kohd.[[#This Row],[Kohdentamat-tomat 12]],0)</f>
        <v>0</v>
      </c>
      <c r="DC129" s="209">
        <f>IFERROR(Opv.kohd.[[#This Row],[Työvoima-koulutus 13]]/Opv.kohd.[[#This Row],[Työvoima-koulutus 12]],0)</f>
        <v>0</v>
      </c>
      <c r="DD129" s="209">
        <f>IFERROR(Opv.kohd.[[#This Row],[Maahan-muuttajien koulutus 13]]/Opv.kohd.[[#This Row],[Maahan-muuttajien koulutus 12]],0)</f>
        <v>0</v>
      </c>
      <c r="DE129" s="209">
        <f>IFERROR(Opv.kohd.[[#This Row],[Nuorisotyöt. väh. ja osaamistarp. vast., muu kuin työvoima-koulutus 13]]/Opv.kohd.[[#This Row],[Nuorisotyöt. väh. ja osaamistarp. vast., muu kuin työvoima-koulutus 12]],0)</f>
        <v>0</v>
      </c>
      <c r="DF129" s="209">
        <f>IFERROR(Opv.kohd.[[#This Row],[Nuorisotyöt. väh. ja osaamistarp. vast., työvoima-koulutus 13]]/Opv.kohd.[[#This Row],[Nuorisotyöt. väh. ja osaamistarp. vast., työvoima-koulutus 12]],0)</f>
        <v>0</v>
      </c>
      <c r="DG129" s="209">
        <f>IFERROR(Opv.kohd.[[#This Row],[Yhteensä 13]]/Opv.kohd.[[#This Row],[Yhteensä 12]],0)</f>
        <v>0</v>
      </c>
      <c r="DH129" s="209">
        <f>IFERROR(Opv.kohd.[[#This Row],[Tavoitteelliset opiskelijavuodet yhteensä 13]]/Opv.kohd.[[#This Row],[Tavoitteelliset opiskelijavuodet yhteensä 12]],0)</f>
        <v>0</v>
      </c>
      <c r="DI129" s="207">
        <f>Opv.kohd.[[#This Row],[Järjestämisluvan mukaiset 12]]-Opv.kohd.[[#This Row],[Järjestämisluvan mukaiset 9]]</f>
        <v>-21</v>
      </c>
      <c r="DJ129" s="207">
        <f>Opv.kohd.[[#This Row],[Kohdentamat-tomat 12]]-Opv.kohd.[[#This Row],[Kohdentamat-tomat 9]]</f>
        <v>0</v>
      </c>
      <c r="DK129" s="207">
        <f>Opv.kohd.[[#This Row],[Työvoima-koulutus 12]]-Opv.kohd.[[#This Row],[Työvoima-koulutus 9]]</f>
        <v>0</v>
      </c>
      <c r="DL129" s="207">
        <f>Opv.kohd.[[#This Row],[Maahan-muuttajien koulutus 12]]-Opv.kohd.[[#This Row],[Maahan-muuttajien koulutus 9]]</f>
        <v>0</v>
      </c>
      <c r="DM129" s="207">
        <f>Opv.kohd.[[#This Row],[Nuorisotyöt. väh. ja osaamistarp. vast., muu kuin työvoima-koulutus 12]]-Opv.kohd.[[#This Row],[Nuorisotyöt. väh. ja osaamistarp. vast., muu kuin työvoima-koulutus 9]]</f>
        <v>0</v>
      </c>
      <c r="DN129" s="207">
        <f>Opv.kohd.[[#This Row],[Nuorisotyöt. väh. ja osaamistarp. vast., työvoima-koulutus 12]]-Opv.kohd.[[#This Row],[Nuorisotyöt. väh. ja osaamistarp. vast., työvoima-koulutus 9]]</f>
        <v>0</v>
      </c>
      <c r="DO129" s="207">
        <f>Opv.kohd.[[#This Row],[Yhteensä 12]]-Opv.kohd.[[#This Row],[Yhteensä 9]]</f>
        <v>0</v>
      </c>
      <c r="DP129" s="207">
        <f>Opv.kohd.[[#This Row],[Tavoitteelliset opiskelijavuodet yhteensä 12]]-Opv.kohd.[[#This Row],[Tavoitteelliset opiskelijavuodet yhteensä 9]]</f>
        <v>-21</v>
      </c>
      <c r="DQ129" s="209">
        <f>IFERROR(Opv.kohd.[[#This Row],[Järjestämisluvan mukaiset 15]]/Opv.kohd.[[#This Row],[Järjestämisluvan mukaiset 9]],0)</f>
        <v>-1</v>
      </c>
      <c r="DR129" s="209">
        <f t="shared" si="25"/>
        <v>0</v>
      </c>
      <c r="DS129" s="209">
        <f t="shared" si="26"/>
        <v>0</v>
      </c>
      <c r="DT129" s="209">
        <f t="shared" si="27"/>
        <v>0</v>
      </c>
      <c r="DU129" s="209">
        <f t="shared" si="28"/>
        <v>0</v>
      </c>
      <c r="DV129" s="209">
        <f t="shared" si="29"/>
        <v>0</v>
      </c>
      <c r="DW129" s="209">
        <f t="shared" si="30"/>
        <v>0</v>
      </c>
      <c r="DX129" s="209">
        <f t="shared" si="31"/>
        <v>0</v>
      </c>
    </row>
    <row r="130" spans="1:128" x14ac:dyDescent="0.25">
      <c r="A130" s="204" t="e">
        <f>IF(INDEX(#REF!,ROW(130:130)-1,1)=0,"",INDEX(#REF!,ROW(130:130)-1,1))</f>
        <v>#REF!</v>
      </c>
      <c r="B130" s="205" t="str">
        <f>IFERROR(VLOOKUP(Opv.kohd.[[#This Row],[Y-tunnus]],'0 Järjestäjätiedot'!$A:$H,2,FALSE),"")</f>
        <v/>
      </c>
      <c r="C130" s="204" t="str">
        <f>IFERROR(VLOOKUP(Opv.kohd.[[#This Row],[Y-tunnus]],'0 Järjestäjätiedot'!$A:$H,COLUMN('0 Järjestäjätiedot'!D:D),FALSE),"")</f>
        <v/>
      </c>
      <c r="D130" s="204" t="str">
        <f>IFERROR(VLOOKUP(Opv.kohd.[[#This Row],[Y-tunnus]],'0 Järjestäjätiedot'!$A:$H,COLUMN('0 Järjestäjätiedot'!H:H),FALSE),"")</f>
        <v/>
      </c>
      <c r="E130" s="204">
        <f>IFERROR(VLOOKUP(Opv.kohd.[[#This Row],[Y-tunnus]],#REF!,COLUMN(#REF!),FALSE),0)</f>
        <v>0</v>
      </c>
      <c r="F130" s="204">
        <f>IFERROR(VLOOKUP(Opv.kohd.[[#This Row],[Y-tunnus]],#REF!,COLUMN(#REF!),FALSE),0)</f>
        <v>0</v>
      </c>
      <c r="G130" s="204">
        <f>IFERROR(VLOOKUP(Opv.kohd.[[#This Row],[Y-tunnus]],#REF!,COLUMN(#REF!),FALSE),0)</f>
        <v>0</v>
      </c>
      <c r="H130" s="204">
        <f>IFERROR(VLOOKUP(Opv.kohd.[[#This Row],[Y-tunnus]],#REF!,COLUMN(#REF!),FALSE),0)</f>
        <v>0</v>
      </c>
      <c r="I130" s="204">
        <f>IFERROR(VLOOKUP(Opv.kohd.[[#This Row],[Y-tunnus]],#REF!,COLUMN(#REF!),FALSE),0)</f>
        <v>0</v>
      </c>
      <c r="J130" s="204">
        <f>IFERROR(VLOOKUP(Opv.kohd.[[#This Row],[Y-tunnus]],#REF!,COLUMN(#REF!),FALSE),0)</f>
        <v>0</v>
      </c>
      <c r="K13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30" s="204">
        <f>Opv.kohd.[[#This Row],[Järjestämisluvan mukaiset 1]]+Opv.kohd.[[#This Row],[Yhteensä  1]]</f>
        <v>0</v>
      </c>
      <c r="M130" s="204">
        <f>IFERROR(VLOOKUP(Opv.kohd.[[#This Row],[Y-tunnus]],#REF!,COLUMN(#REF!),FALSE),0)</f>
        <v>0</v>
      </c>
      <c r="N130" s="204">
        <f>IFERROR(VLOOKUP(Opv.kohd.[[#This Row],[Y-tunnus]],#REF!,COLUMN(#REF!),FALSE),0)</f>
        <v>0</v>
      </c>
      <c r="O130" s="204">
        <f>IFERROR(VLOOKUP(Opv.kohd.[[#This Row],[Y-tunnus]],#REF!,COLUMN(#REF!),FALSE)+VLOOKUP(Opv.kohd.[[#This Row],[Y-tunnus]],#REF!,COLUMN(#REF!),FALSE),0)</f>
        <v>0</v>
      </c>
      <c r="P130" s="204">
        <f>Opv.kohd.[[#This Row],[Talousarvion perusteella kohdentamattomat]]+Opv.kohd.[[#This Row],[Talousarvion perusteella työvoimakoulutus 1]]+Opv.kohd.[[#This Row],[Lisätalousarvioiden perusteella]]</f>
        <v>0</v>
      </c>
      <c r="Q130" s="204">
        <f>IFERROR(VLOOKUP(Opv.kohd.[[#This Row],[Y-tunnus]],#REF!,COLUMN(#REF!),FALSE),0)</f>
        <v>0</v>
      </c>
      <c r="R130" s="210">
        <f>IFERROR(VLOOKUP(Opv.kohd.[[#This Row],[Y-tunnus]],#REF!,COLUMN(#REF!),FALSE)-(Opv.kohd.[[#This Row],[Kohdentamaton työvoima-koulutus 2]]+Opv.kohd.[[#This Row],[Maahan-muuttajien koulutus 2]]+Opv.kohd.[[#This Row],[Lisätalousarvioiden perusteella jaetut 2]]),0)</f>
        <v>0</v>
      </c>
      <c r="S130" s="210">
        <f>IFERROR(VLOOKUP(Opv.kohd.[[#This Row],[Y-tunnus]],#REF!,COLUMN(#REF!),FALSE)+VLOOKUP(Opv.kohd.[[#This Row],[Y-tunnus]],#REF!,COLUMN(#REF!),FALSE),0)</f>
        <v>0</v>
      </c>
      <c r="T130" s="210">
        <f>IFERROR(VLOOKUP(Opv.kohd.[[#This Row],[Y-tunnus]],#REF!,COLUMN(#REF!),FALSE)+VLOOKUP(Opv.kohd.[[#This Row],[Y-tunnus]],#REF!,COLUMN(#REF!),FALSE),0)</f>
        <v>0</v>
      </c>
      <c r="U13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30" s="210">
        <f>Opv.kohd.[[#This Row],[Kohdentamat-tomat 2]]+Opv.kohd.[[#This Row],[Kohdentamaton työvoima-koulutus 2]]+Opv.kohd.[[#This Row],[Maahan-muuttajien koulutus 2]]+Opv.kohd.[[#This Row],[Lisätalousarvioiden perusteella jaetut 2]]</f>
        <v>0</v>
      </c>
      <c r="W130" s="210">
        <f>Opv.kohd.[[#This Row],[Kohdentamat-tomat 2]]-(Opv.kohd.[[#This Row],[Järjestämisluvan mukaiset 1]]+Opv.kohd.[[#This Row],[Kohdentamat-tomat 1]]+Opv.kohd.[[#This Row],[Nuorisotyöt. väh. ja osaamistarp. vast., muu kuin työvoima-koulutus 1]]+Opv.kohd.[[#This Row],[Talousarvion perusteella kohdentamattomat]])</f>
        <v>0</v>
      </c>
      <c r="X130" s="210">
        <f>Opv.kohd.[[#This Row],[Kohdentamaton työvoima-koulutus 2]]-(Opv.kohd.[[#This Row],[Työvoima-koulutus 1]]+Opv.kohd.[[#This Row],[Nuorisotyöt. väh. ja osaamistarp. vast., työvoima-koulutus 1]]+Opv.kohd.[[#This Row],[Talousarvion perusteella työvoimakoulutus 1]])</f>
        <v>0</v>
      </c>
      <c r="Y130" s="210">
        <f>Opv.kohd.[[#This Row],[Maahan-muuttajien koulutus 2]]-Opv.kohd.[[#This Row],[Maahan-muuttajien koulutus 1]]</f>
        <v>0</v>
      </c>
      <c r="Z130" s="210">
        <f>Opv.kohd.[[#This Row],[Lisätalousarvioiden perusteella jaetut 2]]-Opv.kohd.[[#This Row],[Lisätalousarvioiden perusteella]]</f>
        <v>0</v>
      </c>
      <c r="AA130" s="210">
        <f>Opv.kohd.[[#This Row],[Toteutuneet opiskelijavuodet yhteensä 2]]-Opv.kohd.[[#This Row],[Vuoden 2018 tavoitteelliset opiskelijavuodet yhteensä 1]]</f>
        <v>0</v>
      </c>
      <c r="AB130" s="207">
        <f>IFERROR(VLOOKUP(Opv.kohd.[[#This Row],[Y-tunnus]],#REF!,3,FALSE),0)</f>
        <v>0</v>
      </c>
      <c r="AC130" s="207">
        <f>IFERROR(VLOOKUP(Opv.kohd.[[#This Row],[Y-tunnus]],#REF!,4,FALSE),0)</f>
        <v>0</v>
      </c>
      <c r="AD130" s="207">
        <f>IFERROR(VLOOKUP(Opv.kohd.[[#This Row],[Y-tunnus]],#REF!,5,FALSE),0)</f>
        <v>0</v>
      </c>
      <c r="AE130" s="207">
        <f>IFERROR(VLOOKUP(Opv.kohd.[[#This Row],[Y-tunnus]],#REF!,6,FALSE),0)</f>
        <v>0</v>
      </c>
      <c r="AF130" s="207">
        <f>IFERROR(VLOOKUP(Opv.kohd.[[#This Row],[Y-tunnus]],#REF!,7,FALSE),0)</f>
        <v>0</v>
      </c>
      <c r="AG130" s="207">
        <f>IFERROR(VLOOKUP(Opv.kohd.[[#This Row],[Y-tunnus]],#REF!,8,FALSE),0)</f>
        <v>0</v>
      </c>
      <c r="AH130" s="207">
        <f>IFERROR(VLOOKUP(Opv.kohd.[[#This Row],[Y-tunnus]],#REF!,9,FALSE),0)</f>
        <v>0</v>
      </c>
      <c r="AI130" s="207">
        <f>IFERROR(VLOOKUP(Opv.kohd.[[#This Row],[Y-tunnus]],#REF!,10,FALSE),0)</f>
        <v>0</v>
      </c>
      <c r="AJ130" s="204">
        <f>Opv.kohd.[[#This Row],[Järjestämisluvan mukaiset 4]]-Opv.kohd.[[#This Row],[Järjestämisluvan mukaiset 1]]</f>
        <v>0</v>
      </c>
      <c r="AK130" s="204">
        <f>Opv.kohd.[[#This Row],[Kohdentamat-tomat 4]]-Opv.kohd.[[#This Row],[Kohdentamat-tomat 1]]</f>
        <v>0</v>
      </c>
      <c r="AL130" s="204">
        <f>Opv.kohd.[[#This Row],[Työvoima-koulutus 4]]-Opv.kohd.[[#This Row],[Työvoima-koulutus 1]]</f>
        <v>0</v>
      </c>
      <c r="AM130" s="204">
        <f>Opv.kohd.[[#This Row],[Maahan-muuttajien koulutus 4]]-Opv.kohd.[[#This Row],[Maahan-muuttajien koulutus 1]]</f>
        <v>0</v>
      </c>
      <c r="AN130" s="204">
        <f>Opv.kohd.[[#This Row],[Nuorisotyöt. väh. ja osaamistarp. vast., muu kuin työvoima-koulutus 4]]-Opv.kohd.[[#This Row],[Nuorisotyöt. väh. ja osaamistarp. vast., muu kuin työvoima-koulutus 1]]</f>
        <v>0</v>
      </c>
      <c r="AO130" s="204">
        <f>Opv.kohd.[[#This Row],[Nuorisotyöt. väh. ja osaamistarp. vast., työvoima-koulutus 4]]-Opv.kohd.[[#This Row],[Nuorisotyöt. väh. ja osaamistarp. vast., työvoima-koulutus 1]]</f>
        <v>0</v>
      </c>
      <c r="AP130" s="204">
        <f>Opv.kohd.[[#This Row],[Yhteensä 4]]-Opv.kohd.[[#This Row],[Yhteensä  1]]</f>
        <v>0</v>
      </c>
      <c r="AQ130" s="204">
        <f>Opv.kohd.[[#This Row],[Ensikertaisella suoritepäätöksellä jaetut tavoitteelliset opiskelijavuodet yhteensä 4]]-Opv.kohd.[[#This Row],[Ensikertaisella suoritepäätöksellä jaetut tavoitteelliset opiskelijavuodet yhteensä 1]]</f>
        <v>0</v>
      </c>
      <c r="AR130" s="208">
        <f>IFERROR(Opv.kohd.[[#This Row],[Järjestämisluvan mukaiset 5]]/Opv.kohd.[[#This Row],[Järjestämisluvan mukaiset 4]],0)</f>
        <v>0</v>
      </c>
      <c r="AS130" s="208">
        <f>IFERROR(Opv.kohd.[[#This Row],[Kohdentamat-tomat 5]]/Opv.kohd.[[#This Row],[Kohdentamat-tomat 4]],0)</f>
        <v>0</v>
      </c>
      <c r="AT130" s="208">
        <f>IFERROR(Opv.kohd.[[#This Row],[Työvoima-koulutus 5]]/Opv.kohd.[[#This Row],[Työvoima-koulutus 4]],0)</f>
        <v>0</v>
      </c>
      <c r="AU130" s="208">
        <f>IFERROR(Opv.kohd.[[#This Row],[Maahan-muuttajien koulutus 5]]/Opv.kohd.[[#This Row],[Maahan-muuttajien koulutus 4]],0)</f>
        <v>0</v>
      </c>
      <c r="AV130" s="208">
        <f>IFERROR(Opv.kohd.[[#This Row],[Nuorisotyöt. väh. ja osaamistarp. vast., muu kuin työvoima-koulutus 5]]/Opv.kohd.[[#This Row],[Nuorisotyöt. väh. ja osaamistarp. vast., muu kuin työvoima-koulutus 4]],0)</f>
        <v>0</v>
      </c>
      <c r="AW130" s="208">
        <f>IFERROR(Opv.kohd.[[#This Row],[Nuorisotyöt. väh. ja osaamistarp. vast., työvoima-koulutus 5]]/Opv.kohd.[[#This Row],[Nuorisotyöt. väh. ja osaamistarp. vast., työvoima-koulutus 4]],0)</f>
        <v>0</v>
      </c>
      <c r="AX130" s="208">
        <f>IFERROR(Opv.kohd.[[#This Row],[Yhteensä 5]]/Opv.kohd.[[#This Row],[Yhteensä 4]],0)</f>
        <v>0</v>
      </c>
      <c r="AY130" s="208">
        <f>IFERROR(Opv.kohd.[[#This Row],[Ensikertaisella suoritepäätöksellä jaetut tavoitteelliset opiskelijavuodet yhteensä 5]]/Opv.kohd.[[#This Row],[Ensikertaisella suoritepäätöksellä jaetut tavoitteelliset opiskelijavuodet yhteensä 4]],0)</f>
        <v>0</v>
      </c>
      <c r="AZ130" s="207">
        <f>Opv.kohd.[[#This Row],[Yhteensä 7a]]-Opv.kohd.[[#This Row],[Työvoima-koulutus 7a]]</f>
        <v>0</v>
      </c>
      <c r="BA130" s="207">
        <f>IFERROR(VLOOKUP(Opv.kohd.[[#This Row],[Y-tunnus]],#REF!,COLUMN(#REF!),FALSE),0)</f>
        <v>0</v>
      </c>
      <c r="BB130" s="207">
        <f>IFERROR(VLOOKUP(Opv.kohd.[[#This Row],[Y-tunnus]],#REF!,COLUMN(#REF!),FALSE),0)</f>
        <v>0</v>
      </c>
      <c r="BC130" s="207">
        <f>Opv.kohd.[[#This Row],[Muu kuin työvoima-koulutus 7c]]-Opv.kohd.[[#This Row],[Muu kuin työvoima-koulutus 7a]]</f>
        <v>0</v>
      </c>
      <c r="BD130" s="207">
        <f>Opv.kohd.[[#This Row],[Työvoima-koulutus 7c]]-Opv.kohd.[[#This Row],[Työvoima-koulutus 7a]]</f>
        <v>0</v>
      </c>
      <c r="BE130" s="207">
        <f>Opv.kohd.[[#This Row],[Yhteensä 7c]]-Opv.kohd.[[#This Row],[Yhteensä 7a]]</f>
        <v>0</v>
      </c>
      <c r="BF130" s="207">
        <f>Opv.kohd.[[#This Row],[Yhteensä 7c]]-Opv.kohd.[[#This Row],[Työvoima-koulutus 7c]]</f>
        <v>0</v>
      </c>
      <c r="BG130" s="207">
        <f>IFERROR(VLOOKUP(Opv.kohd.[[#This Row],[Y-tunnus]],#REF!,COLUMN(#REF!),FALSE),0)</f>
        <v>0</v>
      </c>
      <c r="BH130" s="207">
        <f>IFERROR(VLOOKUP(Opv.kohd.[[#This Row],[Y-tunnus]],#REF!,COLUMN(#REF!),FALSE),0)</f>
        <v>0</v>
      </c>
      <c r="BI130" s="207">
        <f>IFERROR(VLOOKUP(Opv.kohd.[[#This Row],[Y-tunnus]],#REF!,COLUMN(#REF!),FALSE),0)</f>
        <v>0</v>
      </c>
      <c r="BJ130" s="207">
        <f>IFERROR(VLOOKUP(Opv.kohd.[[#This Row],[Y-tunnus]],#REF!,COLUMN(#REF!),FALSE),0)</f>
        <v>0</v>
      </c>
      <c r="BK130" s="207">
        <f>Opv.kohd.[[#This Row],[Muu kuin työvoima-koulutus 7d]]+Opv.kohd.[[#This Row],[Työvoima-koulutus 7d]]</f>
        <v>0</v>
      </c>
      <c r="BL130" s="207">
        <f>Opv.kohd.[[#This Row],[Muu kuin työvoima-koulutus 7c]]-Opv.kohd.[[#This Row],[Muu kuin työvoima-koulutus 7d]]</f>
        <v>0</v>
      </c>
      <c r="BM130" s="207">
        <f>Opv.kohd.[[#This Row],[Työvoima-koulutus 7c]]-Opv.kohd.[[#This Row],[Työvoima-koulutus 7d]]</f>
        <v>0</v>
      </c>
      <c r="BN130" s="207">
        <f>Opv.kohd.[[#This Row],[Yhteensä 7c]]-Opv.kohd.[[#This Row],[Yhteensä 7d]]</f>
        <v>0</v>
      </c>
      <c r="BO130" s="207">
        <f>Opv.kohd.[[#This Row],[Muu kuin työvoima-koulutus 7e]]-(Opv.kohd.[[#This Row],[Järjestämisluvan mukaiset 4]]+Opv.kohd.[[#This Row],[Kohdentamat-tomat 4]]+Opv.kohd.[[#This Row],[Maahan-muuttajien koulutus 4]]+Opv.kohd.[[#This Row],[Nuorisotyöt. väh. ja osaamistarp. vast., muu kuin työvoima-koulutus 4]])</f>
        <v>0</v>
      </c>
      <c r="BP130" s="207">
        <f>Opv.kohd.[[#This Row],[Työvoima-koulutus 7e]]-(Opv.kohd.[[#This Row],[Työvoima-koulutus 4]]+Opv.kohd.[[#This Row],[Nuorisotyöt. väh. ja osaamistarp. vast., työvoima-koulutus 4]])</f>
        <v>0</v>
      </c>
      <c r="BQ130" s="207">
        <f>Opv.kohd.[[#This Row],[Yhteensä 7e]]-Opv.kohd.[[#This Row],[Ensikertaisella suoritepäätöksellä jaetut tavoitteelliset opiskelijavuodet yhteensä 4]]</f>
        <v>0</v>
      </c>
      <c r="BR130" s="263">
        <v>102</v>
      </c>
      <c r="BS130" s="263">
        <v>0</v>
      </c>
      <c r="BT130" s="263">
        <v>0</v>
      </c>
      <c r="BU130" s="263">
        <v>0</v>
      </c>
      <c r="BV130" s="263">
        <v>0</v>
      </c>
      <c r="BW130" s="263">
        <v>0</v>
      </c>
      <c r="BX130" s="263">
        <v>0</v>
      </c>
      <c r="BY130" s="263">
        <v>102</v>
      </c>
      <c r="BZ130" s="207">
        <f t="shared" si="17"/>
        <v>102</v>
      </c>
      <c r="CA130" s="207">
        <f t="shared" si="18"/>
        <v>0</v>
      </c>
      <c r="CB130" s="207">
        <f t="shared" si="19"/>
        <v>0</v>
      </c>
      <c r="CC130" s="207">
        <f t="shared" si="20"/>
        <v>0</v>
      </c>
      <c r="CD130" s="207">
        <f t="shared" si="21"/>
        <v>0</v>
      </c>
      <c r="CE130" s="207">
        <f t="shared" si="22"/>
        <v>0</v>
      </c>
      <c r="CF130" s="207">
        <f t="shared" si="23"/>
        <v>0</v>
      </c>
      <c r="CG130" s="207">
        <f t="shared" si="24"/>
        <v>102</v>
      </c>
      <c r="CH130" s="207">
        <f>Opv.kohd.[[#This Row],[Tavoitteelliset opiskelijavuodet yhteensä 9]]-Opv.kohd.[[#This Row],[Työvoima-koulutus 9]]-Opv.kohd.[[#This Row],[Nuorisotyöt. väh. ja osaamistarp. vast., työvoima-koulutus 9]]-Opv.kohd.[[#This Row],[Muu kuin työvoima-koulutus 7e]]</f>
        <v>102</v>
      </c>
      <c r="CI130" s="207">
        <f>(Opv.kohd.[[#This Row],[Työvoima-koulutus 9]]+Opv.kohd.[[#This Row],[Nuorisotyöt. väh. ja osaamistarp. vast., työvoima-koulutus 9]])-Opv.kohd.[[#This Row],[Työvoima-koulutus 7e]]</f>
        <v>0</v>
      </c>
      <c r="CJ130" s="207">
        <f>Opv.kohd.[[#This Row],[Tavoitteelliset opiskelijavuodet yhteensä 9]]-Opv.kohd.[[#This Row],[Yhteensä 7e]]</f>
        <v>102</v>
      </c>
      <c r="CK130" s="207">
        <f>Opv.kohd.[[#This Row],[Järjestämisluvan mukaiset 4]]+Opv.kohd.[[#This Row],[Järjestämisluvan mukaiset 13]]</f>
        <v>0</v>
      </c>
      <c r="CL130" s="207">
        <f>Opv.kohd.[[#This Row],[Kohdentamat-tomat 4]]+Opv.kohd.[[#This Row],[Kohdentamat-tomat 13]]</f>
        <v>0</v>
      </c>
      <c r="CM130" s="207">
        <f>Opv.kohd.[[#This Row],[Työvoima-koulutus 4]]+Opv.kohd.[[#This Row],[Työvoima-koulutus 13]]</f>
        <v>0</v>
      </c>
      <c r="CN130" s="207">
        <f>Opv.kohd.[[#This Row],[Maahan-muuttajien koulutus 4]]+Opv.kohd.[[#This Row],[Maahan-muuttajien koulutus 13]]</f>
        <v>0</v>
      </c>
      <c r="CO130" s="207">
        <f>Opv.kohd.[[#This Row],[Nuorisotyöt. väh. ja osaamistarp. vast., muu kuin työvoima-koulutus 4]]+Opv.kohd.[[#This Row],[Nuorisotyöt. väh. ja osaamistarp. vast., muu kuin työvoima-koulutus 13]]</f>
        <v>0</v>
      </c>
      <c r="CP130" s="207">
        <f>Opv.kohd.[[#This Row],[Nuorisotyöt. väh. ja osaamistarp. vast., työvoima-koulutus 4]]+Opv.kohd.[[#This Row],[Nuorisotyöt. väh. ja osaamistarp. vast., työvoima-koulutus 13]]</f>
        <v>0</v>
      </c>
      <c r="CQ130" s="207">
        <f>Opv.kohd.[[#This Row],[Yhteensä 4]]+Opv.kohd.[[#This Row],[Yhteensä 13]]</f>
        <v>0</v>
      </c>
      <c r="CR130" s="207">
        <f>Opv.kohd.[[#This Row],[Ensikertaisella suoritepäätöksellä jaetut tavoitteelliset opiskelijavuodet yhteensä 4]]+Opv.kohd.[[#This Row],[Tavoitteelliset opiskelijavuodet yhteensä 13]]</f>
        <v>0</v>
      </c>
      <c r="CS130" s="120">
        <v>0</v>
      </c>
      <c r="CT130" s="120">
        <v>0</v>
      </c>
      <c r="CU130" s="120">
        <v>0</v>
      </c>
      <c r="CV130" s="120">
        <v>0</v>
      </c>
      <c r="CW130" s="120">
        <v>0</v>
      </c>
      <c r="CX130" s="120">
        <v>0</v>
      </c>
      <c r="CY130" s="120">
        <v>0</v>
      </c>
      <c r="CZ130" s="120">
        <v>0</v>
      </c>
      <c r="DA130" s="209">
        <f>IFERROR(Opv.kohd.[[#This Row],[Järjestämisluvan mukaiset 13]]/Opv.kohd.[[#This Row],[Järjestämisluvan mukaiset 12]],0)</f>
        <v>0</v>
      </c>
      <c r="DB130" s="209">
        <f>IFERROR(Opv.kohd.[[#This Row],[Kohdentamat-tomat 13]]/Opv.kohd.[[#This Row],[Kohdentamat-tomat 12]],0)</f>
        <v>0</v>
      </c>
      <c r="DC130" s="209">
        <f>IFERROR(Opv.kohd.[[#This Row],[Työvoima-koulutus 13]]/Opv.kohd.[[#This Row],[Työvoima-koulutus 12]],0)</f>
        <v>0</v>
      </c>
      <c r="DD130" s="209">
        <f>IFERROR(Opv.kohd.[[#This Row],[Maahan-muuttajien koulutus 13]]/Opv.kohd.[[#This Row],[Maahan-muuttajien koulutus 12]],0)</f>
        <v>0</v>
      </c>
      <c r="DE130" s="209">
        <f>IFERROR(Opv.kohd.[[#This Row],[Nuorisotyöt. väh. ja osaamistarp. vast., muu kuin työvoima-koulutus 13]]/Opv.kohd.[[#This Row],[Nuorisotyöt. väh. ja osaamistarp. vast., muu kuin työvoima-koulutus 12]],0)</f>
        <v>0</v>
      </c>
      <c r="DF130" s="209">
        <f>IFERROR(Opv.kohd.[[#This Row],[Nuorisotyöt. väh. ja osaamistarp. vast., työvoima-koulutus 13]]/Opv.kohd.[[#This Row],[Nuorisotyöt. väh. ja osaamistarp. vast., työvoima-koulutus 12]],0)</f>
        <v>0</v>
      </c>
      <c r="DG130" s="209">
        <f>IFERROR(Opv.kohd.[[#This Row],[Yhteensä 13]]/Opv.kohd.[[#This Row],[Yhteensä 12]],0)</f>
        <v>0</v>
      </c>
      <c r="DH130" s="209">
        <f>IFERROR(Opv.kohd.[[#This Row],[Tavoitteelliset opiskelijavuodet yhteensä 13]]/Opv.kohd.[[#This Row],[Tavoitteelliset opiskelijavuodet yhteensä 12]],0)</f>
        <v>0</v>
      </c>
      <c r="DI130" s="207">
        <f>Opv.kohd.[[#This Row],[Järjestämisluvan mukaiset 12]]-Opv.kohd.[[#This Row],[Järjestämisluvan mukaiset 9]]</f>
        <v>-102</v>
      </c>
      <c r="DJ130" s="207">
        <f>Opv.kohd.[[#This Row],[Kohdentamat-tomat 12]]-Opv.kohd.[[#This Row],[Kohdentamat-tomat 9]]</f>
        <v>0</v>
      </c>
      <c r="DK130" s="207">
        <f>Opv.kohd.[[#This Row],[Työvoima-koulutus 12]]-Opv.kohd.[[#This Row],[Työvoima-koulutus 9]]</f>
        <v>0</v>
      </c>
      <c r="DL130" s="207">
        <f>Opv.kohd.[[#This Row],[Maahan-muuttajien koulutus 12]]-Opv.kohd.[[#This Row],[Maahan-muuttajien koulutus 9]]</f>
        <v>0</v>
      </c>
      <c r="DM130" s="207">
        <f>Opv.kohd.[[#This Row],[Nuorisotyöt. väh. ja osaamistarp. vast., muu kuin työvoima-koulutus 12]]-Opv.kohd.[[#This Row],[Nuorisotyöt. väh. ja osaamistarp. vast., muu kuin työvoima-koulutus 9]]</f>
        <v>0</v>
      </c>
      <c r="DN130" s="207">
        <f>Opv.kohd.[[#This Row],[Nuorisotyöt. väh. ja osaamistarp. vast., työvoima-koulutus 12]]-Opv.kohd.[[#This Row],[Nuorisotyöt. väh. ja osaamistarp. vast., työvoima-koulutus 9]]</f>
        <v>0</v>
      </c>
      <c r="DO130" s="207">
        <f>Opv.kohd.[[#This Row],[Yhteensä 12]]-Opv.kohd.[[#This Row],[Yhteensä 9]]</f>
        <v>0</v>
      </c>
      <c r="DP130" s="207">
        <f>Opv.kohd.[[#This Row],[Tavoitteelliset opiskelijavuodet yhteensä 12]]-Opv.kohd.[[#This Row],[Tavoitteelliset opiskelijavuodet yhteensä 9]]</f>
        <v>-102</v>
      </c>
      <c r="DQ130" s="209">
        <f>IFERROR(Opv.kohd.[[#This Row],[Järjestämisluvan mukaiset 15]]/Opv.kohd.[[#This Row],[Järjestämisluvan mukaiset 9]],0)</f>
        <v>-1</v>
      </c>
      <c r="DR130" s="209">
        <f t="shared" si="25"/>
        <v>0</v>
      </c>
      <c r="DS130" s="209">
        <f t="shared" si="26"/>
        <v>0</v>
      </c>
      <c r="DT130" s="209">
        <f t="shared" si="27"/>
        <v>0</v>
      </c>
      <c r="DU130" s="209">
        <f t="shared" si="28"/>
        <v>0</v>
      </c>
      <c r="DV130" s="209">
        <f t="shared" si="29"/>
        <v>0</v>
      </c>
      <c r="DW130" s="209">
        <f t="shared" si="30"/>
        <v>0</v>
      </c>
      <c r="DX130" s="209">
        <f t="shared" si="31"/>
        <v>0</v>
      </c>
    </row>
    <row r="131" spans="1:128" x14ac:dyDescent="0.25">
      <c r="A131" s="204" t="e">
        <f>IF(INDEX(#REF!,ROW(131:131)-1,1)=0,"",INDEX(#REF!,ROW(131:131)-1,1))</f>
        <v>#REF!</v>
      </c>
      <c r="B131" s="205" t="str">
        <f>IFERROR(VLOOKUP(Opv.kohd.[[#This Row],[Y-tunnus]],'0 Järjestäjätiedot'!$A:$H,2,FALSE),"")</f>
        <v/>
      </c>
      <c r="C131" s="204" t="str">
        <f>IFERROR(VLOOKUP(Opv.kohd.[[#This Row],[Y-tunnus]],'0 Järjestäjätiedot'!$A:$H,COLUMN('0 Järjestäjätiedot'!D:D),FALSE),"")</f>
        <v/>
      </c>
      <c r="D131" s="204" t="str">
        <f>IFERROR(VLOOKUP(Opv.kohd.[[#This Row],[Y-tunnus]],'0 Järjestäjätiedot'!$A:$H,COLUMN('0 Järjestäjätiedot'!H:H),FALSE),"")</f>
        <v/>
      </c>
      <c r="E131" s="204">
        <f>IFERROR(VLOOKUP(Opv.kohd.[[#This Row],[Y-tunnus]],#REF!,COLUMN(#REF!),FALSE),0)</f>
        <v>0</v>
      </c>
      <c r="F131" s="204">
        <f>IFERROR(VLOOKUP(Opv.kohd.[[#This Row],[Y-tunnus]],#REF!,COLUMN(#REF!),FALSE),0)</f>
        <v>0</v>
      </c>
      <c r="G131" s="204">
        <f>IFERROR(VLOOKUP(Opv.kohd.[[#This Row],[Y-tunnus]],#REF!,COLUMN(#REF!),FALSE),0)</f>
        <v>0</v>
      </c>
      <c r="H131" s="204">
        <f>IFERROR(VLOOKUP(Opv.kohd.[[#This Row],[Y-tunnus]],#REF!,COLUMN(#REF!),FALSE),0)</f>
        <v>0</v>
      </c>
      <c r="I131" s="204">
        <f>IFERROR(VLOOKUP(Opv.kohd.[[#This Row],[Y-tunnus]],#REF!,COLUMN(#REF!),FALSE),0)</f>
        <v>0</v>
      </c>
      <c r="J131" s="204">
        <f>IFERROR(VLOOKUP(Opv.kohd.[[#This Row],[Y-tunnus]],#REF!,COLUMN(#REF!),FALSE),0)</f>
        <v>0</v>
      </c>
      <c r="K13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31" s="204">
        <f>Opv.kohd.[[#This Row],[Järjestämisluvan mukaiset 1]]+Opv.kohd.[[#This Row],[Yhteensä  1]]</f>
        <v>0</v>
      </c>
      <c r="M131" s="204">
        <f>IFERROR(VLOOKUP(Opv.kohd.[[#This Row],[Y-tunnus]],#REF!,COLUMN(#REF!),FALSE),0)</f>
        <v>0</v>
      </c>
      <c r="N131" s="204">
        <f>IFERROR(VLOOKUP(Opv.kohd.[[#This Row],[Y-tunnus]],#REF!,COLUMN(#REF!),FALSE),0)</f>
        <v>0</v>
      </c>
      <c r="O131" s="204">
        <f>IFERROR(VLOOKUP(Opv.kohd.[[#This Row],[Y-tunnus]],#REF!,COLUMN(#REF!),FALSE)+VLOOKUP(Opv.kohd.[[#This Row],[Y-tunnus]],#REF!,COLUMN(#REF!),FALSE),0)</f>
        <v>0</v>
      </c>
      <c r="P131" s="204">
        <f>Opv.kohd.[[#This Row],[Talousarvion perusteella kohdentamattomat]]+Opv.kohd.[[#This Row],[Talousarvion perusteella työvoimakoulutus 1]]+Opv.kohd.[[#This Row],[Lisätalousarvioiden perusteella]]</f>
        <v>0</v>
      </c>
      <c r="Q131" s="204">
        <f>IFERROR(VLOOKUP(Opv.kohd.[[#This Row],[Y-tunnus]],#REF!,COLUMN(#REF!),FALSE),0)</f>
        <v>0</v>
      </c>
      <c r="R131" s="210">
        <f>IFERROR(VLOOKUP(Opv.kohd.[[#This Row],[Y-tunnus]],#REF!,COLUMN(#REF!),FALSE)-(Opv.kohd.[[#This Row],[Kohdentamaton työvoima-koulutus 2]]+Opv.kohd.[[#This Row],[Maahan-muuttajien koulutus 2]]+Opv.kohd.[[#This Row],[Lisätalousarvioiden perusteella jaetut 2]]),0)</f>
        <v>0</v>
      </c>
      <c r="S131" s="210">
        <f>IFERROR(VLOOKUP(Opv.kohd.[[#This Row],[Y-tunnus]],#REF!,COLUMN(#REF!),FALSE)+VLOOKUP(Opv.kohd.[[#This Row],[Y-tunnus]],#REF!,COLUMN(#REF!),FALSE),0)</f>
        <v>0</v>
      </c>
      <c r="T131" s="210">
        <f>IFERROR(VLOOKUP(Opv.kohd.[[#This Row],[Y-tunnus]],#REF!,COLUMN(#REF!),FALSE)+VLOOKUP(Opv.kohd.[[#This Row],[Y-tunnus]],#REF!,COLUMN(#REF!),FALSE),0)</f>
        <v>0</v>
      </c>
      <c r="U13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31" s="210">
        <f>Opv.kohd.[[#This Row],[Kohdentamat-tomat 2]]+Opv.kohd.[[#This Row],[Kohdentamaton työvoima-koulutus 2]]+Opv.kohd.[[#This Row],[Maahan-muuttajien koulutus 2]]+Opv.kohd.[[#This Row],[Lisätalousarvioiden perusteella jaetut 2]]</f>
        <v>0</v>
      </c>
      <c r="W131" s="210">
        <f>Opv.kohd.[[#This Row],[Kohdentamat-tomat 2]]-(Opv.kohd.[[#This Row],[Järjestämisluvan mukaiset 1]]+Opv.kohd.[[#This Row],[Kohdentamat-tomat 1]]+Opv.kohd.[[#This Row],[Nuorisotyöt. väh. ja osaamistarp. vast., muu kuin työvoima-koulutus 1]]+Opv.kohd.[[#This Row],[Talousarvion perusteella kohdentamattomat]])</f>
        <v>0</v>
      </c>
      <c r="X131" s="210">
        <f>Opv.kohd.[[#This Row],[Kohdentamaton työvoima-koulutus 2]]-(Opv.kohd.[[#This Row],[Työvoima-koulutus 1]]+Opv.kohd.[[#This Row],[Nuorisotyöt. väh. ja osaamistarp. vast., työvoima-koulutus 1]]+Opv.kohd.[[#This Row],[Talousarvion perusteella työvoimakoulutus 1]])</f>
        <v>0</v>
      </c>
      <c r="Y131" s="210">
        <f>Opv.kohd.[[#This Row],[Maahan-muuttajien koulutus 2]]-Opv.kohd.[[#This Row],[Maahan-muuttajien koulutus 1]]</f>
        <v>0</v>
      </c>
      <c r="Z131" s="210">
        <f>Opv.kohd.[[#This Row],[Lisätalousarvioiden perusteella jaetut 2]]-Opv.kohd.[[#This Row],[Lisätalousarvioiden perusteella]]</f>
        <v>0</v>
      </c>
      <c r="AA131" s="210">
        <f>Opv.kohd.[[#This Row],[Toteutuneet opiskelijavuodet yhteensä 2]]-Opv.kohd.[[#This Row],[Vuoden 2018 tavoitteelliset opiskelijavuodet yhteensä 1]]</f>
        <v>0</v>
      </c>
      <c r="AB131" s="207">
        <f>IFERROR(VLOOKUP(Opv.kohd.[[#This Row],[Y-tunnus]],#REF!,3,FALSE),0)</f>
        <v>0</v>
      </c>
      <c r="AC131" s="207">
        <f>IFERROR(VLOOKUP(Opv.kohd.[[#This Row],[Y-tunnus]],#REF!,4,FALSE),0)</f>
        <v>0</v>
      </c>
      <c r="AD131" s="207">
        <f>IFERROR(VLOOKUP(Opv.kohd.[[#This Row],[Y-tunnus]],#REF!,5,FALSE),0)</f>
        <v>0</v>
      </c>
      <c r="AE131" s="207">
        <f>IFERROR(VLOOKUP(Opv.kohd.[[#This Row],[Y-tunnus]],#REF!,6,FALSE),0)</f>
        <v>0</v>
      </c>
      <c r="AF131" s="207">
        <f>IFERROR(VLOOKUP(Opv.kohd.[[#This Row],[Y-tunnus]],#REF!,7,FALSE),0)</f>
        <v>0</v>
      </c>
      <c r="AG131" s="207">
        <f>IFERROR(VLOOKUP(Opv.kohd.[[#This Row],[Y-tunnus]],#REF!,8,FALSE),0)</f>
        <v>0</v>
      </c>
      <c r="AH131" s="207">
        <f>IFERROR(VLOOKUP(Opv.kohd.[[#This Row],[Y-tunnus]],#REF!,9,FALSE),0)</f>
        <v>0</v>
      </c>
      <c r="AI131" s="207">
        <f>IFERROR(VLOOKUP(Opv.kohd.[[#This Row],[Y-tunnus]],#REF!,10,FALSE),0)</f>
        <v>0</v>
      </c>
      <c r="AJ131" s="204">
        <f>Opv.kohd.[[#This Row],[Järjestämisluvan mukaiset 4]]-Opv.kohd.[[#This Row],[Järjestämisluvan mukaiset 1]]</f>
        <v>0</v>
      </c>
      <c r="AK131" s="204">
        <f>Opv.kohd.[[#This Row],[Kohdentamat-tomat 4]]-Opv.kohd.[[#This Row],[Kohdentamat-tomat 1]]</f>
        <v>0</v>
      </c>
      <c r="AL131" s="204">
        <f>Opv.kohd.[[#This Row],[Työvoima-koulutus 4]]-Opv.kohd.[[#This Row],[Työvoima-koulutus 1]]</f>
        <v>0</v>
      </c>
      <c r="AM131" s="204">
        <f>Opv.kohd.[[#This Row],[Maahan-muuttajien koulutus 4]]-Opv.kohd.[[#This Row],[Maahan-muuttajien koulutus 1]]</f>
        <v>0</v>
      </c>
      <c r="AN131" s="204">
        <f>Opv.kohd.[[#This Row],[Nuorisotyöt. väh. ja osaamistarp. vast., muu kuin työvoima-koulutus 4]]-Opv.kohd.[[#This Row],[Nuorisotyöt. väh. ja osaamistarp. vast., muu kuin työvoima-koulutus 1]]</f>
        <v>0</v>
      </c>
      <c r="AO131" s="204">
        <f>Opv.kohd.[[#This Row],[Nuorisotyöt. väh. ja osaamistarp. vast., työvoima-koulutus 4]]-Opv.kohd.[[#This Row],[Nuorisotyöt. väh. ja osaamistarp. vast., työvoima-koulutus 1]]</f>
        <v>0</v>
      </c>
      <c r="AP131" s="204">
        <f>Opv.kohd.[[#This Row],[Yhteensä 4]]-Opv.kohd.[[#This Row],[Yhteensä  1]]</f>
        <v>0</v>
      </c>
      <c r="AQ131" s="204">
        <f>Opv.kohd.[[#This Row],[Ensikertaisella suoritepäätöksellä jaetut tavoitteelliset opiskelijavuodet yhteensä 4]]-Opv.kohd.[[#This Row],[Ensikertaisella suoritepäätöksellä jaetut tavoitteelliset opiskelijavuodet yhteensä 1]]</f>
        <v>0</v>
      </c>
      <c r="AR131" s="208">
        <f>IFERROR(Opv.kohd.[[#This Row],[Järjestämisluvan mukaiset 5]]/Opv.kohd.[[#This Row],[Järjestämisluvan mukaiset 4]],0)</f>
        <v>0</v>
      </c>
      <c r="AS131" s="208">
        <f>IFERROR(Opv.kohd.[[#This Row],[Kohdentamat-tomat 5]]/Opv.kohd.[[#This Row],[Kohdentamat-tomat 4]],0)</f>
        <v>0</v>
      </c>
      <c r="AT131" s="208">
        <f>IFERROR(Opv.kohd.[[#This Row],[Työvoima-koulutus 5]]/Opv.kohd.[[#This Row],[Työvoima-koulutus 4]],0)</f>
        <v>0</v>
      </c>
      <c r="AU131" s="208">
        <f>IFERROR(Opv.kohd.[[#This Row],[Maahan-muuttajien koulutus 5]]/Opv.kohd.[[#This Row],[Maahan-muuttajien koulutus 4]],0)</f>
        <v>0</v>
      </c>
      <c r="AV131" s="208">
        <f>IFERROR(Opv.kohd.[[#This Row],[Nuorisotyöt. väh. ja osaamistarp. vast., muu kuin työvoima-koulutus 5]]/Opv.kohd.[[#This Row],[Nuorisotyöt. väh. ja osaamistarp. vast., muu kuin työvoima-koulutus 4]],0)</f>
        <v>0</v>
      </c>
      <c r="AW131" s="208">
        <f>IFERROR(Opv.kohd.[[#This Row],[Nuorisotyöt. väh. ja osaamistarp. vast., työvoima-koulutus 5]]/Opv.kohd.[[#This Row],[Nuorisotyöt. väh. ja osaamistarp. vast., työvoima-koulutus 4]],0)</f>
        <v>0</v>
      </c>
      <c r="AX131" s="208">
        <f>IFERROR(Opv.kohd.[[#This Row],[Yhteensä 5]]/Opv.kohd.[[#This Row],[Yhteensä 4]],0)</f>
        <v>0</v>
      </c>
      <c r="AY131" s="208">
        <f>IFERROR(Opv.kohd.[[#This Row],[Ensikertaisella suoritepäätöksellä jaetut tavoitteelliset opiskelijavuodet yhteensä 5]]/Opv.kohd.[[#This Row],[Ensikertaisella suoritepäätöksellä jaetut tavoitteelliset opiskelijavuodet yhteensä 4]],0)</f>
        <v>0</v>
      </c>
      <c r="AZ131" s="207">
        <f>Opv.kohd.[[#This Row],[Yhteensä 7a]]-Opv.kohd.[[#This Row],[Työvoima-koulutus 7a]]</f>
        <v>0</v>
      </c>
      <c r="BA131" s="207">
        <f>IFERROR(VLOOKUP(Opv.kohd.[[#This Row],[Y-tunnus]],#REF!,COLUMN(#REF!),FALSE),0)</f>
        <v>0</v>
      </c>
      <c r="BB131" s="207">
        <f>IFERROR(VLOOKUP(Opv.kohd.[[#This Row],[Y-tunnus]],#REF!,COLUMN(#REF!),FALSE),0)</f>
        <v>0</v>
      </c>
      <c r="BC131" s="207">
        <f>Opv.kohd.[[#This Row],[Muu kuin työvoima-koulutus 7c]]-Opv.kohd.[[#This Row],[Muu kuin työvoima-koulutus 7a]]</f>
        <v>0</v>
      </c>
      <c r="BD131" s="207">
        <f>Opv.kohd.[[#This Row],[Työvoima-koulutus 7c]]-Opv.kohd.[[#This Row],[Työvoima-koulutus 7a]]</f>
        <v>0</v>
      </c>
      <c r="BE131" s="207">
        <f>Opv.kohd.[[#This Row],[Yhteensä 7c]]-Opv.kohd.[[#This Row],[Yhteensä 7a]]</f>
        <v>0</v>
      </c>
      <c r="BF131" s="207">
        <f>Opv.kohd.[[#This Row],[Yhteensä 7c]]-Opv.kohd.[[#This Row],[Työvoima-koulutus 7c]]</f>
        <v>0</v>
      </c>
      <c r="BG131" s="207">
        <f>IFERROR(VLOOKUP(Opv.kohd.[[#This Row],[Y-tunnus]],#REF!,COLUMN(#REF!),FALSE),0)</f>
        <v>0</v>
      </c>
      <c r="BH131" s="207">
        <f>IFERROR(VLOOKUP(Opv.kohd.[[#This Row],[Y-tunnus]],#REF!,COLUMN(#REF!),FALSE),0)</f>
        <v>0</v>
      </c>
      <c r="BI131" s="207">
        <f>IFERROR(VLOOKUP(Opv.kohd.[[#This Row],[Y-tunnus]],#REF!,COLUMN(#REF!),FALSE),0)</f>
        <v>0</v>
      </c>
      <c r="BJ131" s="207">
        <f>IFERROR(VLOOKUP(Opv.kohd.[[#This Row],[Y-tunnus]],#REF!,COLUMN(#REF!),FALSE),0)</f>
        <v>0</v>
      </c>
      <c r="BK131" s="207">
        <f>Opv.kohd.[[#This Row],[Muu kuin työvoima-koulutus 7d]]+Opv.kohd.[[#This Row],[Työvoima-koulutus 7d]]</f>
        <v>0</v>
      </c>
      <c r="BL131" s="207">
        <f>Opv.kohd.[[#This Row],[Muu kuin työvoima-koulutus 7c]]-Opv.kohd.[[#This Row],[Muu kuin työvoima-koulutus 7d]]</f>
        <v>0</v>
      </c>
      <c r="BM131" s="207">
        <f>Opv.kohd.[[#This Row],[Työvoima-koulutus 7c]]-Opv.kohd.[[#This Row],[Työvoima-koulutus 7d]]</f>
        <v>0</v>
      </c>
      <c r="BN131" s="207">
        <f>Opv.kohd.[[#This Row],[Yhteensä 7c]]-Opv.kohd.[[#This Row],[Yhteensä 7d]]</f>
        <v>0</v>
      </c>
      <c r="BO131" s="207">
        <f>Opv.kohd.[[#This Row],[Muu kuin työvoima-koulutus 7e]]-(Opv.kohd.[[#This Row],[Järjestämisluvan mukaiset 4]]+Opv.kohd.[[#This Row],[Kohdentamat-tomat 4]]+Opv.kohd.[[#This Row],[Maahan-muuttajien koulutus 4]]+Opv.kohd.[[#This Row],[Nuorisotyöt. väh. ja osaamistarp. vast., muu kuin työvoima-koulutus 4]])</f>
        <v>0</v>
      </c>
      <c r="BP131" s="207">
        <f>Opv.kohd.[[#This Row],[Työvoima-koulutus 7e]]-(Opv.kohd.[[#This Row],[Työvoima-koulutus 4]]+Opv.kohd.[[#This Row],[Nuorisotyöt. väh. ja osaamistarp. vast., työvoima-koulutus 4]])</f>
        <v>0</v>
      </c>
      <c r="BQ131" s="207">
        <f>Opv.kohd.[[#This Row],[Yhteensä 7e]]-Opv.kohd.[[#This Row],[Ensikertaisella suoritepäätöksellä jaetut tavoitteelliset opiskelijavuodet yhteensä 4]]</f>
        <v>0</v>
      </c>
      <c r="BR131" s="263">
        <v>218</v>
      </c>
      <c r="BS131" s="263">
        <v>66</v>
      </c>
      <c r="BT131" s="263">
        <v>0</v>
      </c>
      <c r="BU131" s="263">
        <v>0</v>
      </c>
      <c r="BV131" s="263">
        <v>0</v>
      </c>
      <c r="BW131" s="263">
        <v>0</v>
      </c>
      <c r="BX131" s="263">
        <v>66</v>
      </c>
      <c r="BY131" s="263">
        <v>284</v>
      </c>
      <c r="BZ131" s="207">
        <f t="shared" si="17"/>
        <v>218</v>
      </c>
      <c r="CA131" s="207">
        <f t="shared" si="18"/>
        <v>66</v>
      </c>
      <c r="CB131" s="207">
        <f t="shared" si="19"/>
        <v>0</v>
      </c>
      <c r="CC131" s="207">
        <f t="shared" si="20"/>
        <v>0</v>
      </c>
      <c r="CD131" s="207">
        <f t="shared" si="21"/>
        <v>0</v>
      </c>
      <c r="CE131" s="207">
        <f t="shared" si="22"/>
        <v>0</v>
      </c>
      <c r="CF131" s="207">
        <f t="shared" si="23"/>
        <v>66</v>
      </c>
      <c r="CG131" s="207">
        <f t="shared" si="24"/>
        <v>284</v>
      </c>
      <c r="CH131" s="207">
        <f>Opv.kohd.[[#This Row],[Tavoitteelliset opiskelijavuodet yhteensä 9]]-Opv.kohd.[[#This Row],[Työvoima-koulutus 9]]-Opv.kohd.[[#This Row],[Nuorisotyöt. väh. ja osaamistarp. vast., työvoima-koulutus 9]]-Opv.kohd.[[#This Row],[Muu kuin työvoima-koulutus 7e]]</f>
        <v>284</v>
      </c>
      <c r="CI131" s="207">
        <f>(Opv.kohd.[[#This Row],[Työvoima-koulutus 9]]+Opv.kohd.[[#This Row],[Nuorisotyöt. väh. ja osaamistarp. vast., työvoima-koulutus 9]])-Opv.kohd.[[#This Row],[Työvoima-koulutus 7e]]</f>
        <v>0</v>
      </c>
      <c r="CJ131" s="207">
        <f>Opv.kohd.[[#This Row],[Tavoitteelliset opiskelijavuodet yhteensä 9]]-Opv.kohd.[[#This Row],[Yhteensä 7e]]</f>
        <v>284</v>
      </c>
      <c r="CK131" s="207">
        <f>Opv.kohd.[[#This Row],[Järjestämisluvan mukaiset 4]]+Opv.kohd.[[#This Row],[Järjestämisluvan mukaiset 13]]</f>
        <v>0</v>
      </c>
      <c r="CL131" s="207">
        <f>Opv.kohd.[[#This Row],[Kohdentamat-tomat 4]]+Opv.kohd.[[#This Row],[Kohdentamat-tomat 13]]</f>
        <v>0</v>
      </c>
      <c r="CM131" s="207">
        <f>Opv.kohd.[[#This Row],[Työvoima-koulutus 4]]+Opv.kohd.[[#This Row],[Työvoima-koulutus 13]]</f>
        <v>0</v>
      </c>
      <c r="CN131" s="207">
        <f>Opv.kohd.[[#This Row],[Maahan-muuttajien koulutus 4]]+Opv.kohd.[[#This Row],[Maahan-muuttajien koulutus 13]]</f>
        <v>0</v>
      </c>
      <c r="CO131" s="207">
        <f>Opv.kohd.[[#This Row],[Nuorisotyöt. väh. ja osaamistarp. vast., muu kuin työvoima-koulutus 4]]+Opv.kohd.[[#This Row],[Nuorisotyöt. väh. ja osaamistarp. vast., muu kuin työvoima-koulutus 13]]</f>
        <v>0</v>
      </c>
      <c r="CP131" s="207">
        <f>Opv.kohd.[[#This Row],[Nuorisotyöt. väh. ja osaamistarp. vast., työvoima-koulutus 4]]+Opv.kohd.[[#This Row],[Nuorisotyöt. väh. ja osaamistarp. vast., työvoima-koulutus 13]]</f>
        <v>0</v>
      </c>
      <c r="CQ131" s="207">
        <f>Opv.kohd.[[#This Row],[Yhteensä 4]]+Opv.kohd.[[#This Row],[Yhteensä 13]]</f>
        <v>0</v>
      </c>
      <c r="CR131" s="207">
        <f>Opv.kohd.[[#This Row],[Ensikertaisella suoritepäätöksellä jaetut tavoitteelliset opiskelijavuodet yhteensä 4]]+Opv.kohd.[[#This Row],[Tavoitteelliset opiskelijavuodet yhteensä 13]]</f>
        <v>0</v>
      </c>
      <c r="CS131" s="120">
        <v>0</v>
      </c>
      <c r="CT131" s="120">
        <v>0</v>
      </c>
      <c r="CU131" s="120">
        <v>0</v>
      </c>
      <c r="CV131" s="120">
        <v>0</v>
      </c>
      <c r="CW131" s="120">
        <v>0</v>
      </c>
      <c r="CX131" s="120">
        <v>0</v>
      </c>
      <c r="CY131" s="120">
        <v>0</v>
      </c>
      <c r="CZ131" s="120">
        <v>0</v>
      </c>
      <c r="DA131" s="209">
        <f>IFERROR(Opv.kohd.[[#This Row],[Järjestämisluvan mukaiset 13]]/Opv.kohd.[[#This Row],[Järjestämisluvan mukaiset 12]],0)</f>
        <v>0</v>
      </c>
      <c r="DB131" s="209">
        <f>IFERROR(Opv.kohd.[[#This Row],[Kohdentamat-tomat 13]]/Opv.kohd.[[#This Row],[Kohdentamat-tomat 12]],0)</f>
        <v>0</v>
      </c>
      <c r="DC131" s="209">
        <f>IFERROR(Opv.kohd.[[#This Row],[Työvoima-koulutus 13]]/Opv.kohd.[[#This Row],[Työvoima-koulutus 12]],0)</f>
        <v>0</v>
      </c>
      <c r="DD131" s="209">
        <f>IFERROR(Opv.kohd.[[#This Row],[Maahan-muuttajien koulutus 13]]/Opv.kohd.[[#This Row],[Maahan-muuttajien koulutus 12]],0)</f>
        <v>0</v>
      </c>
      <c r="DE131" s="209">
        <f>IFERROR(Opv.kohd.[[#This Row],[Nuorisotyöt. väh. ja osaamistarp. vast., muu kuin työvoima-koulutus 13]]/Opv.kohd.[[#This Row],[Nuorisotyöt. väh. ja osaamistarp. vast., muu kuin työvoima-koulutus 12]],0)</f>
        <v>0</v>
      </c>
      <c r="DF131" s="209">
        <f>IFERROR(Opv.kohd.[[#This Row],[Nuorisotyöt. väh. ja osaamistarp. vast., työvoima-koulutus 13]]/Opv.kohd.[[#This Row],[Nuorisotyöt. väh. ja osaamistarp. vast., työvoima-koulutus 12]],0)</f>
        <v>0</v>
      </c>
      <c r="DG131" s="209">
        <f>IFERROR(Opv.kohd.[[#This Row],[Yhteensä 13]]/Opv.kohd.[[#This Row],[Yhteensä 12]],0)</f>
        <v>0</v>
      </c>
      <c r="DH131" s="209">
        <f>IFERROR(Opv.kohd.[[#This Row],[Tavoitteelliset opiskelijavuodet yhteensä 13]]/Opv.kohd.[[#This Row],[Tavoitteelliset opiskelijavuodet yhteensä 12]],0)</f>
        <v>0</v>
      </c>
      <c r="DI131" s="207">
        <f>Opv.kohd.[[#This Row],[Järjestämisluvan mukaiset 12]]-Opv.kohd.[[#This Row],[Järjestämisluvan mukaiset 9]]</f>
        <v>-218</v>
      </c>
      <c r="DJ131" s="207">
        <f>Opv.kohd.[[#This Row],[Kohdentamat-tomat 12]]-Opv.kohd.[[#This Row],[Kohdentamat-tomat 9]]</f>
        <v>-66</v>
      </c>
      <c r="DK131" s="207">
        <f>Opv.kohd.[[#This Row],[Työvoima-koulutus 12]]-Opv.kohd.[[#This Row],[Työvoima-koulutus 9]]</f>
        <v>0</v>
      </c>
      <c r="DL131" s="207">
        <f>Opv.kohd.[[#This Row],[Maahan-muuttajien koulutus 12]]-Opv.kohd.[[#This Row],[Maahan-muuttajien koulutus 9]]</f>
        <v>0</v>
      </c>
      <c r="DM131" s="207">
        <f>Opv.kohd.[[#This Row],[Nuorisotyöt. väh. ja osaamistarp. vast., muu kuin työvoima-koulutus 12]]-Opv.kohd.[[#This Row],[Nuorisotyöt. väh. ja osaamistarp. vast., muu kuin työvoima-koulutus 9]]</f>
        <v>0</v>
      </c>
      <c r="DN131" s="207">
        <f>Opv.kohd.[[#This Row],[Nuorisotyöt. väh. ja osaamistarp. vast., työvoima-koulutus 12]]-Opv.kohd.[[#This Row],[Nuorisotyöt. väh. ja osaamistarp. vast., työvoima-koulutus 9]]</f>
        <v>0</v>
      </c>
      <c r="DO131" s="207">
        <f>Opv.kohd.[[#This Row],[Yhteensä 12]]-Opv.kohd.[[#This Row],[Yhteensä 9]]</f>
        <v>-66</v>
      </c>
      <c r="DP131" s="207">
        <f>Opv.kohd.[[#This Row],[Tavoitteelliset opiskelijavuodet yhteensä 12]]-Opv.kohd.[[#This Row],[Tavoitteelliset opiskelijavuodet yhteensä 9]]</f>
        <v>-284</v>
      </c>
      <c r="DQ131" s="209">
        <f>IFERROR(Opv.kohd.[[#This Row],[Järjestämisluvan mukaiset 15]]/Opv.kohd.[[#This Row],[Järjestämisluvan mukaiset 9]],0)</f>
        <v>-1</v>
      </c>
      <c r="DR131" s="209">
        <f t="shared" si="25"/>
        <v>0</v>
      </c>
      <c r="DS131" s="209">
        <f t="shared" si="26"/>
        <v>0</v>
      </c>
      <c r="DT131" s="209">
        <f t="shared" si="27"/>
        <v>0</v>
      </c>
      <c r="DU131" s="209">
        <f t="shared" si="28"/>
        <v>0</v>
      </c>
      <c r="DV131" s="209">
        <f t="shared" si="29"/>
        <v>0</v>
      </c>
      <c r="DW131" s="209">
        <f t="shared" si="30"/>
        <v>0</v>
      </c>
      <c r="DX131" s="209">
        <f t="shared" si="31"/>
        <v>0</v>
      </c>
    </row>
    <row r="132" spans="1:128" x14ac:dyDescent="0.25">
      <c r="A132" s="204" t="e">
        <f>IF(INDEX(#REF!,ROW(132:132)-1,1)=0,"",INDEX(#REF!,ROW(132:132)-1,1))</f>
        <v>#REF!</v>
      </c>
      <c r="B132" s="205" t="str">
        <f>IFERROR(VLOOKUP(Opv.kohd.[[#This Row],[Y-tunnus]],'0 Järjestäjätiedot'!$A:$H,2,FALSE),"")</f>
        <v/>
      </c>
      <c r="C132" s="204" t="str">
        <f>IFERROR(VLOOKUP(Opv.kohd.[[#This Row],[Y-tunnus]],'0 Järjestäjätiedot'!$A:$H,COLUMN('0 Järjestäjätiedot'!D:D),FALSE),"")</f>
        <v/>
      </c>
      <c r="D132" s="204" t="str">
        <f>IFERROR(VLOOKUP(Opv.kohd.[[#This Row],[Y-tunnus]],'0 Järjestäjätiedot'!$A:$H,COLUMN('0 Järjestäjätiedot'!H:H),FALSE),"")</f>
        <v/>
      </c>
      <c r="E132" s="204">
        <f>IFERROR(VLOOKUP(Opv.kohd.[[#This Row],[Y-tunnus]],#REF!,COLUMN(#REF!),FALSE),0)</f>
        <v>0</v>
      </c>
      <c r="F132" s="204">
        <f>IFERROR(VLOOKUP(Opv.kohd.[[#This Row],[Y-tunnus]],#REF!,COLUMN(#REF!),FALSE),0)</f>
        <v>0</v>
      </c>
      <c r="G132" s="204">
        <f>IFERROR(VLOOKUP(Opv.kohd.[[#This Row],[Y-tunnus]],#REF!,COLUMN(#REF!),FALSE),0)</f>
        <v>0</v>
      </c>
      <c r="H132" s="204">
        <f>IFERROR(VLOOKUP(Opv.kohd.[[#This Row],[Y-tunnus]],#REF!,COLUMN(#REF!),FALSE),0)</f>
        <v>0</v>
      </c>
      <c r="I132" s="204">
        <f>IFERROR(VLOOKUP(Opv.kohd.[[#This Row],[Y-tunnus]],#REF!,COLUMN(#REF!),FALSE),0)</f>
        <v>0</v>
      </c>
      <c r="J132" s="204">
        <f>IFERROR(VLOOKUP(Opv.kohd.[[#This Row],[Y-tunnus]],#REF!,COLUMN(#REF!),FALSE),0)</f>
        <v>0</v>
      </c>
      <c r="K13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32" s="204">
        <f>Opv.kohd.[[#This Row],[Järjestämisluvan mukaiset 1]]+Opv.kohd.[[#This Row],[Yhteensä  1]]</f>
        <v>0</v>
      </c>
      <c r="M132" s="204">
        <f>IFERROR(VLOOKUP(Opv.kohd.[[#This Row],[Y-tunnus]],#REF!,COLUMN(#REF!),FALSE),0)</f>
        <v>0</v>
      </c>
      <c r="N132" s="204">
        <f>IFERROR(VLOOKUP(Opv.kohd.[[#This Row],[Y-tunnus]],#REF!,COLUMN(#REF!),FALSE),0)</f>
        <v>0</v>
      </c>
      <c r="O132" s="204">
        <f>IFERROR(VLOOKUP(Opv.kohd.[[#This Row],[Y-tunnus]],#REF!,COLUMN(#REF!),FALSE)+VLOOKUP(Opv.kohd.[[#This Row],[Y-tunnus]],#REF!,COLUMN(#REF!),FALSE),0)</f>
        <v>0</v>
      </c>
      <c r="P132" s="204">
        <f>Opv.kohd.[[#This Row],[Talousarvion perusteella kohdentamattomat]]+Opv.kohd.[[#This Row],[Talousarvion perusteella työvoimakoulutus 1]]+Opv.kohd.[[#This Row],[Lisätalousarvioiden perusteella]]</f>
        <v>0</v>
      </c>
      <c r="Q132" s="204">
        <f>IFERROR(VLOOKUP(Opv.kohd.[[#This Row],[Y-tunnus]],#REF!,COLUMN(#REF!),FALSE),0)</f>
        <v>0</v>
      </c>
      <c r="R132" s="210">
        <f>IFERROR(VLOOKUP(Opv.kohd.[[#This Row],[Y-tunnus]],#REF!,COLUMN(#REF!),FALSE)-(Opv.kohd.[[#This Row],[Kohdentamaton työvoima-koulutus 2]]+Opv.kohd.[[#This Row],[Maahan-muuttajien koulutus 2]]+Opv.kohd.[[#This Row],[Lisätalousarvioiden perusteella jaetut 2]]),0)</f>
        <v>0</v>
      </c>
      <c r="S132" s="210">
        <f>IFERROR(VLOOKUP(Opv.kohd.[[#This Row],[Y-tunnus]],#REF!,COLUMN(#REF!),FALSE)+VLOOKUP(Opv.kohd.[[#This Row],[Y-tunnus]],#REF!,COLUMN(#REF!),FALSE),0)</f>
        <v>0</v>
      </c>
      <c r="T132" s="210">
        <f>IFERROR(VLOOKUP(Opv.kohd.[[#This Row],[Y-tunnus]],#REF!,COLUMN(#REF!),FALSE)+VLOOKUP(Opv.kohd.[[#This Row],[Y-tunnus]],#REF!,COLUMN(#REF!),FALSE),0)</f>
        <v>0</v>
      </c>
      <c r="U13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32" s="210">
        <f>Opv.kohd.[[#This Row],[Kohdentamat-tomat 2]]+Opv.kohd.[[#This Row],[Kohdentamaton työvoima-koulutus 2]]+Opv.kohd.[[#This Row],[Maahan-muuttajien koulutus 2]]+Opv.kohd.[[#This Row],[Lisätalousarvioiden perusteella jaetut 2]]</f>
        <v>0</v>
      </c>
      <c r="W132" s="210">
        <f>Opv.kohd.[[#This Row],[Kohdentamat-tomat 2]]-(Opv.kohd.[[#This Row],[Järjestämisluvan mukaiset 1]]+Opv.kohd.[[#This Row],[Kohdentamat-tomat 1]]+Opv.kohd.[[#This Row],[Nuorisotyöt. väh. ja osaamistarp. vast., muu kuin työvoima-koulutus 1]]+Opv.kohd.[[#This Row],[Talousarvion perusteella kohdentamattomat]])</f>
        <v>0</v>
      </c>
      <c r="X132" s="210">
        <f>Opv.kohd.[[#This Row],[Kohdentamaton työvoima-koulutus 2]]-(Opv.kohd.[[#This Row],[Työvoima-koulutus 1]]+Opv.kohd.[[#This Row],[Nuorisotyöt. väh. ja osaamistarp. vast., työvoima-koulutus 1]]+Opv.kohd.[[#This Row],[Talousarvion perusteella työvoimakoulutus 1]])</f>
        <v>0</v>
      </c>
      <c r="Y132" s="210">
        <f>Opv.kohd.[[#This Row],[Maahan-muuttajien koulutus 2]]-Opv.kohd.[[#This Row],[Maahan-muuttajien koulutus 1]]</f>
        <v>0</v>
      </c>
      <c r="Z132" s="210">
        <f>Opv.kohd.[[#This Row],[Lisätalousarvioiden perusteella jaetut 2]]-Opv.kohd.[[#This Row],[Lisätalousarvioiden perusteella]]</f>
        <v>0</v>
      </c>
      <c r="AA132" s="210">
        <f>Opv.kohd.[[#This Row],[Toteutuneet opiskelijavuodet yhteensä 2]]-Opv.kohd.[[#This Row],[Vuoden 2018 tavoitteelliset opiskelijavuodet yhteensä 1]]</f>
        <v>0</v>
      </c>
      <c r="AB132" s="207">
        <f>IFERROR(VLOOKUP(Opv.kohd.[[#This Row],[Y-tunnus]],#REF!,3,FALSE),0)</f>
        <v>0</v>
      </c>
      <c r="AC132" s="207">
        <f>IFERROR(VLOOKUP(Opv.kohd.[[#This Row],[Y-tunnus]],#REF!,4,FALSE),0)</f>
        <v>0</v>
      </c>
      <c r="AD132" s="207">
        <f>IFERROR(VLOOKUP(Opv.kohd.[[#This Row],[Y-tunnus]],#REF!,5,FALSE),0)</f>
        <v>0</v>
      </c>
      <c r="AE132" s="207">
        <f>IFERROR(VLOOKUP(Opv.kohd.[[#This Row],[Y-tunnus]],#REF!,6,FALSE),0)</f>
        <v>0</v>
      </c>
      <c r="AF132" s="207">
        <f>IFERROR(VLOOKUP(Opv.kohd.[[#This Row],[Y-tunnus]],#REF!,7,FALSE),0)</f>
        <v>0</v>
      </c>
      <c r="AG132" s="207">
        <f>IFERROR(VLOOKUP(Opv.kohd.[[#This Row],[Y-tunnus]],#REF!,8,FALSE),0)</f>
        <v>0</v>
      </c>
      <c r="AH132" s="207">
        <f>IFERROR(VLOOKUP(Opv.kohd.[[#This Row],[Y-tunnus]],#REF!,9,FALSE),0)</f>
        <v>0</v>
      </c>
      <c r="AI132" s="207">
        <f>IFERROR(VLOOKUP(Opv.kohd.[[#This Row],[Y-tunnus]],#REF!,10,FALSE),0)</f>
        <v>0</v>
      </c>
      <c r="AJ132" s="204">
        <f>Opv.kohd.[[#This Row],[Järjestämisluvan mukaiset 4]]-Opv.kohd.[[#This Row],[Järjestämisluvan mukaiset 1]]</f>
        <v>0</v>
      </c>
      <c r="AK132" s="204">
        <f>Opv.kohd.[[#This Row],[Kohdentamat-tomat 4]]-Opv.kohd.[[#This Row],[Kohdentamat-tomat 1]]</f>
        <v>0</v>
      </c>
      <c r="AL132" s="204">
        <f>Opv.kohd.[[#This Row],[Työvoima-koulutus 4]]-Opv.kohd.[[#This Row],[Työvoima-koulutus 1]]</f>
        <v>0</v>
      </c>
      <c r="AM132" s="204">
        <f>Opv.kohd.[[#This Row],[Maahan-muuttajien koulutus 4]]-Opv.kohd.[[#This Row],[Maahan-muuttajien koulutus 1]]</f>
        <v>0</v>
      </c>
      <c r="AN132" s="204">
        <f>Opv.kohd.[[#This Row],[Nuorisotyöt. väh. ja osaamistarp. vast., muu kuin työvoima-koulutus 4]]-Opv.kohd.[[#This Row],[Nuorisotyöt. väh. ja osaamistarp. vast., muu kuin työvoima-koulutus 1]]</f>
        <v>0</v>
      </c>
      <c r="AO132" s="204">
        <f>Opv.kohd.[[#This Row],[Nuorisotyöt. väh. ja osaamistarp. vast., työvoima-koulutus 4]]-Opv.kohd.[[#This Row],[Nuorisotyöt. väh. ja osaamistarp. vast., työvoima-koulutus 1]]</f>
        <v>0</v>
      </c>
      <c r="AP132" s="204">
        <f>Opv.kohd.[[#This Row],[Yhteensä 4]]-Opv.kohd.[[#This Row],[Yhteensä  1]]</f>
        <v>0</v>
      </c>
      <c r="AQ132" s="204">
        <f>Opv.kohd.[[#This Row],[Ensikertaisella suoritepäätöksellä jaetut tavoitteelliset opiskelijavuodet yhteensä 4]]-Opv.kohd.[[#This Row],[Ensikertaisella suoritepäätöksellä jaetut tavoitteelliset opiskelijavuodet yhteensä 1]]</f>
        <v>0</v>
      </c>
      <c r="AR132" s="208">
        <f>IFERROR(Opv.kohd.[[#This Row],[Järjestämisluvan mukaiset 5]]/Opv.kohd.[[#This Row],[Järjestämisluvan mukaiset 4]],0)</f>
        <v>0</v>
      </c>
      <c r="AS132" s="208">
        <f>IFERROR(Opv.kohd.[[#This Row],[Kohdentamat-tomat 5]]/Opv.kohd.[[#This Row],[Kohdentamat-tomat 4]],0)</f>
        <v>0</v>
      </c>
      <c r="AT132" s="208">
        <f>IFERROR(Opv.kohd.[[#This Row],[Työvoima-koulutus 5]]/Opv.kohd.[[#This Row],[Työvoima-koulutus 4]],0)</f>
        <v>0</v>
      </c>
      <c r="AU132" s="208">
        <f>IFERROR(Opv.kohd.[[#This Row],[Maahan-muuttajien koulutus 5]]/Opv.kohd.[[#This Row],[Maahan-muuttajien koulutus 4]],0)</f>
        <v>0</v>
      </c>
      <c r="AV132" s="208">
        <f>IFERROR(Opv.kohd.[[#This Row],[Nuorisotyöt. väh. ja osaamistarp. vast., muu kuin työvoima-koulutus 5]]/Opv.kohd.[[#This Row],[Nuorisotyöt. väh. ja osaamistarp. vast., muu kuin työvoima-koulutus 4]],0)</f>
        <v>0</v>
      </c>
      <c r="AW132" s="208">
        <f>IFERROR(Opv.kohd.[[#This Row],[Nuorisotyöt. väh. ja osaamistarp. vast., työvoima-koulutus 5]]/Opv.kohd.[[#This Row],[Nuorisotyöt. väh. ja osaamistarp. vast., työvoima-koulutus 4]],0)</f>
        <v>0</v>
      </c>
      <c r="AX132" s="208">
        <f>IFERROR(Opv.kohd.[[#This Row],[Yhteensä 5]]/Opv.kohd.[[#This Row],[Yhteensä 4]],0)</f>
        <v>0</v>
      </c>
      <c r="AY132" s="208">
        <f>IFERROR(Opv.kohd.[[#This Row],[Ensikertaisella suoritepäätöksellä jaetut tavoitteelliset opiskelijavuodet yhteensä 5]]/Opv.kohd.[[#This Row],[Ensikertaisella suoritepäätöksellä jaetut tavoitteelliset opiskelijavuodet yhteensä 4]],0)</f>
        <v>0</v>
      </c>
      <c r="AZ132" s="207">
        <f>Opv.kohd.[[#This Row],[Yhteensä 7a]]-Opv.kohd.[[#This Row],[Työvoima-koulutus 7a]]</f>
        <v>0</v>
      </c>
      <c r="BA132" s="207">
        <f>IFERROR(VLOOKUP(Opv.kohd.[[#This Row],[Y-tunnus]],#REF!,COLUMN(#REF!),FALSE),0)</f>
        <v>0</v>
      </c>
      <c r="BB132" s="207">
        <f>IFERROR(VLOOKUP(Opv.kohd.[[#This Row],[Y-tunnus]],#REF!,COLUMN(#REF!),FALSE),0)</f>
        <v>0</v>
      </c>
      <c r="BC132" s="207">
        <f>Opv.kohd.[[#This Row],[Muu kuin työvoima-koulutus 7c]]-Opv.kohd.[[#This Row],[Muu kuin työvoima-koulutus 7a]]</f>
        <v>0</v>
      </c>
      <c r="BD132" s="207">
        <f>Opv.kohd.[[#This Row],[Työvoima-koulutus 7c]]-Opv.kohd.[[#This Row],[Työvoima-koulutus 7a]]</f>
        <v>0</v>
      </c>
      <c r="BE132" s="207">
        <f>Opv.kohd.[[#This Row],[Yhteensä 7c]]-Opv.kohd.[[#This Row],[Yhteensä 7a]]</f>
        <v>0</v>
      </c>
      <c r="BF132" s="207">
        <f>Opv.kohd.[[#This Row],[Yhteensä 7c]]-Opv.kohd.[[#This Row],[Työvoima-koulutus 7c]]</f>
        <v>0</v>
      </c>
      <c r="BG132" s="207">
        <f>IFERROR(VLOOKUP(Opv.kohd.[[#This Row],[Y-tunnus]],#REF!,COLUMN(#REF!),FALSE),0)</f>
        <v>0</v>
      </c>
      <c r="BH132" s="207">
        <f>IFERROR(VLOOKUP(Opv.kohd.[[#This Row],[Y-tunnus]],#REF!,COLUMN(#REF!),FALSE),0)</f>
        <v>0</v>
      </c>
      <c r="BI132" s="207">
        <f>IFERROR(VLOOKUP(Opv.kohd.[[#This Row],[Y-tunnus]],#REF!,COLUMN(#REF!),FALSE),0)</f>
        <v>0</v>
      </c>
      <c r="BJ132" s="207">
        <f>IFERROR(VLOOKUP(Opv.kohd.[[#This Row],[Y-tunnus]],#REF!,COLUMN(#REF!),FALSE),0)</f>
        <v>0</v>
      </c>
      <c r="BK132" s="207">
        <f>Opv.kohd.[[#This Row],[Muu kuin työvoima-koulutus 7d]]+Opv.kohd.[[#This Row],[Työvoima-koulutus 7d]]</f>
        <v>0</v>
      </c>
      <c r="BL132" s="207">
        <f>Opv.kohd.[[#This Row],[Muu kuin työvoima-koulutus 7c]]-Opv.kohd.[[#This Row],[Muu kuin työvoima-koulutus 7d]]</f>
        <v>0</v>
      </c>
      <c r="BM132" s="207">
        <f>Opv.kohd.[[#This Row],[Työvoima-koulutus 7c]]-Opv.kohd.[[#This Row],[Työvoima-koulutus 7d]]</f>
        <v>0</v>
      </c>
      <c r="BN132" s="207">
        <f>Opv.kohd.[[#This Row],[Yhteensä 7c]]-Opv.kohd.[[#This Row],[Yhteensä 7d]]</f>
        <v>0</v>
      </c>
      <c r="BO132" s="207">
        <f>Opv.kohd.[[#This Row],[Muu kuin työvoima-koulutus 7e]]-(Opv.kohd.[[#This Row],[Järjestämisluvan mukaiset 4]]+Opv.kohd.[[#This Row],[Kohdentamat-tomat 4]]+Opv.kohd.[[#This Row],[Maahan-muuttajien koulutus 4]]+Opv.kohd.[[#This Row],[Nuorisotyöt. väh. ja osaamistarp. vast., muu kuin työvoima-koulutus 4]])</f>
        <v>0</v>
      </c>
      <c r="BP132" s="207">
        <f>Opv.kohd.[[#This Row],[Työvoima-koulutus 7e]]-(Opv.kohd.[[#This Row],[Työvoima-koulutus 4]]+Opv.kohd.[[#This Row],[Nuorisotyöt. väh. ja osaamistarp. vast., työvoima-koulutus 4]])</f>
        <v>0</v>
      </c>
      <c r="BQ132" s="207">
        <f>Opv.kohd.[[#This Row],[Yhteensä 7e]]-Opv.kohd.[[#This Row],[Ensikertaisella suoritepäätöksellä jaetut tavoitteelliset opiskelijavuodet yhteensä 4]]</f>
        <v>0</v>
      </c>
      <c r="BR132" s="263">
        <v>169</v>
      </c>
      <c r="BS132" s="263">
        <v>66</v>
      </c>
      <c r="BT132" s="263">
        <v>25</v>
      </c>
      <c r="BU132" s="263">
        <v>0</v>
      </c>
      <c r="BV132" s="263">
        <v>0</v>
      </c>
      <c r="BW132" s="263">
        <v>0</v>
      </c>
      <c r="BX132" s="263">
        <v>91</v>
      </c>
      <c r="BY132" s="263">
        <v>260</v>
      </c>
      <c r="BZ132" s="207">
        <f t="shared" si="17"/>
        <v>169</v>
      </c>
      <c r="CA132" s="207">
        <f t="shared" si="18"/>
        <v>66</v>
      </c>
      <c r="CB132" s="207">
        <f t="shared" si="19"/>
        <v>25</v>
      </c>
      <c r="CC132" s="207">
        <f t="shared" si="20"/>
        <v>0</v>
      </c>
      <c r="CD132" s="207">
        <f t="shared" si="21"/>
        <v>0</v>
      </c>
      <c r="CE132" s="207">
        <f t="shared" si="22"/>
        <v>0</v>
      </c>
      <c r="CF132" s="207">
        <f t="shared" si="23"/>
        <v>91</v>
      </c>
      <c r="CG132" s="207">
        <f t="shared" si="24"/>
        <v>260</v>
      </c>
      <c r="CH132" s="207">
        <f>Opv.kohd.[[#This Row],[Tavoitteelliset opiskelijavuodet yhteensä 9]]-Opv.kohd.[[#This Row],[Työvoima-koulutus 9]]-Opv.kohd.[[#This Row],[Nuorisotyöt. väh. ja osaamistarp. vast., työvoima-koulutus 9]]-Opv.kohd.[[#This Row],[Muu kuin työvoima-koulutus 7e]]</f>
        <v>235</v>
      </c>
      <c r="CI132" s="207">
        <f>(Opv.kohd.[[#This Row],[Työvoima-koulutus 9]]+Opv.kohd.[[#This Row],[Nuorisotyöt. väh. ja osaamistarp. vast., työvoima-koulutus 9]])-Opv.kohd.[[#This Row],[Työvoima-koulutus 7e]]</f>
        <v>25</v>
      </c>
      <c r="CJ132" s="207">
        <f>Opv.kohd.[[#This Row],[Tavoitteelliset opiskelijavuodet yhteensä 9]]-Opv.kohd.[[#This Row],[Yhteensä 7e]]</f>
        <v>260</v>
      </c>
      <c r="CK132" s="207">
        <f>Opv.kohd.[[#This Row],[Järjestämisluvan mukaiset 4]]+Opv.kohd.[[#This Row],[Järjestämisluvan mukaiset 13]]</f>
        <v>0</v>
      </c>
      <c r="CL132" s="207">
        <f>Opv.kohd.[[#This Row],[Kohdentamat-tomat 4]]+Opv.kohd.[[#This Row],[Kohdentamat-tomat 13]]</f>
        <v>0</v>
      </c>
      <c r="CM132" s="207">
        <f>Opv.kohd.[[#This Row],[Työvoima-koulutus 4]]+Opv.kohd.[[#This Row],[Työvoima-koulutus 13]]</f>
        <v>0</v>
      </c>
      <c r="CN132" s="207">
        <f>Opv.kohd.[[#This Row],[Maahan-muuttajien koulutus 4]]+Opv.kohd.[[#This Row],[Maahan-muuttajien koulutus 13]]</f>
        <v>0</v>
      </c>
      <c r="CO132" s="207">
        <f>Opv.kohd.[[#This Row],[Nuorisotyöt. väh. ja osaamistarp. vast., muu kuin työvoima-koulutus 4]]+Opv.kohd.[[#This Row],[Nuorisotyöt. väh. ja osaamistarp. vast., muu kuin työvoima-koulutus 13]]</f>
        <v>0</v>
      </c>
      <c r="CP132" s="207">
        <f>Opv.kohd.[[#This Row],[Nuorisotyöt. väh. ja osaamistarp. vast., työvoima-koulutus 4]]+Opv.kohd.[[#This Row],[Nuorisotyöt. väh. ja osaamistarp. vast., työvoima-koulutus 13]]</f>
        <v>0</v>
      </c>
      <c r="CQ132" s="207">
        <f>Opv.kohd.[[#This Row],[Yhteensä 4]]+Opv.kohd.[[#This Row],[Yhteensä 13]]</f>
        <v>0</v>
      </c>
      <c r="CR132" s="207">
        <f>Opv.kohd.[[#This Row],[Ensikertaisella suoritepäätöksellä jaetut tavoitteelliset opiskelijavuodet yhteensä 4]]+Opv.kohd.[[#This Row],[Tavoitteelliset opiskelijavuodet yhteensä 13]]</f>
        <v>0</v>
      </c>
      <c r="CS132" s="120">
        <v>0</v>
      </c>
      <c r="CT132" s="120">
        <v>0</v>
      </c>
      <c r="CU132" s="120">
        <v>0</v>
      </c>
      <c r="CV132" s="120">
        <v>0</v>
      </c>
      <c r="CW132" s="120">
        <v>0</v>
      </c>
      <c r="CX132" s="120">
        <v>0</v>
      </c>
      <c r="CY132" s="120">
        <v>0</v>
      </c>
      <c r="CZ132" s="120">
        <v>0</v>
      </c>
      <c r="DA132" s="209">
        <f>IFERROR(Opv.kohd.[[#This Row],[Järjestämisluvan mukaiset 13]]/Opv.kohd.[[#This Row],[Järjestämisluvan mukaiset 12]],0)</f>
        <v>0</v>
      </c>
      <c r="DB132" s="209">
        <f>IFERROR(Opv.kohd.[[#This Row],[Kohdentamat-tomat 13]]/Opv.kohd.[[#This Row],[Kohdentamat-tomat 12]],0)</f>
        <v>0</v>
      </c>
      <c r="DC132" s="209">
        <f>IFERROR(Opv.kohd.[[#This Row],[Työvoima-koulutus 13]]/Opv.kohd.[[#This Row],[Työvoima-koulutus 12]],0)</f>
        <v>0</v>
      </c>
      <c r="DD132" s="209">
        <f>IFERROR(Opv.kohd.[[#This Row],[Maahan-muuttajien koulutus 13]]/Opv.kohd.[[#This Row],[Maahan-muuttajien koulutus 12]],0)</f>
        <v>0</v>
      </c>
      <c r="DE132" s="209">
        <f>IFERROR(Opv.kohd.[[#This Row],[Nuorisotyöt. väh. ja osaamistarp. vast., muu kuin työvoima-koulutus 13]]/Opv.kohd.[[#This Row],[Nuorisotyöt. väh. ja osaamistarp. vast., muu kuin työvoima-koulutus 12]],0)</f>
        <v>0</v>
      </c>
      <c r="DF132" s="209">
        <f>IFERROR(Opv.kohd.[[#This Row],[Nuorisotyöt. väh. ja osaamistarp. vast., työvoima-koulutus 13]]/Opv.kohd.[[#This Row],[Nuorisotyöt. väh. ja osaamistarp. vast., työvoima-koulutus 12]],0)</f>
        <v>0</v>
      </c>
      <c r="DG132" s="209">
        <f>IFERROR(Opv.kohd.[[#This Row],[Yhteensä 13]]/Opv.kohd.[[#This Row],[Yhteensä 12]],0)</f>
        <v>0</v>
      </c>
      <c r="DH132" s="209">
        <f>IFERROR(Opv.kohd.[[#This Row],[Tavoitteelliset opiskelijavuodet yhteensä 13]]/Opv.kohd.[[#This Row],[Tavoitteelliset opiskelijavuodet yhteensä 12]],0)</f>
        <v>0</v>
      </c>
      <c r="DI132" s="207">
        <f>Opv.kohd.[[#This Row],[Järjestämisluvan mukaiset 12]]-Opv.kohd.[[#This Row],[Järjestämisluvan mukaiset 9]]</f>
        <v>-169</v>
      </c>
      <c r="DJ132" s="207">
        <f>Opv.kohd.[[#This Row],[Kohdentamat-tomat 12]]-Opv.kohd.[[#This Row],[Kohdentamat-tomat 9]]</f>
        <v>-66</v>
      </c>
      <c r="DK132" s="207">
        <f>Opv.kohd.[[#This Row],[Työvoima-koulutus 12]]-Opv.kohd.[[#This Row],[Työvoima-koulutus 9]]</f>
        <v>-25</v>
      </c>
      <c r="DL132" s="207">
        <f>Opv.kohd.[[#This Row],[Maahan-muuttajien koulutus 12]]-Opv.kohd.[[#This Row],[Maahan-muuttajien koulutus 9]]</f>
        <v>0</v>
      </c>
      <c r="DM132" s="207">
        <f>Opv.kohd.[[#This Row],[Nuorisotyöt. väh. ja osaamistarp. vast., muu kuin työvoima-koulutus 12]]-Opv.kohd.[[#This Row],[Nuorisotyöt. väh. ja osaamistarp. vast., muu kuin työvoima-koulutus 9]]</f>
        <v>0</v>
      </c>
      <c r="DN132" s="207">
        <f>Opv.kohd.[[#This Row],[Nuorisotyöt. väh. ja osaamistarp. vast., työvoima-koulutus 12]]-Opv.kohd.[[#This Row],[Nuorisotyöt. väh. ja osaamistarp. vast., työvoima-koulutus 9]]</f>
        <v>0</v>
      </c>
      <c r="DO132" s="207">
        <f>Opv.kohd.[[#This Row],[Yhteensä 12]]-Opv.kohd.[[#This Row],[Yhteensä 9]]</f>
        <v>-91</v>
      </c>
      <c r="DP132" s="207">
        <f>Opv.kohd.[[#This Row],[Tavoitteelliset opiskelijavuodet yhteensä 12]]-Opv.kohd.[[#This Row],[Tavoitteelliset opiskelijavuodet yhteensä 9]]</f>
        <v>-260</v>
      </c>
      <c r="DQ132" s="209">
        <f>IFERROR(Opv.kohd.[[#This Row],[Järjestämisluvan mukaiset 15]]/Opv.kohd.[[#This Row],[Järjestämisluvan mukaiset 9]],0)</f>
        <v>-1</v>
      </c>
      <c r="DR132" s="209">
        <f t="shared" si="25"/>
        <v>0</v>
      </c>
      <c r="DS132" s="209">
        <f t="shared" si="26"/>
        <v>0</v>
      </c>
      <c r="DT132" s="209">
        <f t="shared" si="27"/>
        <v>0</v>
      </c>
      <c r="DU132" s="209">
        <f t="shared" si="28"/>
        <v>0</v>
      </c>
      <c r="DV132" s="209">
        <f t="shared" si="29"/>
        <v>0</v>
      </c>
      <c r="DW132" s="209">
        <f t="shared" si="30"/>
        <v>0</v>
      </c>
      <c r="DX132" s="209">
        <f t="shared" si="31"/>
        <v>0</v>
      </c>
    </row>
    <row r="133" spans="1:128" x14ac:dyDescent="0.25">
      <c r="A133" s="204" t="e">
        <f>IF(INDEX(#REF!,ROW(133:133)-1,1)=0,"",INDEX(#REF!,ROW(133:133)-1,1))</f>
        <v>#REF!</v>
      </c>
      <c r="B133" s="205" t="str">
        <f>IFERROR(VLOOKUP(Opv.kohd.[[#This Row],[Y-tunnus]],'0 Järjestäjätiedot'!$A:$H,2,FALSE),"")</f>
        <v/>
      </c>
      <c r="C133" s="204" t="str">
        <f>IFERROR(VLOOKUP(Opv.kohd.[[#This Row],[Y-tunnus]],'0 Järjestäjätiedot'!$A:$H,COLUMN('0 Järjestäjätiedot'!D:D),FALSE),"")</f>
        <v/>
      </c>
      <c r="D133" s="204" t="str">
        <f>IFERROR(VLOOKUP(Opv.kohd.[[#This Row],[Y-tunnus]],'0 Järjestäjätiedot'!$A:$H,COLUMN('0 Järjestäjätiedot'!H:H),FALSE),"")</f>
        <v/>
      </c>
      <c r="E133" s="204">
        <f>IFERROR(VLOOKUP(Opv.kohd.[[#This Row],[Y-tunnus]],#REF!,COLUMN(#REF!),FALSE),0)</f>
        <v>0</v>
      </c>
      <c r="F133" s="204">
        <f>IFERROR(VLOOKUP(Opv.kohd.[[#This Row],[Y-tunnus]],#REF!,COLUMN(#REF!),FALSE),0)</f>
        <v>0</v>
      </c>
      <c r="G133" s="204">
        <f>IFERROR(VLOOKUP(Opv.kohd.[[#This Row],[Y-tunnus]],#REF!,COLUMN(#REF!),FALSE),0)</f>
        <v>0</v>
      </c>
      <c r="H133" s="204">
        <f>IFERROR(VLOOKUP(Opv.kohd.[[#This Row],[Y-tunnus]],#REF!,COLUMN(#REF!),FALSE),0)</f>
        <v>0</v>
      </c>
      <c r="I133" s="204">
        <f>IFERROR(VLOOKUP(Opv.kohd.[[#This Row],[Y-tunnus]],#REF!,COLUMN(#REF!),FALSE),0)</f>
        <v>0</v>
      </c>
      <c r="J133" s="204">
        <f>IFERROR(VLOOKUP(Opv.kohd.[[#This Row],[Y-tunnus]],#REF!,COLUMN(#REF!),FALSE),0)</f>
        <v>0</v>
      </c>
      <c r="K13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33" s="204">
        <f>Opv.kohd.[[#This Row],[Järjestämisluvan mukaiset 1]]+Opv.kohd.[[#This Row],[Yhteensä  1]]</f>
        <v>0</v>
      </c>
      <c r="M133" s="204">
        <f>IFERROR(VLOOKUP(Opv.kohd.[[#This Row],[Y-tunnus]],#REF!,COLUMN(#REF!),FALSE),0)</f>
        <v>0</v>
      </c>
      <c r="N133" s="204">
        <f>IFERROR(VLOOKUP(Opv.kohd.[[#This Row],[Y-tunnus]],#REF!,COLUMN(#REF!),FALSE),0)</f>
        <v>0</v>
      </c>
      <c r="O133" s="204">
        <f>IFERROR(VLOOKUP(Opv.kohd.[[#This Row],[Y-tunnus]],#REF!,COLUMN(#REF!),FALSE)+VLOOKUP(Opv.kohd.[[#This Row],[Y-tunnus]],#REF!,COLUMN(#REF!),FALSE),0)</f>
        <v>0</v>
      </c>
      <c r="P133" s="204">
        <f>Opv.kohd.[[#This Row],[Talousarvion perusteella kohdentamattomat]]+Opv.kohd.[[#This Row],[Talousarvion perusteella työvoimakoulutus 1]]+Opv.kohd.[[#This Row],[Lisätalousarvioiden perusteella]]</f>
        <v>0</v>
      </c>
      <c r="Q133" s="204">
        <f>IFERROR(VLOOKUP(Opv.kohd.[[#This Row],[Y-tunnus]],#REF!,COLUMN(#REF!),FALSE),0)</f>
        <v>0</v>
      </c>
      <c r="R133" s="210">
        <f>IFERROR(VLOOKUP(Opv.kohd.[[#This Row],[Y-tunnus]],#REF!,COLUMN(#REF!),FALSE)-(Opv.kohd.[[#This Row],[Kohdentamaton työvoima-koulutus 2]]+Opv.kohd.[[#This Row],[Maahan-muuttajien koulutus 2]]+Opv.kohd.[[#This Row],[Lisätalousarvioiden perusteella jaetut 2]]),0)</f>
        <v>0</v>
      </c>
      <c r="S133" s="210">
        <f>IFERROR(VLOOKUP(Opv.kohd.[[#This Row],[Y-tunnus]],#REF!,COLUMN(#REF!),FALSE)+VLOOKUP(Opv.kohd.[[#This Row],[Y-tunnus]],#REF!,COLUMN(#REF!),FALSE),0)</f>
        <v>0</v>
      </c>
      <c r="T133" s="210">
        <f>IFERROR(VLOOKUP(Opv.kohd.[[#This Row],[Y-tunnus]],#REF!,COLUMN(#REF!),FALSE)+VLOOKUP(Opv.kohd.[[#This Row],[Y-tunnus]],#REF!,COLUMN(#REF!),FALSE),0)</f>
        <v>0</v>
      </c>
      <c r="U13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33" s="210">
        <f>Opv.kohd.[[#This Row],[Kohdentamat-tomat 2]]+Opv.kohd.[[#This Row],[Kohdentamaton työvoima-koulutus 2]]+Opv.kohd.[[#This Row],[Maahan-muuttajien koulutus 2]]+Opv.kohd.[[#This Row],[Lisätalousarvioiden perusteella jaetut 2]]</f>
        <v>0</v>
      </c>
      <c r="W133" s="210">
        <f>Opv.kohd.[[#This Row],[Kohdentamat-tomat 2]]-(Opv.kohd.[[#This Row],[Järjestämisluvan mukaiset 1]]+Opv.kohd.[[#This Row],[Kohdentamat-tomat 1]]+Opv.kohd.[[#This Row],[Nuorisotyöt. väh. ja osaamistarp. vast., muu kuin työvoima-koulutus 1]]+Opv.kohd.[[#This Row],[Talousarvion perusteella kohdentamattomat]])</f>
        <v>0</v>
      </c>
      <c r="X133" s="210">
        <f>Opv.kohd.[[#This Row],[Kohdentamaton työvoima-koulutus 2]]-(Opv.kohd.[[#This Row],[Työvoima-koulutus 1]]+Opv.kohd.[[#This Row],[Nuorisotyöt. väh. ja osaamistarp. vast., työvoima-koulutus 1]]+Opv.kohd.[[#This Row],[Talousarvion perusteella työvoimakoulutus 1]])</f>
        <v>0</v>
      </c>
      <c r="Y133" s="210">
        <f>Opv.kohd.[[#This Row],[Maahan-muuttajien koulutus 2]]-Opv.kohd.[[#This Row],[Maahan-muuttajien koulutus 1]]</f>
        <v>0</v>
      </c>
      <c r="Z133" s="210">
        <f>Opv.kohd.[[#This Row],[Lisätalousarvioiden perusteella jaetut 2]]-Opv.kohd.[[#This Row],[Lisätalousarvioiden perusteella]]</f>
        <v>0</v>
      </c>
      <c r="AA133" s="210">
        <f>Opv.kohd.[[#This Row],[Toteutuneet opiskelijavuodet yhteensä 2]]-Opv.kohd.[[#This Row],[Vuoden 2018 tavoitteelliset opiskelijavuodet yhteensä 1]]</f>
        <v>0</v>
      </c>
      <c r="AB133" s="207">
        <f>IFERROR(VLOOKUP(Opv.kohd.[[#This Row],[Y-tunnus]],#REF!,3,FALSE),0)</f>
        <v>0</v>
      </c>
      <c r="AC133" s="207">
        <f>IFERROR(VLOOKUP(Opv.kohd.[[#This Row],[Y-tunnus]],#REF!,4,FALSE),0)</f>
        <v>0</v>
      </c>
      <c r="AD133" s="207">
        <f>IFERROR(VLOOKUP(Opv.kohd.[[#This Row],[Y-tunnus]],#REF!,5,FALSE),0)</f>
        <v>0</v>
      </c>
      <c r="AE133" s="207">
        <f>IFERROR(VLOOKUP(Opv.kohd.[[#This Row],[Y-tunnus]],#REF!,6,FALSE),0)</f>
        <v>0</v>
      </c>
      <c r="AF133" s="207">
        <f>IFERROR(VLOOKUP(Opv.kohd.[[#This Row],[Y-tunnus]],#REF!,7,FALSE),0)</f>
        <v>0</v>
      </c>
      <c r="AG133" s="207">
        <f>IFERROR(VLOOKUP(Opv.kohd.[[#This Row],[Y-tunnus]],#REF!,8,FALSE),0)</f>
        <v>0</v>
      </c>
      <c r="AH133" s="207">
        <f>IFERROR(VLOOKUP(Opv.kohd.[[#This Row],[Y-tunnus]],#REF!,9,FALSE),0)</f>
        <v>0</v>
      </c>
      <c r="AI133" s="207">
        <f>IFERROR(VLOOKUP(Opv.kohd.[[#This Row],[Y-tunnus]],#REF!,10,FALSE),0)</f>
        <v>0</v>
      </c>
      <c r="AJ133" s="204">
        <f>Opv.kohd.[[#This Row],[Järjestämisluvan mukaiset 4]]-Opv.kohd.[[#This Row],[Järjestämisluvan mukaiset 1]]</f>
        <v>0</v>
      </c>
      <c r="AK133" s="204">
        <f>Opv.kohd.[[#This Row],[Kohdentamat-tomat 4]]-Opv.kohd.[[#This Row],[Kohdentamat-tomat 1]]</f>
        <v>0</v>
      </c>
      <c r="AL133" s="204">
        <f>Opv.kohd.[[#This Row],[Työvoima-koulutus 4]]-Opv.kohd.[[#This Row],[Työvoima-koulutus 1]]</f>
        <v>0</v>
      </c>
      <c r="AM133" s="204">
        <f>Opv.kohd.[[#This Row],[Maahan-muuttajien koulutus 4]]-Opv.kohd.[[#This Row],[Maahan-muuttajien koulutus 1]]</f>
        <v>0</v>
      </c>
      <c r="AN133" s="204">
        <f>Opv.kohd.[[#This Row],[Nuorisotyöt. väh. ja osaamistarp. vast., muu kuin työvoima-koulutus 4]]-Opv.kohd.[[#This Row],[Nuorisotyöt. väh. ja osaamistarp. vast., muu kuin työvoima-koulutus 1]]</f>
        <v>0</v>
      </c>
      <c r="AO133" s="204">
        <f>Opv.kohd.[[#This Row],[Nuorisotyöt. väh. ja osaamistarp. vast., työvoima-koulutus 4]]-Opv.kohd.[[#This Row],[Nuorisotyöt. väh. ja osaamistarp. vast., työvoima-koulutus 1]]</f>
        <v>0</v>
      </c>
      <c r="AP133" s="204">
        <f>Opv.kohd.[[#This Row],[Yhteensä 4]]-Opv.kohd.[[#This Row],[Yhteensä  1]]</f>
        <v>0</v>
      </c>
      <c r="AQ133" s="204">
        <f>Opv.kohd.[[#This Row],[Ensikertaisella suoritepäätöksellä jaetut tavoitteelliset opiskelijavuodet yhteensä 4]]-Opv.kohd.[[#This Row],[Ensikertaisella suoritepäätöksellä jaetut tavoitteelliset opiskelijavuodet yhteensä 1]]</f>
        <v>0</v>
      </c>
      <c r="AR133" s="208">
        <f>IFERROR(Opv.kohd.[[#This Row],[Järjestämisluvan mukaiset 5]]/Opv.kohd.[[#This Row],[Järjestämisluvan mukaiset 4]],0)</f>
        <v>0</v>
      </c>
      <c r="AS133" s="208">
        <f>IFERROR(Opv.kohd.[[#This Row],[Kohdentamat-tomat 5]]/Opv.kohd.[[#This Row],[Kohdentamat-tomat 4]],0)</f>
        <v>0</v>
      </c>
      <c r="AT133" s="208">
        <f>IFERROR(Opv.kohd.[[#This Row],[Työvoima-koulutus 5]]/Opv.kohd.[[#This Row],[Työvoima-koulutus 4]],0)</f>
        <v>0</v>
      </c>
      <c r="AU133" s="208">
        <f>IFERROR(Opv.kohd.[[#This Row],[Maahan-muuttajien koulutus 5]]/Opv.kohd.[[#This Row],[Maahan-muuttajien koulutus 4]],0)</f>
        <v>0</v>
      </c>
      <c r="AV133" s="208">
        <f>IFERROR(Opv.kohd.[[#This Row],[Nuorisotyöt. väh. ja osaamistarp. vast., muu kuin työvoima-koulutus 5]]/Opv.kohd.[[#This Row],[Nuorisotyöt. väh. ja osaamistarp. vast., muu kuin työvoima-koulutus 4]],0)</f>
        <v>0</v>
      </c>
      <c r="AW133" s="208">
        <f>IFERROR(Opv.kohd.[[#This Row],[Nuorisotyöt. väh. ja osaamistarp. vast., työvoima-koulutus 5]]/Opv.kohd.[[#This Row],[Nuorisotyöt. väh. ja osaamistarp. vast., työvoima-koulutus 4]],0)</f>
        <v>0</v>
      </c>
      <c r="AX133" s="208">
        <f>IFERROR(Opv.kohd.[[#This Row],[Yhteensä 5]]/Opv.kohd.[[#This Row],[Yhteensä 4]],0)</f>
        <v>0</v>
      </c>
      <c r="AY133" s="208">
        <f>IFERROR(Opv.kohd.[[#This Row],[Ensikertaisella suoritepäätöksellä jaetut tavoitteelliset opiskelijavuodet yhteensä 5]]/Opv.kohd.[[#This Row],[Ensikertaisella suoritepäätöksellä jaetut tavoitteelliset opiskelijavuodet yhteensä 4]],0)</f>
        <v>0</v>
      </c>
      <c r="AZ133" s="207">
        <f>Opv.kohd.[[#This Row],[Yhteensä 7a]]-Opv.kohd.[[#This Row],[Työvoima-koulutus 7a]]</f>
        <v>0</v>
      </c>
      <c r="BA133" s="207">
        <f>IFERROR(VLOOKUP(Opv.kohd.[[#This Row],[Y-tunnus]],#REF!,COLUMN(#REF!),FALSE),0)</f>
        <v>0</v>
      </c>
      <c r="BB133" s="207">
        <f>IFERROR(VLOOKUP(Opv.kohd.[[#This Row],[Y-tunnus]],#REF!,COLUMN(#REF!),FALSE),0)</f>
        <v>0</v>
      </c>
      <c r="BC133" s="207">
        <f>Opv.kohd.[[#This Row],[Muu kuin työvoima-koulutus 7c]]-Opv.kohd.[[#This Row],[Muu kuin työvoima-koulutus 7a]]</f>
        <v>0</v>
      </c>
      <c r="BD133" s="207">
        <f>Opv.kohd.[[#This Row],[Työvoima-koulutus 7c]]-Opv.kohd.[[#This Row],[Työvoima-koulutus 7a]]</f>
        <v>0</v>
      </c>
      <c r="BE133" s="207">
        <f>Opv.kohd.[[#This Row],[Yhteensä 7c]]-Opv.kohd.[[#This Row],[Yhteensä 7a]]</f>
        <v>0</v>
      </c>
      <c r="BF133" s="207">
        <f>Opv.kohd.[[#This Row],[Yhteensä 7c]]-Opv.kohd.[[#This Row],[Työvoima-koulutus 7c]]</f>
        <v>0</v>
      </c>
      <c r="BG133" s="207">
        <f>IFERROR(VLOOKUP(Opv.kohd.[[#This Row],[Y-tunnus]],#REF!,COLUMN(#REF!),FALSE),0)</f>
        <v>0</v>
      </c>
      <c r="BH133" s="207">
        <f>IFERROR(VLOOKUP(Opv.kohd.[[#This Row],[Y-tunnus]],#REF!,COLUMN(#REF!),FALSE),0)</f>
        <v>0</v>
      </c>
      <c r="BI133" s="207">
        <f>IFERROR(VLOOKUP(Opv.kohd.[[#This Row],[Y-tunnus]],#REF!,COLUMN(#REF!),FALSE),0)</f>
        <v>0</v>
      </c>
      <c r="BJ133" s="207">
        <f>IFERROR(VLOOKUP(Opv.kohd.[[#This Row],[Y-tunnus]],#REF!,COLUMN(#REF!),FALSE),0)</f>
        <v>0</v>
      </c>
      <c r="BK133" s="207">
        <f>Opv.kohd.[[#This Row],[Muu kuin työvoima-koulutus 7d]]+Opv.kohd.[[#This Row],[Työvoima-koulutus 7d]]</f>
        <v>0</v>
      </c>
      <c r="BL133" s="207">
        <f>Opv.kohd.[[#This Row],[Muu kuin työvoima-koulutus 7c]]-Opv.kohd.[[#This Row],[Muu kuin työvoima-koulutus 7d]]</f>
        <v>0</v>
      </c>
      <c r="BM133" s="207">
        <f>Opv.kohd.[[#This Row],[Työvoima-koulutus 7c]]-Opv.kohd.[[#This Row],[Työvoima-koulutus 7d]]</f>
        <v>0</v>
      </c>
      <c r="BN133" s="207">
        <f>Opv.kohd.[[#This Row],[Yhteensä 7c]]-Opv.kohd.[[#This Row],[Yhteensä 7d]]</f>
        <v>0</v>
      </c>
      <c r="BO133" s="207">
        <f>Opv.kohd.[[#This Row],[Muu kuin työvoima-koulutus 7e]]-(Opv.kohd.[[#This Row],[Järjestämisluvan mukaiset 4]]+Opv.kohd.[[#This Row],[Kohdentamat-tomat 4]]+Opv.kohd.[[#This Row],[Maahan-muuttajien koulutus 4]]+Opv.kohd.[[#This Row],[Nuorisotyöt. väh. ja osaamistarp. vast., muu kuin työvoima-koulutus 4]])</f>
        <v>0</v>
      </c>
      <c r="BP133" s="207">
        <f>Opv.kohd.[[#This Row],[Työvoima-koulutus 7e]]-(Opv.kohd.[[#This Row],[Työvoima-koulutus 4]]+Opv.kohd.[[#This Row],[Nuorisotyöt. väh. ja osaamistarp. vast., työvoima-koulutus 4]])</f>
        <v>0</v>
      </c>
      <c r="BQ133" s="207">
        <f>Opv.kohd.[[#This Row],[Yhteensä 7e]]-Opv.kohd.[[#This Row],[Ensikertaisella suoritepäätöksellä jaetut tavoitteelliset opiskelijavuodet yhteensä 4]]</f>
        <v>0</v>
      </c>
      <c r="BR133" s="263">
        <v>488</v>
      </c>
      <c r="BS133" s="263">
        <v>100</v>
      </c>
      <c r="BT133" s="263">
        <v>160</v>
      </c>
      <c r="BU133" s="263">
        <v>30</v>
      </c>
      <c r="BV133" s="263">
        <v>30</v>
      </c>
      <c r="BW133" s="263">
        <v>30</v>
      </c>
      <c r="BX133" s="263">
        <v>350</v>
      </c>
      <c r="BY133" s="263">
        <v>838</v>
      </c>
      <c r="BZ133" s="207">
        <f t="shared" si="17"/>
        <v>488</v>
      </c>
      <c r="CA133" s="207">
        <f t="shared" si="18"/>
        <v>100</v>
      </c>
      <c r="CB133" s="207">
        <f t="shared" si="19"/>
        <v>160</v>
      </c>
      <c r="CC133" s="207">
        <f t="shared" si="20"/>
        <v>30</v>
      </c>
      <c r="CD133" s="207">
        <f t="shared" si="21"/>
        <v>30</v>
      </c>
      <c r="CE133" s="207">
        <f t="shared" si="22"/>
        <v>30</v>
      </c>
      <c r="CF133" s="207">
        <f t="shared" si="23"/>
        <v>350</v>
      </c>
      <c r="CG133" s="207">
        <f t="shared" si="24"/>
        <v>838</v>
      </c>
      <c r="CH133" s="207">
        <f>Opv.kohd.[[#This Row],[Tavoitteelliset opiskelijavuodet yhteensä 9]]-Opv.kohd.[[#This Row],[Työvoima-koulutus 9]]-Opv.kohd.[[#This Row],[Nuorisotyöt. väh. ja osaamistarp. vast., työvoima-koulutus 9]]-Opv.kohd.[[#This Row],[Muu kuin työvoima-koulutus 7e]]</f>
        <v>648</v>
      </c>
      <c r="CI133" s="207">
        <f>(Opv.kohd.[[#This Row],[Työvoima-koulutus 9]]+Opv.kohd.[[#This Row],[Nuorisotyöt. väh. ja osaamistarp. vast., työvoima-koulutus 9]])-Opv.kohd.[[#This Row],[Työvoima-koulutus 7e]]</f>
        <v>190</v>
      </c>
      <c r="CJ133" s="207">
        <f>Opv.kohd.[[#This Row],[Tavoitteelliset opiskelijavuodet yhteensä 9]]-Opv.kohd.[[#This Row],[Yhteensä 7e]]</f>
        <v>838</v>
      </c>
      <c r="CK133" s="207">
        <f>Opv.kohd.[[#This Row],[Järjestämisluvan mukaiset 4]]+Opv.kohd.[[#This Row],[Järjestämisluvan mukaiset 13]]</f>
        <v>0</v>
      </c>
      <c r="CL133" s="207">
        <f>Opv.kohd.[[#This Row],[Kohdentamat-tomat 4]]+Opv.kohd.[[#This Row],[Kohdentamat-tomat 13]]</f>
        <v>0</v>
      </c>
      <c r="CM133" s="207">
        <f>Opv.kohd.[[#This Row],[Työvoima-koulutus 4]]+Opv.kohd.[[#This Row],[Työvoima-koulutus 13]]</f>
        <v>0</v>
      </c>
      <c r="CN133" s="207">
        <f>Opv.kohd.[[#This Row],[Maahan-muuttajien koulutus 4]]+Opv.kohd.[[#This Row],[Maahan-muuttajien koulutus 13]]</f>
        <v>0</v>
      </c>
      <c r="CO133" s="207">
        <f>Opv.kohd.[[#This Row],[Nuorisotyöt. väh. ja osaamistarp. vast., muu kuin työvoima-koulutus 4]]+Opv.kohd.[[#This Row],[Nuorisotyöt. väh. ja osaamistarp. vast., muu kuin työvoima-koulutus 13]]</f>
        <v>0</v>
      </c>
      <c r="CP133" s="207">
        <f>Opv.kohd.[[#This Row],[Nuorisotyöt. väh. ja osaamistarp. vast., työvoima-koulutus 4]]+Opv.kohd.[[#This Row],[Nuorisotyöt. väh. ja osaamistarp. vast., työvoima-koulutus 13]]</f>
        <v>0</v>
      </c>
      <c r="CQ133" s="207">
        <f>Opv.kohd.[[#This Row],[Yhteensä 4]]+Opv.kohd.[[#This Row],[Yhteensä 13]]</f>
        <v>0</v>
      </c>
      <c r="CR133" s="207">
        <f>Opv.kohd.[[#This Row],[Ensikertaisella suoritepäätöksellä jaetut tavoitteelliset opiskelijavuodet yhteensä 4]]+Opv.kohd.[[#This Row],[Tavoitteelliset opiskelijavuodet yhteensä 13]]</f>
        <v>0</v>
      </c>
      <c r="CS133" s="120">
        <v>0</v>
      </c>
      <c r="CT133" s="120">
        <v>0</v>
      </c>
      <c r="CU133" s="120">
        <v>0</v>
      </c>
      <c r="CV133" s="120">
        <v>0</v>
      </c>
      <c r="CW133" s="120">
        <v>0</v>
      </c>
      <c r="CX133" s="120">
        <v>0</v>
      </c>
      <c r="CY133" s="120">
        <v>0</v>
      </c>
      <c r="CZ133" s="120">
        <v>0</v>
      </c>
      <c r="DA133" s="209">
        <f>IFERROR(Opv.kohd.[[#This Row],[Järjestämisluvan mukaiset 13]]/Opv.kohd.[[#This Row],[Järjestämisluvan mukaiset 12]],0)</f>
        <v>0</v>
      </c>
      <c r="DB133" s="209">
        <f>IFERROR(Opv.kohd.[[#This Row],[Kohdentamat-tomat 13]]/Opv.kohd.[[#This Row],[Kohdentamat-tomat 12]],0)</f>
        <v>0</v>
      </c>
      <c r="DC133" s="209">
        <f>IFERROR(Opv.kohd.[[#This Row],[Työvoima-koulutus 13]]/Opv.kohd.[[#This Row],[Työvoima-koulutus 12]],0)</f>
        <v>0</v>
      </c>
      <c r="DD133" s="209">
        <f>IFERROR(Opv.kohd.[[#This Row],[Maahan-muuttajien koulutus 13]]/Opv.kohd.[[#This Row],[Maahan-muuttajien koulutus 12]],0)</f>
        <v>0</v>
      </c>
      <c r="DE133" s="209">
        <f>IFERROR(Opv.kohd.[[#This Row],[Nuorisotyöt. väh. ja osaamistarp. vast., muu kuin työvoima-koulutus 13]]/Opv.kohd.[[#This Row],[Nuorisotyöt. väh. ja osaamistarp. vast., muu kuin työvoima-koulutus 12]],0)</f>
        <v>0</v>
      </c>
      <c r="DF133" s="209">
        <f>IFERROR(Opv.kohd.[[#This Row],[Nuorisotyöt. väh. ja osaamistarp. vast., työvoima-koulutus 13]]/Opv.kohd.[[#This Row],[Nuorisotyöt. väh. ja osaamistarp. vast., työvoima-koulutus 12]],0)</f>
        <v>0</v>
      </c>
      <c r="DG133" s="209">
        <f>IFERROR(Opv.kohd.[[#This Row],[Yhteensä 13]]/Opv.kohd.[[#This Row],[Yhteensä 12]],0)</f>
        <v>0</v>
      </c>
      <c r="DH133" s="209">
        <f>IFERROR(Opv.kohd.[[#This Row],[Tavoitteelliset opiskelijavuodet yhteensä 13]]/Opv.kohd.[[#This Row],[Tavoitteelliset opiskelijavuodet yhteensä 12]],0)</f>
        <v>0</v>
      </c>
      <c r="DI133" s="207">
        <f>Opv.kohd.[[#This Row],[Järjestämisluvan mukaiset 12]]-Opv.kohd.[[#This Row],[Järjestämisluvan mukaiset 9]]</f>
        <v>-488</v>
      </c>
      <c r="DJ133" s="207">
        <f>Opv.kohd.[[#This Row],[Kohdentamat-tomat 12]]-Opv.kohd.[[#This Row],[Kohdentamat-tomat 9]]</f>
        <v>-100</v>
      </c>
      <c r="DK133" s="207">
        <f>Opv.kohd.[[#This Row],[Työvoima-koulutus 12]]-Opv.kohd.[[#This Row],[Työvoima-koulutus 9]]</f>
        <v>-160</v>
      </c>
      <c r="DL133" s="207">
        <f>Opv.kohd.[[#This Row],[Maahan-muuttajien koulutus 12]]-Opv.kohd.[[#This Row],[Maahan-muuttajien koulutus 9]]</f>
        <v>-30</v>
      </c>
      <c r="DM133" s="207">
        <f>Opv.kohd.[[#This Row],[Nuorisotyöt. väh. ja osaamistarp. vast., muu kuin työvoima-koulutus 12]]-Opv.kohd.[[#This Row],[Nuorisotyöt. väh. ja osaamistarp. vast., muu kuin työvoima-koulutus 9]]</f>
        <v>-30</v>
      </c>
      <c r="DN133" s="207">
        <f>Opv.kohd.[[#This Row],[Nuorisotyöt. väh. ja osaamistarp. vast., työvoima-koulutus 12]]-Opv.kohd.[[#This Row],[Nuorisotyöt. väh. ja osaamistarp. vast., työvoima-koulutus 9]]</f>
        <v>-30</v>
      </c>
      <c r="DO133" s="207">
        <f>Opv.kohd.[[#This Row],[Yhteensä 12]]-Opv.kohd.[[#This Row],[Yhteensä 9]]</f>
        <v>-350</v>
      </c>
      <c r="DP133" s="207">
        <f>Opv.kohd.[[#This Row],[Tavoitteelliset opiskelijavuodet yhteensä 12]]-Opv.kohd.[[#This Row],[Tavoitteelliset opiskelijavuodet yhteensä 9]]</f>
        <v>-838</v>
      </c>
      <c r="DQ133" s="209">
        <f>IFERROR(Opv.kohd.[[#This Row],[Järjestämisluvan mukaiset 15]]/Opv.kohd.[[#This Row],[Järjestämisluvan mukaiset 9]],0)</f>
        <v>-1</v>
      </c>
      <c r="DR133" s="209">
        <f t="shared" si="25"/>
        <v>0</v>
      </c>
      <c r="DS133" s="209">
        <f t="shared" si="26"/>
        <v>0</v>
      </c>
      <c r="DT133" s="209">
        <f t="shared" si="27"/>
        <v>0</v>
      </c>
      <c r="DU133" s="209">
        <f t="shared" si="28"/>
        <v>0</v>
      </c>
      <c r="DV133" s="209">
        <f t="shared" si="29"/>
        <v>0</v>
      </c>
      <c r="DW133" s="209">
        <f t="shared" si="30"/>
        <v>0</v>
      </c>
      <c r="DX133" s="209">
        <f t="shared" si="31"/>
        <v>0</v>
      </c>
    </row>
    <row r="134" spans="1:128" x14ac:dyDescent="0.25">
      <c r="A134" s="204" t="e">
        <f>IF(INDEX(#REF!,ROW(134:134)-1,1)=0,"",INDEX(#REF!,ROW(134:134)-1,1))</f>
        <v>#REF!</v>
      </c>
      <c r="B134" s="205" t="str">
        <f>IFERROR(VLOOKUP(Opv.kohd.[[#This Row],[Y-tunnus]],'0 Järjestäjätiedot'!$A:$H,2,FALSE),"")</f>
        <v/>
      </c>
      <c r="C134" s="204" t="str">
        <f>IFERROR(VLOOKUP(Opv.kohd.[[#This Row],[Y-tunnus]],'0 Järjestäjätiedot'!$A:$H,COLUMN('0 Järjestäjätiedot'!D:D),FALSE),"")</f>
        <v/>
      </c>
      <c r="D134" s="204" t="str">
        <f>IFERROR(VLOOKUP(Opv.kohd.[[#This Row],[Y-tunnus]],'0 Järjestäjätiedot'!$A:$H,COLUMN('0 Järjestäjätiedot'!H:H),FALSE),"")</f>
        <v/>
      </c>
      <c r="E134" s="204">
        <f>IFERROR(VLOOKUP(Opv.kohd.[[#This Row],[Y-tunnus]],#REF!,COLUMN(#REF!),FALSE),0)</f>
        <v>0</v>
      </c>
      <c r="F134" s="204">
        <f>IFERROR(VLOOKUP(Opv.kohd.[[#This Row],[Y-tunnus]],#REF!,COLUMN(#REF!),FALSE),0)</f>
        <v>0</v>
      </c>
      <c r="G134" s="204">
        <f>IFERROR(VLOOKUP(Opv.kohd.[[#This Row],[Y-tunnus]],#REF!,COLUMN(#REF!),FALSE),0)</f>
        <v>0</v>
      </c>
      <c r="H134" s="204">
        <f>IFERROR(VLOOKUP(Opv.kohd.[[#This Row],[Y-tunnus]],#REF!,COLUMN(#REF!),FALSE),0)</f>
        <v>0</v>
      </c>
      <c r="I134" s="204">
        <f>IFERROR(VLOOKUP(Opv.kohd.[[#This Row],[Y-tunnus]],#REF!,COLUMN(#REF!),FALSE),0)</f>
        <v>0</v>
      </c>
      <c r="J134" s="204">
        <f>IFERROR(VLOOKUP(Opv.kohd.[[#This Row],[Y-tunnus]],#REF!,COLUMN(#REF!),FALSE),0)</f>
        <v>0</v>
      </c>
      <c r="K13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34" s="204">
        <f>Opv.kohd.[[#This Row],[Järjestämisluvan mukaiset 1]]+Opv.kohd.[[#This Row],[Yhteensä  1]]</f>
        <v>0</v>
      </c>
      <c r="M134" s="204">
        <f>IFERROR(VLOOKUP(Opv.kohd.[[#This Row],[Y-tunnus]],#REF!,COLUMN(#REF!),FALSE),0)</f>
        <v>0</v>
      </c>
      <c r="N134" s="204">
        <f>IFERROR(VLOOKUP(Opv.kohd.[[#This Row],[Y-tunnus]],#REF!,COLUMN(#REF!),FALSE),0)</f>
        <v>0</v>
      </c>
      <c r="O134" s="204">
        <f>IFERROR(VLOOKUP(Opv.kohd.[[#This Row],[Y-tunnus]],#REF!,COLUMN(#REF!),FALSE)+VLOOKUP(Opv.kohd.[[#This Row],[Y-tunnus]],#REF!,COLUMN(#REF!),FALSE),0)</f>
        <v>0</v>
      </c>
      <c r="P134" s="204">
        <f>Opv.kohd.[[#This Row],[Talousarvion perusteella kohdentamattomat]]+Opv.kohd.[[#This Row],[Talousarvion perusteella työvoimakoulutus 1]]+Opv.kohd.[[#This Row],[Lisätalousarvioiden perusteella]]</f>
        <v>0</v>
      </c>
      <c r="Q134" s="204">
        <f>IFERROR(VLOOKUP(Opv.kohd.[[#This Row],[Y-tunnus]],#REF!,COLUMN(#REF!),FALSE),0)</f>
        <v>0</v>
      </c>
      <c r="R134" s="210">
        <f>IFERROR(VLOOKUP(Opv.kohd.[[#This Row],[Y-tunnus]],#REF!,COLUMN(#REF!),FALSE)-(Opv.kohd.[[#This Row],[Kohdentamaton työvoima-koulutus 2]]+Opv.kohd.[[#This Row],[Maahan-muuttajien koulutus 2]]+Opv.kohd.[[#This Row],[Lisätalousarvioiden perusteella jaetut 2]]),0)</f>
        <v>0</v>
      </c>
      <c r="S134" s="210">
        <f>IFERROR(VLOOKUP(Opv.kohd.[[#This Row],[Y-tunnus]],#REF!,COLUMN(#REF!),FALSE)+VLOOKUP(Opv.kohd.[[#This Row],[Y-tunnus]],#REF!,COLUMN(#REF!),FALSE),0)</f>
        <v>0</v>
      </c>
      <c r="T134" s="210">
        <f>IFERROR(VLOOKUP(Opv.kohd.[[#This Row],[Y-tunnus]],#REF!,COLUMN(#REF!),FALSE)+VLOOKUP(Opv.kohd.[[#This Row],[Y-tunnus]],#REF!,COLUMN(#REF!),FALSE),0)</f>
        <v>0</v>
      </c>
      <c r="U13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34" s="210">
        <f>Opv.kohd.[[#This Row],[Kohdentamat-tomat 2]]+Opv.kohd.[[#This Row],[Kohdentamaton työvoima-koulutus 2]]+Opv.kohd.[[#This Row],[Maahan-muuttajien koulutus 2]]+Opv.kohd.[[#This Row],[Lisätalousarvioiden perusteella jaetut 2]]</f>
        <v>0</v>
      </c>
      <c r="W134" s="210">
        <f>Opv.kohd.[[#This Row],[Kohdentamat-tomat 2]]-(Opv.kohd.[[#This Row],[Järjestämisluvan mukaiset 1]]+Opv.kohd.[[#This Row],[Kohdentamat-tomat 1]]+Opv.kohd.[[#This Row],[Nuorisotyöt. väh. ja osaamistarp. vast., muu kuin työvoima-koulutus 1]]+Opv.kohd.[[#This Row],[Talousarvion perusteella kohdentamattomat]])</f>
        <v>0</v>
      </c>
      <c r="X134" s="210">
        <f>Opv.kohd.[[#This Row],[Kohdentamaton työvoima-koulutus 2]]-(Opv.kohd.[[#This Row],[Työvoima-koulutus 1]]+Opv.kohd.[[#This Row],[Nuorisotyöt. väh. ja osaamistarp. vast., työvoima-koulutus 1]]+Opv.kohd.[[#This Row],[Talousarvion perusteella työvoimakoulutus 1]])</f>
        <v>0</v>
      </c>
      <c r="Y134" s="210">
        <f>Opv.kohd.[[#This Row],[Maahan-muuttajien koulutus 2]]-Opv.kohd.[[#This Row],[Maahan-muuttajien koulutus 1]]</f>
        <v>0</v>
      </c>
      <c r="Z134" s="210">
        <f>Opv.kohd.[[#This Row],[Lisätalousarvioiden perusteella jaetut 2]]-Opv.kohd.[[#This Row],[Lisätalousarvioiden perusteella]]</f>
        <v>0</v>
      </c>
      <c r="AA134" s="210">
        <f>Opv.kohd.[[#This Row],[Toteutuneet opiskelijavuodet yhteensä 2]]-Opv.kohd.[[#This Row],[Vuoden 2018 tavoitteelliset opiskelijavuodet yhteensä 1]]</f>
        <v>0</v>
      </c>
      <c r="AB134" s="207">
        <f>IFERROR(VLOOKUP(Opv.kohd.[[#This Row],[Y-tunnus]],#REF!,3,FALSE),0)</f>
        <v>0</v>
      </c>
      <c r="AC134" s="207">
        <f>IFERROR(VLOOKUP(Opv.kohd.[[#This Row],[Y-tunnus]],#REF!,4,FALSE),0)</f>
        <v>0</v>
      </c>
      <c r="AD134" s="207">
        <f>IFERROR(VLOOKUP(Opv.kohd.[[#This Row],[Y-tunnus]],#REF!,5,FALSE),0)</f>
        <v>0</v>
      </c>
      <c r="AE134" s="207">
        <f>IFERROR(VLOOKUP(Opv.kohd.[[#This Row],[Y-tunnus]],#REF!,6,FALSE),0)</f>
        <v>0</v>
      </c>
      <c r="AF134" s="207">
        <f>IFERROR(VLOOKUP(Opv.kohd.[[#This Row],[Y-tunnus]],#REF!,7,FALSE),0)</f>
        <v>0</v>
      </c>
      <c r="AG134" s="207">
        <f>IFERROR(VLOOKUP(Opv.kohd.[[#This Row],[Y-tunnus]],#REF!,8,FALSE),0)</f>
        <v>0</v>
      </c>
      <c r="AH134" s="207">
        <f>IFERROR(VLOOKUP(Opv.kohd.[[#This Row],[Y-tunnus]],#REF!,9,FALSE),0)</f>
        <v>0</v>
      </c>
      <c r="AI134" s="207">
        <f>IFERROR(VLOOKUP(Opv.kohd.[[#This Row],[Y-tunnus]],#REF!,10,FALSE),0)</f>
        <v>0</v>
      </c>
      <c r="AJ134" s="204">
        <f>Opv.kohd.[[#This Row],[Järjestämisluvan mukaiset 4]]-Opv.kohd.[[#This Row],[Järjestämisluvan mukaiset 1]]</f>
        <v>0</v>
      </c>
      <c r="AK134" s="204">
        <f>Opv.kohd.[[#This Row],[Kohdentamat-tomat 4]]-Opv.kohd.[[#This Row],[Kohdentamat-tomat 1]]</f>
        <v>0</v>
      </c>
      <c r="AL134" s="204">
        <f>Opv.kohd.[[#This Row],[Työvoima-koulutus 4]]-Opv.kohd.[[#This Row],[Työvoima-koulutus 1]]</f>
        <v>0</v>
      </c>
      <c r="AM134" s="204">
        <f>Opv.kohd.[[#This Row],[Maahan-muuttajien koulutus 4]]-Opv.kohd.[[#This Row],[Maahan-muuttajien koulutus 1]]</f>
        <v>0</v>
      </c>
      <c r="AN134" s="204">
        <f>Opv.kohd.[[#This Row],[Nuorisotyöt. väh. ja osaamistarp. vast., muu kuin työvoima-koulutus 4]]-Opv.kohd.[[#This Row],[Nuorisotyöt. väh. ja osaamistarp. vast., muu kuin työvoima-koulutus 1]]</f>
        <v>0</v>
      </c>
      <c r="AO134" s="204">
        <f>Opv.kohd.[[#This Row],[Nuorisotyöt. väh. ja osaamistarp. vast., työvoima-koulutus 4]]-Opv.kohd.[[#This Row],[Nuorisotyöt. väh. ja osaamistarp. vast., työvoima-koulutus 1]]</f>
        <v>0</v>
      </c>
      <c r="AP134" s="204">
        <f>Opv.kohd.[[#This Row],[Yhteensä 4]]-Opv.kohd.[[#This Row],[Yhteensä  1]]</f>
        <v>0</v>
      </c>
      <c r="AQ134" s="204">
        <f>Opv.kohd.[[#This Row],[Ensikertaisella suoritepäätöksellä jaetut tavoitteelliset opiskelijavuodet yhteensä 4]]-Opv.kohd.[[#This Row],[Ensikertaisella suoritepäätöksellä jaetut tavoitteelliset opiskelijavuodet yhteensä 1]]</f>
        <v>0</v>
      </c>
      <c r="AR134" s="208">
        <f>IFERROR(Opv.kohd.[[#This Row],[Järjestämisluvan mukaiset 5]]/Opv.kohd.[[#This Row],[Järjestämisluvan mukaiset 4]],0)</f>
        <v>0</v>
      </c>
      <c r="AS134" s="208">
        <f>IFERROR(Opv.kohd.[[#This Row],[Kohdentamat-tomat 5]]/Opv.kohd.[[#This Row],[Kohdentamat-tomat 4]],0)</f>
        <v>0</v>
      </c>
      <c r="AT134" s="208">
        <f>IFERROR(Opv.kohd.[[#This Row],[Työvoima-koulutus 5]]/Opv.kohd.[[#This Row],[Työvoima-koulutus 4]],0)</f>
        <v>0</v>
      </c>
      <c r="AU134" s="208">
        <f>IFERROR(Opv.kohd.[[#This Row],[Maahan-muuttajien koulutus 5]]/Opv.kohd.[[#This Row],[Maahan-muuttajien koulutus 4]],0)</f>
        <v>0</v>
      </c>
      <c r="AV134" s="208">
        <f>IFERROR(Opv.kohd.[[#This Row],[Nuorisotyöt. väh. ja osaamistarp. vast., muu kuin työvoima-koulutus 5]]/Opv.kohd.[[#This Row],[Nuorisotyöt. väh. ja osaamistarp. vast., muu kuin työvoima-koulutus 4]],0)</f>
        <v>0</v>
      </c>
      <c r="AW134" s="208">
        <f>IFERROR(Opv.kohd.[[#This Row],[Nuorisotyöt. väh. ja osaamistarp. vast., työvoima-koulutus 5]]/Opv.kohd.[[#This Row],[Nuorisotyöt. väh. ja osaamistarp. vast., työvoima-koulutus 4]],0)</f>
        <v>0</v>
      </c>
      <c r="AX134" s="208">
        <f>IFERROR(Opv.kohd.[[#This Row],[Yhteensä 5]]/Opv.kohd.[[#This Row],[Yhteensä 4]],0)</f>
        <v>0</v>
      </c>
      <c r="AY134" s="208">
        <f>IFERROR(Opv.kohd.[[#This Row],[Ensikertaisella suoritepäätöksellä jaetut tavoitteelliset opiskelijavuodet yhteensä 5]]/Opv.kohd.[[#This Row],[Ensikertaisella suoritepäätöksellä jaetut tavoitteelliset opiskelijavuodet yhteensä 4]],0)</f>
        <v>0</v>
      </c>
      <c r="AZ134" s="207">
        <f>Opv.kohd.[[#This Row],[Yhteensä 7a]]-Opv.kohd.[[#This Row],[Työvoima-koulutus 7a]]</f>
        <v>0</v>
      </c>
      <c r="BA134" s="207">
        <f>IFERROR(VLOOKUP(Opv.kohd.[[#This Row],[Y-tunnus]],#REF!,COLUMN(#REF!),FALSE),0)</f>
        <v>0</v>
      </c>
      <c r="BB134" s="207">
        <f>IFERROR(VLOOKUP(Opv.kohd.[[#This Row],[Y-tunnus]],#REF!,COLUMN(#REF!),FALSE),0)</f>
        <v>0</v>
      </c>
      <c r="BC134" s="207">
        <f>Opv.kohd.[[#This Row],[Muu kuin työvoima-koulutus 7c]]-Opv.kohd.[[#This Row],[Muu kuin työvoima-koulutus 7a]]</f>
        <v>0</v>
      </c>
      <c r="BD134" s="207">
        <f>Opv.kohd.[[#This Row],[Työvoima-koulutus 7c]]-Opv.kohd.[[#This Row],[Työvoima-koulutus 7a]]</f>
        <v>0</v>
      </c>
      <c r="BE134" s="207">
        <f>Opv.kohd.[[#This Row],[Yhteensä 7c]]-Opv.kohd.[[#This Row],[Yhteensä 7a]]</f>
        <v>0</v>
      </c>
      <c r="BF134" s="207">
        <f>Opv.kohd.[[#This Row],[Yhteensä 7c]]-Opv.kohd.[[#This Row],[Työvoima-koulutus 7c]]</f>
        <v>0</v>
      </c>
      <c r="BG134" s="207">
        <f>IFERROR(VLOOKUP(Opv.kohd.[[#This Row],[Y-tunnus]],#REF!,COLUMN(#REF!),FALSE),0)</f>
        <v>0</v>
      </c>
      <c r="BH134" s="207">
        <f>IFERROR(VLOOKUP(Opv.kohd.[[#This Row],[Y-tunnus]],#REF!,COLUMN(#REF!),FALSE),0)</f>
        <v>0</v>
      </c>
      <c r="BI134" s="207">
        <f>IFERROR(VLOOKUP(Opv.kohd.[[#This Row],[Y-tunnus]],#REF!,COLUMN(#REF!),FALSE),0)</f>
        <v>0</v>
      </c>
      <c r="BJ134" s="207">
        <f>IFERROR(VLOOKUP(Opv.kohd.[[#This Row],[Y-tunnus]],#REF!,COLUMN(#REF!),FALSE),0)</f>
        <v>0</v>
      </c>
      <c r="BK134" s="207">
        <f>Opv.kohd.[[#This Row],[Muu kuin työvoima-koulutus 7d]]+Opv.kohd.[[#This Row],[Työvoima-koulutus 7d]]</f>
        <v>0</v>
      </c>
      <c r="BL134" s="207">
        <f>Opv.kohd.[[#This Row],[Muu kuin työvoima-koulutus 7c]]-Opv.kohd.[[#This Row],[Muu kuin työvoima-koulutus 7d]]</f>
        <v>0</v>
      </c>
      <c r="BM134" s="207">
        <f>Opv.kohd.[[#This Row],[Työvoima-koulutus 7c]]-Opv.kohd.[[#This Row],[Työvoima-koulutus 7d]]</f>
        <v>0</v>
      </c>
      <c r="BN134" s="207">
        <f>Opv.kohd.[[#This Row],[Yhteensä 7c]]-Opv.kohd.[[#This Row],[Yhteensä 7d]]</f>
        <v>0</v>
      </c>
      <c r="BO134" s="207">
        <f>Opv.kohd.[[#This Row],[Muu kuin työvoima-koulutus 7e]]-(Opv.kohd.[[#This Row],[Järjestämisluvan mukaiset 4]]+Opv.kohd.[[#This Row],[Kohdentamat-tomat 4]]+Opv.kohd.[[#This Row],[Maahan-muuttajien koulutus 4]]+Opv.kohd.[[#This Row],[Nuorisotyöt. väh. ja osaamistarp. vast., muu kuin työvoima-koulutus 4]])</f>
        <v>0</v>
      </c>
      <c r="BP134" s="207">
        <f>Opv.kohd.[[#This Row],[Työvoima-koulutus 7e]]-(Opv.kohd.[[#This Row],[Työvoima-koulutus 4]]+Opv.kohd.[[#This Row],[Nuorisotyöt. väh. ja osaamistarp. vast., työvoima-koulutus 4]])</f>
        <v>0</v>
      </c>
      <c r="BQ134" s="207">
        <f>Opv.kohd.[[#This Row],[Yhteensä 7e]]-Opv.kohd.[[#This Row],[Ensikertaisella suoritepäätöksellä jaetut tavoitteelliset opiskelijavuodet yhteensä 4]]</f>
        <v>0</v>
      </c>
      <c r="BR134" s="263">
        <v>563</v>
      </c>
      <c r="BS134" s="263">
        <v>0</v>
      </c>
      <c r="BT134" s="263">
        <v>0</v>
      </c>
      <c r="BU134" s="263">
        <v>0</v>
      </c>
      <c r="BV134" s="263">
        <v>0</v>
      </c>
      <c r="BW134" s="263">
        <v>0</v>
      </c>
      <c r="BX134" s="263">
        <v>0</v>
      </c>
      <c r="BY134" s="263">
        <v>563</v>
      </c>
      <c r="BZ134" s="207">
        <f t="shared" si="17"/>
        <v>563</v>
      </c>
      <c r="CA134" s="207">
        <f t="shared" si="18"/>
        <v>0</v>
      </c>
      <c r="CB134" s="207">
        <f t="shared" si="19"/>
        <v>0</v>
      </c>
      <c r="CC134" s="207">
        <f t="shared" si="20"/>
        <v>0</v>
      </c>
      <c r="CD134" s="207">
        <f t="shared" si="21"/>
        <v>0</v>
      </c>
      <c r="CE134" s="207">
        <f t="shared" si="22"/>
        <v>0</v>
      </c>
      <c r="CF134" s="207">
        <f t="shared" si="23"/>
        <v>0</v>
      </c>
      <c r="CG134" s="207">
        <f t="shared" si="24"/>
        <v>563</v>
      </c>
      <c r="CH134" s="207">
        <f>Opv.kohd.[[#This Row],[Tavoitteelliset opiskelijavuodet yhteensä 9]]-Opv.kohd.[[#This Row],[Työvoima-koulutus 9]]-Opv.kohd.[[#This Row],[Nuorisotyöt. väh. ja osaamistarp. vast., työvoima-koulutus 9]]-Opv.kohd.[[#This Row],[Muu kuin työvoima-koulutus 7e]]</f>
        <v>563</v>
      </c>
      <c r="CI134" s="207">
        <f>(Opv.kohd.[[#This Row],[Työvoima-koulutus 9]]+Opv.kohd.[[#This Row],[Nuorisotyöt. väh. ja osaamistarp. vast., työvoima-koulutus 9]])-Opv.kohd.[[#This Row],[Työvoima-koulutus 7e]]</f>
        <v>0</v>
      </c>
      <c r="CJ134" s="207">
        <f>Opv.kohd.[[#This Row],[Tavoitteelliset opiskelijavuodet yhteensä 9]]-Opv.kohd.[[#This Row],[Yhteensä 7e]]</f>
        <v>563</v>
      </c>
      <c r="CK134" s="207">
        <f>Opv.kohd.[[#This Row],[Järjestämisluvan mukaiset 4]]+Opv.kohd.[[#This Row],[Järjestämisluvan mukaiset 13]]</f>
        <v>0</v>
      </c>
      <c r="CL134" s="207">
        <f>Opv.kohd.[[#This Row],[Kohdentamat-tomat 4]]+Opv.kohd.[[#This Row],[Kohdentamat-tomat 13]]</f>
        <v>0</v>
      </c>
      <c r="CM134" s="207">
        <f>Opv.kohd.[[#This Row],[Työvoima-koulutus 4]]+Opv.kohd.[[#This Row],[Työvoima-koulutus 13]]</f>
        <v>0</v>
      </c>
      <c r="CN134" s="207">
        <f>Opv.kohd.[[#This Row],[Maahan-muuttajien koulutus 4]]+Opv.kohd.[[#This Row],[Maahan-muuttajien koulutus 13]]</f>
        <v>0</v>
      </c>
      <c r="CO134" s="207">
        <f>Opv.kohd.[[#This Row],[Nuorisotyöt. väh. ja osaamistarp. vast., muu kuin työvoima-koulutus 4]]+Opv.kohd.[[#This Row],[Nuorisotyöt. väh. ja osaamistarp. vast., muu kuin työvoima-koulutus 13]]</f>
        <v>0</v>
      </c>
      <c r="CP134" s="207">
        <f>Opv.kohd.[[#This Row],[Nuorisotyöt. väh. ja osaamistarp. vast., työvoima-koulutus 4]]+Opv.kohd.[[#This Row],[Nuorisotyöt. väh. ja osaamistarp. vast., työvoima-koulutus 13]]</f>
        <v>0</v>
      </c>
      <c r="CQ134" s="207">
        <f>Opv.kohd.[[#This Row],[Yhteensä 4]]+Opv.kohd.[[#This Row],[Yhteensä 13]]</f>
        <v>0</v>
      </c>
      <c r="CR134" s="207">
        <f>Opv.kohd.[[#This Row],[Ensikertaisella suoritepäätöksellä jaetut tavoitteelliset opiskelijavuodet yhteensä 4]]+Opv.kohd.[[#This Row],[Tavoitteelliset opiskelijavuodet yhteensä 13]]</f>
        <v>0</v>
      </c>
      <c r="CS134" s="120">
        <v>0</v>
      </c>
      <c r="CT134" s="120">
        <v>0</v>
      </c>
      <c r="CU134" s="120">
        <v>0</v>
      </c>
      <c r="CV134" s="120">
        <v>0</v>
      </c>
      <c r="CW134" s="120">
        <v>0</v>
      </c>
      <c r="CX134" s="120">
        <v>0</v>
      </c>
      <c r="CY134" s="120">
        <v>0</v>
      </c>
      <c r="CZ134" s="120">
        <v>0</v>
      </c>
      <c r="DA134" s="209">
        <f>IFERROR(Opv.kohd.[[#This Row],[Järjestämisluvan mukaiset 13]]/Opv.kohd.[[#This Row],[Järjestämisluvan mukaiset 12]],0)</f>
        <v>0</v>
      </c>
      <c r="DB134" s="209">
        <f>IFERROR(Opv.kohd.[[#This Row],[Kohdentamat-tomat 13]]/Opv.kohd.[[#This Row],[Kohdentamat-tomat 12]],0)</f>
        <v>0</v>
      </c>
      <c r="DC134" s="209">
        <f>IFERROR(Opv.kohd.[[#This Row],[Työvoima-koulutus 13]]/Opv.kohd.[[#This Row],[Työvoima-koulutus 12]],0)</f>
        <v>0</v>
      </c>
      <c r="DD134" s="209">
        <f>IFERROR(Opv.kohd.[[#This Row],[Maahan-muuttajien koulutus 13]]/Opv.kohd.[[#This Row],[Maahan-muuttajien koulutus 12]],0)</f>
        <v>0</v>
      </c>
      <c r="DE134" s="209">
        <f>IFERROR(Opv.kohd.[[#This Row],[Nuorisotyöt. väh. ja osaamistarp. vast., muu kuin työvoima-koulutus 13]]/Opv.kohd.[[#This Row],[Nuorisotyöt. väh. ja osaamistarp. vast., muu kuin työvoima-koulutus 12]],0)</f>
        <v>0</v>
      </c>
      <c r="DF134" s="209">
        <f>IFERROR(Opv.kohd.[[#This Row],[Nuorisotyöt. väh. ja osaamistarp. vast., työvoima-koulutus 13]]/Opv.kohd.[[#This Row],[Nuorisotyöt. väh. ja osaamistarp. vast., työvoima-koulutus 12]],0)</f>
        <v>0</v>
      </c>
      <c r="DG134" s="209">
        <f>IFERROR(Opv.kohd.[[#This Row],[Yhteensä 13]]/Opv.kohd.[[#This Row],[Yhteensä 12]],0)</f>
        <v>0</v>
      </c>
      <c r="DH134" s="209">
        <f>IFERROR(Opv.kohd.[[#This Row],[Tavoitteelliset opiskelijavuodet yhteensä 13]]/Opv.kohd.[[#This Row],[Tavoitteelliset opiskelijavuodet yhteensä 12]],0)</f>
        <v>0</v>
      </c>
      <c r="DI134" s="207">
        <f>Opv.kohd.[[#This Row],[Järjestämisluvan mukaiset 12]]-Opv.kohd.[[#This Row],[Järjestämisluvan mukaiset 9]]</f>
        <v>-563</v>
      </c>
      <c r="DJ134" s="207">
        <f>Opv.kohd.[[#This Row],[Kohdentamat-tomat 12]]-Opv.kohd.[[#This Row],[Kohdentamat-tomat 9]]</f>
        <v>0</v>
      </c>
      <c r="DK134" s="207">
        <f>Opv.kohd.[[#This Row],[Työvoima-koulutus 12]]-Opv.kohd.[[#This Row],[Työvoima-koulutus 9]]</f>
        <v>0</v>
      </c>
      <c r="DL134" s="207">
        <f>Opv.kohd.[[#This Row],[Maahan-muuttajien koulutus 12]]-Opv.kohd.[[#This Row],[Maahan-muuttajien koulutus 9]]</f>
        <v>0</v>
      </c>
      <c r="DM134" s="207">
        <f>Opv.kohd.[[#This Row],[Nuorisotyöt. väh. ja osaamistarp. vast., muu kuin työvoima-koulutus 12]]-Opv.kohd.[[#This Row],[Nuorisotyöt. väh. ja osaamistarp. vast., muu kuin työvoima-koulutus 9]]</f>
        <v>0</v>
      </c>
      <c r="DN134" s="207">
        <f>Opv.kohd.[[#This Row],[Nuorisotyöt. väh. ja osaamistarp. vast., työvoima-koulutus 12]]-Opv.kohd.[[#This Row],[Nuorisotyöt. väh. ja osaamistarp. vast., työvoima-koulutus 9]]</f>
        <v>0</v>
      </c>
      <c r="DO134" s="207">
        <f>Opv.kohd.[[#This Row],[Yhteensä 12]]-Opv.kohd.[[#This Row],[Yhteensä 9]]</f>
        <v>0</v>
      </c>
      <c r="DP134" s="207">
        <f>Opv.kohd.[[#This Row],[Tavoitteelliset opiskelijavuodet yhteensä 12]]-Opv.kohd.[[#This Row],[Tavoitteelliset opiskelijavuodet yhteensä 9]]</f>
        <v>-563</v>
      </c>
      <c r="DQ134" s="209">
        <f>IFERROR(Opv.kohd.[[#This Row],[Järjestämisluvan mukaiset 15]]/Opv.kohd.[[#This Row],[Järjestämisluvan mukaiset 9]],0)</f>
        <v>-1</v>
      </c>
      <c r="DR134" s="209">
        <f t="shared" si="25"/>
        <v>0</v>
      </c>
      <c r="DS134" s="209">
        <f t="shared" si="26"/>
        <v>0</v>
      </c>
      <c r="DT134" s="209">
        <f t="shared" si="27"/>
        <v>0</v>
      </c>
      <c r="DU134" s="209">
        <f t="shared" si="28"/>
        <v>0</v>
      </c>
      <c r="DV134" s="209">
        <f t="shared" si="29"/>
        <v>0</v>
      </c>
      <c r="DW134" s="209">
        <f t="shared" si="30"/>
        <v>0</v>
      </c>
      <c r="DX134" s="209">
        <f t="shared" si="31"/>
        <v>0</v>
      </c>
    </row>
    <row r="135" spans="1:128" x14ac:dyDescent="0.25">
      <c r="A135" s="204" t="e">
        <f>IF(INDEX(#REF!,ROW(135:135)-1,1)=0,"",INDEX(#REF!,ROW(135:135)-1,1))</f>
        <v>#REF!</v>
      </c>
      <c r="B135" s="205" t="str">
        <f>IFERROR(VLOOKUP(Opv.kohd.[[#This Row],[Y-tunnus]],'0 Järjestäjätiedot'!$A:$H,2,FALSE),"")</f>
        <v/>
      </c>
      <c r="C135" s="204" t="str">
        <f>IFERROR(VLOOKUP(Opv.kohd.[[#This Row],[Y-tunnus]],'0 Järjestäjätiedot'!$A:$H,COLUMN('0 Järjestäjätiedot'!D:D),FALSE),"")</f>
        <v/>
      </c>
      <c r="D135" s="204" t="str">
        <f>IFERROR(VLOOKUP(Opv.kohd.[[#This Row],[Y-tunnus]],'0 Järjestäjätiedot'!$A:$H,COLUMN('0 Järjestäjätiedot'!H:H),FALSE),"")</f>
        <v/>
      </c>
      <c r="E135" s="204">
        <f>IFERROR(VLOOKUP(Opv.kohd.[[#This Row],[Y-tunnus]],#REF!,COLUMN(#REF!),FALSE),0)</f>
        <v>0</v>
      </c>
      <c r="F135" s="204">
        <f>IFERROR(VLOOKUP(Opv.kohd.[[#This Row],[Y-tunnus]],#REF!,COLUMN(#REF!),FALSE),0)</f>
        <v>0</v>
      </c>
      <c r="G135" s="204">
        <f>IFERROR(VLOOKUP(Opv.kohd.[[#This Row],[Y-tunnus]],#REF!,COLUMN(#REF!),FALSE),0)</f>
        <v>0</v>
      </c>
      <c r="H135" s="204">
        <f>IFERROR(VLOOKUP(Opv.kohd.[[#This Row],[Y-tunnus]],#REF!,COLUMN(#REF!),FALSE),0)</f>
        <v>0</v>
      </c>
      <c r="I135" s="204">
        <f>IFERROR(VLOOKUP(Opv.kohd.[[#This Row],[Y-tunnus]],#REF!,COLUMN(#REF!),FALSE),0)</f>
        <v>0</v>
      </c>
      <c r="J135" s="204">
        <f>IFERROR(VLOOKUP(Opv.kohd.[[#This Row],[Y-tunnus]],#REF!,COLUMN(#REF!),FALSE),0)</f>
        <v>0</v>
      </c>
      <c r="K13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35" s="204">
        <f>Opv.kohd.[[#This Row],[Järjestämisluvan mukaiset 1]]+Opv.kohd.[[#This Row],[Yhteensä  1]]</f>
        <v>0</v>
      </c>
      <c r="M135" s="204">
        <f>IFERROR(VLOOKUP(Opv.kohd.[[#This Row],[Y-tunnus]],#REF!,COLUMN(#REF!),FALSE),0)</f>
        <v>0</v>
      </c>
      <c r="N135" s="204">
        <f>IFERROR(VLOOKUP(Opv.kohd.[[#This Row],[Y-tunnus]],#REF!,COLUMN(#REF!),FALSE),0)</f>
        <v>0</v>
      </c>
      <c r="O135" s="204">
        <f>IFERROR(VLOOKUP(Opv.kohd.[[#This Row],[Y-tunnus]],#REF!,COLUMN(#REF!),FALSE)+VLOOKUP(Opv.kohd.[[#This Row],[Y-tunnus]],#REF!,COLUMN(#REF!),FALSE),0)</f>
        <v>0</v>
      </c>
      <c r="P135" s="204">
        <f>Opv.kohd.[[#This Row],[Talousarvion perusteella kohdentamattomat]]+Opv.kohd.[[#This Row],[Talousarvion perusteella työvoimakoulutus 1]]+Opv.kohd.[[#This Row],[Lisätalousarvioiden perusteella]]</f>
        <v>0</v>
      </c>
      <c r="Q135" s="204">
        <f>IFERROR(VLOOKUP(Opv.kohd.[[#This Row],[Y-tunnus]],#REF!,COLUMN(#REF!),FALSE),0)</f>
        <v>0</v>
      </c>
      <c r="R135" s="210">
        <f>IFERROR(VLOOKUP(Opv.kohd.[[#This Row],[Y-tunnus]],#REF!,COLUMN(#REF!),FALSE)-(Opv.kohd.[[#This Row],[Kohdentamaton työvoima-koulutus 2]]+Opv.kohd.[[#This Row],[Maahan-muuttajien koulutus 2]]+Opv.kohd.[[#This Row],[Lisätalousarvioiden perusteella jaetut 2]]),0)</f>
        <v>0</v>
      </c>
      <c r="S135" s="210">
        <f>IFERROR(VLOOKUP(Opv.kohd.[[#This Row],[Y-tunnus]],#REF!,COLUMN(#REF!),FALSE)+VLOOKUP(Opv.kohd.[[#This Row],[Y-tunnus]],#REF!,COLUMN(#REF!),FALSE),0)</f>
        <v>0</v>
      </c>
      <c r="T135" s="210">
        <f>IFERROR(VLOOKUP(Opv.kohd.[[#This Row],[Y-tunnus]],#REF!,COLUMN(#REF!),FALSE)+VLOOKUP(Opv.kohd.[[#This Row],[Y-tunnus]],#REF!,COLUMN(#REF!),FALSE),0)</f>
        <v>0</v>
      </c>
      <c r="U13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35" s="210">
        <f>Opv.kohd.[[#This Row],[Kohdentamat-tomat 2]]+Opv.kohd.[[#This Row],[Kohdentamaton työvoima-koulutus 2]]+Opv.kohd.[[#This Row],[Maahan-muuttajien koulutus 2]]+Opv.kohd.[[#This Row],[Lisätalousarvioiden perusteella jaetut 2]]</f>
        <v>0</v>
      </c>
      <c r="W135" s="210">
        <f>Opv.kohd.[[#This Row],[Kohdentamat-tomat 2]]-(Opv.kohd.[[#This Row],[Järjestämisluvan mukaiset 1]]+Opv.kohd.[[#This Row],[Kohdentamat-tomat 1]]+Opv.kohd.[[#This Row],[Nuorisotyöt. väh. ja osaamistarp. vast., muu kuin työvoima-koulutus 1]]+Opv.kohd.[[#This Row],[Talousarvion perusteella kohdentamattomat]])</f>
        <v>0</v>
      </c>
      <c r="X135" s="210">
        <f>Opv.kohd.[[#This Row],[Kohdentamaton työvoima-koulutus 2]]-(Opv.kohd.[[#This Row],[Työvoima-koulutus 1]]+Opv.kohd.[[#This Row],[Nuorisotyöt. väh. ja osaamistarp. vast., työvoima-koulutus 1]]+Opv.kohd.[[#This Row],[Talousarvion perusteella työvoimakoulutus 1]])</f>
        <v>0</v>
      </c>
      <c r="Y135" s="210">
        <f>Opv.kohd.[[#This Row],[Maahan-muuttajien koulutus 2]]-Opv.kohd.[[#This Row],[Maahan-muuttajien koulutus 1]]</f>
        <v>0</v>
      </c>
      <c r="Z135" s="210">
        <f>Opv.kohd.[[#This Row],[Lisätalousarvioiden perusteella jaetut 2]]-Opv.kohd.[[#This Row],[Lisätalousarvioiden perusteella]]</f>
        <v>0</v>
      </c>
      <c r="AA135" s="210">
        <f>Opv.kohd.[[#This Row],[Toteutuneet opiskelijavuodet yhteensä 2]]-Opv.kohd.[[#This Row],[Vuoden 2018 tavoitteelliset opiskelijavuodet yhteensä 1]]</f>
        <v>0</v>
      </c>
      <c r="AB135" s="207">
        <f>IFERROR(VLOOKUP(Opv.kohd.[[#This Row],[Y-tunnus]],#REF!,3,FALSE),0)</f>
        <v>0</v>
      </c>
      <c r="AC135" s="207">
        <f>IFERROR(VLOOKUP(Opv.kohd.[[#This Row],[Y-tunnus]],#REF!,4,FALSE),0)</f>
        <v>0</v>
      </c>
      <c r="AD135" s="207">
        <f>IFERROR(VLOOKUP(Opv.kohd.[[#This Row],[Y-tunnus]],#REF!,5,FALSE),0)</f>
        <v>0</v>
      </c>
      <c r="AE135" s="207">
        <f>IFERROR(VLOOKUP(Opv.kohd.[[#This Row],[Y-tunnus]],#REF!,6,FALSE),0)</f>
        <v>0</v>
      </c>
      <c r="AF135" s="207">
        <f>IFERROR(VLOOKUP(Opv.kohd.[[#This Row],[Y-tunnus]],#REF!,7,FALSE),0)</f>
        <v>0</v>
      </c>
      <c r="AG135" s="207">
        <f>IFERROR(VLOOKUP(Opv.kohd.[[#This Row],[Y-tunnus]],#REF!,8,FALSE),0)</f>
        <v>0</v>
      </c>
      <c r="AH135" s="207">
        <f>IFERROR(VLOOKUP(Opv.kohd.[[#This Row],[Y-tunnus]],#REF!,9,FALSE),0)</f>
        <v>0</v>
      </c>
      <c r="AI135" s="207">
        <f>IFERROR(VLOOKUP(Opv.kohd.[[#This Row],[Y-tunnus]],#REF!,10,FALSE),0)</f>
        <v>0</v>
      </c>
      <c r="AJ135" s="204">
        <f>Opv.kohd.[[#This Row],[Järjestämisluvan mukaiset 4]]-Opv.kohd.[[#This Row],[Järjestämisluvan mukaiset 1]]</f>
        <v>0</v>
      </c>
      <c r="AK135" s="204">
        <f>Opv.kohd.[[#This Row],[Kohdentamat-tomat 4]]-Opv.kohd.[[#This Row],[Kohdentamat-tomat 1]]</f>
        <v>0</v>
      </c>
      <c r="AL135" s="204">
        <f>Opv.kohd.[[#This Row],[Työvoima-koulutus 4]]-Opv.kohd.[[#This Row],[Työvoima-koulutus 1]]</f>
        <v>0</v>
      </c>
      <c r="AM135" s="204">
        <f>Opv.kohd.[[#This Row],[Maahan-muuttajien koulutus 4]]-Opv.kohd.[[#This Row],[Maahan-muuttajien koulutus 1]]</f>
        <v>0</v>
      </c>
      <c r="AN135" s="204">
        <f>Opv.kohd.[[#This Row],[Nuorisotyöt. väh. ja osaamistarp. vast., muu kuin työvoima-koulutus 4]]-Opv.kohd.[[#This Row],[Nuorisotyöt. väh. ja osaamistarp. vast., muu kuin työvoima-koulutus 1]]</f>
        <v>0</v>
      </c>
      <c r="AO135" s="204">
        <f>Opv.kohd.[[#This Row],[Nuorisotyöt. väh. ja osaamistarp. vast., työvoima-koulutus 4]]-Opv.kohd.[[#This Row],[Nuorisotyöt. väh. ja osaamistarp. vast., työvoima-koulutus 1]]</f>
        <v>0</v>
      </c>
      <c r="AP135" s="204">
        <f>Opv.kohd.[[#This Row],[Yhteensä 4]]-Opv.kohd.[[#This Row],[Yhteensä  1]]</f>
        <v>0</v>
      </c>
      <c r="AQ135" s="204">
        <f>Opv.kohd.[[#This Row],[Ensikertaisella suoritepäätöksellä jaetut tavoitteelliset opiskelijavuodet yhteensä 4]]-Opv.kohd.[[#This Row],[Ensikertaisella suoritepäätöksellä jaetut tavoitteelliset opiskelijavuodet yhteensä 1]]</f>
        <v>0</v>
      </c>
      <c r="AR135" s="208">
        <f>IFERROR(Opv.kohd.[[#This Row],[Järjestämisluvan mukaiset 5]]/Opv.kohd.[[#This Row],[Järjestämisluvan mukaiset 4]],0)</f>
        <v>0</v>
      </c>
      <c r="AS135" s="208">
        <f>IFERROR(Opv.kohd.[[#This Row],[Kohdentamat-tomat 5]]/Opv.kohd.[[#This Row],[Kohdentamat-tomat 4]],0)</f>
        <v>0</v>
      </c>
      <c r="AT135" s="208">
        <f>IFERROR(Opv.kohd.[[#This Row],[Työvoima-koulutus 5]]/Opv.kohd.[[#This Row],[Työvoima-koulutus 4]],0)</f>
        <v>0</v>
      </c>
      <c r="AU135" s="208">
        <f>IFERROR(Opv.kohd.[[#This Row],[Maahan-muuttajien koulutus 5]]/Opv.kohd.[[#This Row],[Maahan-muuttajien koulutus 4]],0)</f>
        <v>0</v>
      </c>
      <c r="AV135" s="208">
        <f>IFERROR(Opv.kohd.[[#This Row],[Nuorisotyöt. väh. ja osaamistarp. vast., muu kuin työvoima-koulutus 5]]/Opv.kohd.[[#This Row],[Nuorisotyöt. väh. ja osaamistarp. vast., muu kuin työvoima-koulutus 4]],0)</f>
        <v>0</v>
      </c>
      <c r="AW135" s="208">
        <f>IFERROR(Opv.kohd.[[#This Row],[Nuorisotyöt. väh. ja osaamistarp. vast., työvoima-koulutus 5]]/Opv.kohd.[[#This Row],[Nuorisotyöt. väh. ja osaamistarp. vast., työvoima-koulutus 4]],0)</f>
        <v>0</v>
      </c>
      <c r="AX135" s="208">
        <f>IFERROR(Opv.kohd.[[#This Row],[Yhteensä 5]]/Opv.kohd.[[#This Row],[Yhteensä 4]],0)</f>
        <v>0</v>
      </c>
      <c r="AY135" s="208">
        <f>IFERROR(Opv.kohd.[[#This Row],[Ensikertaisella suoritepäätöksellä jaetut tavoitteelliset opiskelijavuodet yhteensä 5]]/Opv.kohd.[[#This Row],[Ensikertaisella suoritepäätöksellä jaetut tavoitteelliset opiskelijavuodet yhteensä 4]],0)</f>
        <v>0</v>
      </c>
      <c r="AZ135" s="207">
        <f>Opv.kohd.[[#This Row],[Yhteensä 7a]]-Opv.kohd.[[#This Row],[Työvoima-koulutus 7a]]</f>
        <v>0</v>
      </c>
      <c r="BA135" s="207">
        <f>IFERROR(VLOOKUP(Opv.kohd.[[#This Row],[Y-tunnus]],#REF!,COLUMN(#REF!),FALSE),0)</f>
        <v>0</v>
      </c>
      <c r="BB135" s="207">
        <f>IFERROR(VLOOKUP(Opv.kohd.[[#This Row],[Y-tunnus]],#REF!,COLUMN(#REF!),FALSE),0)</f>
        <v>0</v>
      </c>
      <c r="BC135" s="207">
        <f>Opv.kohd.[[#This Row],[Muu kuin työvoima-koulutus 7c]]-Opv.kohd.[[#This Row],[Muu kuin työvoima-koulutus 7a]]</f>
        <v>0</v>
      </c>
      <c r="BD135" s="207">
        <f>Opv.kohd.[[#This Row],[Työvoima-koulutus 7c]]-Opv.kohd.[[#This Row],[Työvoima-koulutus 7a]]</f>
        <v>0</v>
      </c>
      <c r="BE135" s="207">
        <f>Opv.kohd.[[#This Row],[Yhteensä 7c]]-Opv.kohd.[[#This Row],[Yhteensä 7a]]</f>
        <v>0</v>
      </c>
      <c r="BF135" s="207">
        <f>Opv.kohd.[[#This Row],[Yhteensä 7c]]-Opv.kohd.[[#This Row],[Työvoima-koulutus 7c]]</f>
        <v>0</v>
      </c>
      <c r="BG135" s="207">
        <f>IFERROR(VLOOKUP(Opv.kohd.[[#This Row],[Y-tunnus]],#REF!,COLUMN(#REF!),FALSE),0)</f>
        <v>0</v>
      </c>
      <c r="BH135" s="207">
        <f>IFERROR(VLOOKUP(Opv.kohd.[[#This Row],[Y-tunnus]],#REF!,COLUMN(#REF!),FALSE),0)</f>
        <v>0</v>
      </c>
      <c r="BI135" s="207">
        <f>IFERROR(VLOOKUP(Opv.kohd.[[#This Row],[Y-tunnus]],#REF!,COLUMN(#REF!),FALSE),0)</f>
        <v>0</v>
      </c>
      <c r="BJ135" s="207">
        <f>IFERROR(VLOOKUP(Opv.kohd.[[#This Row],[Y-tunnus]],#REF!,COLUMN(#REF!),FALSE),0)</f>
        <v>0</v>
      </c>
      <c r="BK135" s="207">
        <f>Opv.kohd.[[#This Row],[Muu kuin työvoima-koulutus 7d]]+Opv.kohd.[[#This Row],[Työvoima-koulutus 7d]]</f>
        <v>0</v>
      </c>
      <c r="BL135" s="207">
        <f>Opv.kohd.[[#This Row],[Muu kuin työvoima-koulutus 7c]]-Opv.kohd.[[#This Row],[Muu kuin työvoima-koulutus 7d]]</f>
        <v>0</v>
      </c>
      <c r="BM135" s="207">
        <f>Opv.kohd.[[#This Row],[Työvoima-koulutus 7c]]-Opv.kohd.[[#This Row],[Työvoima-koulutus 7d]]</f>
        <v>0</v>
      </c>
      <c r="BN135" s="207">
        <f>Opv.kohd.[[#This Row],[Yhteensä 7c]]-Opv.kohd.[[#This Row],[Yhteensä 7d]]</f>
        <v>0</v>
      </c>
      <c r="BO135" s="207">
        <f>Opv.kohd.[[#This Row],[Muu kuin työvoima-koulutus 7e]]-(Opv.kohd.[[#This Row],[Järjestämisluvan mukaiset 4]]+Opv.kohd.[[#This Row],[Kohdentamat-tomat 4]]+Opv.kohd.[[#This Row],[Maahan-muuttajien koulutus 4]]+Opv.kohd.[[#This Row],[Nuorisotyöt. väh. ja osaamistarp. vast., muu kuin työvoima-koulutus 4]])</f>
        <v>0</v>
      </c>
      <c r="BP135" s="207">
        <f>Opv.kohd.[[#This Row],[Työvoima-koulutus 7e]]-(Opv.kohd.[[#This Row],[Työvoima-koulutus 4]]+Opv.kohd.[[#This Row],[Nuorisotyöt. väh. ja osaamistarp. vast., työvoima-koulutus 4]])</f>
        <v>0</v>
      </c>
      <c r="BQ135" s="207">
        <f>Opv.kohd.[[#This Row],[Yhteensä 7e]]-Opv.kohd.[[#This Row],[Ensikertaisella suoritepäätöksellä jaetut tavoitteelliset opiskelijavuodet yhteensä 4]]</f>
        <v>0</v>
      </c>
      <c r="BR135" s="263">
        <v>873</v>
      </c>
      <c r="BS135" s="263">
        <v>10</v>
      </c>
      <c r="BT135" s="263">
        <v>0</v>
      </c>
      <c r="BU135" s="263">
        <v>0</v>
      </c>
      <c r="BV135" s="263">
        <v>0</v>
      </c>
      <c r="BW135" s="263">
        <v>0</v>
      </c>
      <c r="BX135" s="263">
        <v>10</v>
      </c>
      <c r="BY135" s="263">
        <v>883</v>
      </c>
      <c r="BZ135" s="207">
        <f t="shared" si="17"/>
        <v>873</v>
      </c>
      <c r="CA135" s="207">
        <f t="shared" si="18"/>
        <v>10</v>
      </c>
      <c r="CB135" s="207">
        <f t="shared" si="19"/>
        <v>0</v>
      </c>
      <c r="CC135" s="207">
        <f t="shared" si="20"/>
        <v>0</v>
      </c>
      <c r="CD135" s="207">
        <f t="shared" si="21"/>
        <v>0</v>
      </c>
      <c r="CE135" s="207">
        <f t="shared" si="22"/>
        <v>0</v>
      </c>
      <c r="CF135" s="207">
        <f t="shared" si="23"/>
        <v>10</v>
      </c>
      <c r="CG135" s="207">
        <f t="shared" si="24"/>
        <v>883</v>
      </c>
      <c r="CH135" s="207">
        <f>Opv.kohd.[[#This Row],[Tavoitteelliset opiskelijavuodet yhteensä 9]]-Opv.kohd.[[#This Row],[Työvoima-koulutus 9]]-Opv.kohd.[[#This Row],[Nuorisotyöt. väh. ja osaamistarp. vast., työvoima-koulutus 9]]-Opv.kohd.[[#This Row],[Muu kuin työvoima-koulutus 7e]]</f>
        <v>883</v>
      </c>
      <c r="CI135" s="207">
        <f>(Opv.kohd.[[#This Row],[Työvoima-koulutus 9]]+Opv.kohd.[[#This Row],[Nuorisotyöt. väh. ja osaamistarp. vast., työvoima-koulutus 9]])-Opv.kohd.[[#This Row],[Työvoima-koulutus 7e]]</f>
        <v>0</v>
      </c>
      <c r="CJ135" s="207">
        <f>Opv.kohd.[[#This Row],[Tavoitteelliset opiskelijavuodet yhteensä 9]]-Opv.kohd.[[#This Row],[Yhteensä 7e]]</f>
        <v>883</v>
      </c>
      <c r="CK135" s="207">
        <f>Opv.kohd.[[#This Row],[Järjestämisluvan mukaiset 4]]+Opv.kohd.[[#This Row],[Järjestämisluvan mukaiset 13]]</f>
        <v>0</v>
      </c>
      <c r="CL135" s="207">
        <f>Opv.kohd.[[#This Row],[Kohdentamat-tomat 4]]+Opv.kohd.[[#This Row],[Kohdentamat-tomat 13]]</f>
        <v>0</v>
      </c>
      <c r="CM135" s="207">
        <f>Opv.kohd.[[#This Row],[Työvoima-koulutus 4]]+Opv.kohd.[[#This Row],[Työvoima-koulutus 13]]</f>
        <v>0</v>
      </c>
      <c r="CN135" s="207">
        <f>Opv.kohd.[[#This Row],[Maahan-muuttajien koulutus 4]]+Opv.kohd.[[#This Row],[Maahan-muuttajien koulutus 13]]</f>
        <v>0</v>
      </c>
      <c r="CO135" s="207">
        <f>Opv.kohd.[[#This Row],[Nuorisotyöt. väh. ja osaamistarp. vast., muu kuin työvoima-koulutus 4]]+Opv.kohd.[[#This Row],[Nuorisotyöt. väh. ja osaamistarp. vast., muu kuin työvoima-koulutus 13]]</f>
        <v>0</v>
      </c>
      <c r="CP135" s="207">
        <f>Opv.kohd.[[#This Row],[Nuorisotyöt. väh. ja osaamistarp. vast., työvoima-koulutus 4]]+Opv.kohd.[[#This Row],[Nuorisotyöt. väh. ja osaamistarp. vast., työvoima-koulutus 13]]</f>
        <v>0</v>
      </c>
      <c r="CQ135" s="207">
        <f>Opv.kohd.[[#This Row],[Yhteensä 4]]+Opv.kohd.[[#This Row],[Yhteensä 13]]</f>
        <v>0</v>
      </c>
      <c r="CR135" s="207">
        <f>Opv.kohd.[[#This Row],[Ensikertaisella suoritepäätöksellä jaetut tavoitteelliset opiskelijavuodet yhteensä 4]]+Opv.kohd.[[#This Row],[Tavoitteelliset opiskelijavuodet yhteensä 13]]</f>
        <v>0</v>
      </c>
      <c r="CS135" s="120">
        <v>0</v>
      </c>
      <c r="CT135" s="120">
        <v>0</v>
      </c>
      <c r="CU135" s="120">
        <v>0</v>
      </c>
      <c r="CV135" s="120">
        <v>0</v>
      </c>
      <c r="CW135" s="120">
        <v>0</v>
      </c>
      <c r="CX135" s="120">
        <v>0</v>
      </c>
      <c r="CY135" s="120">
        <v>0</v>
      </c>
      <c r="CZ135" s="120">
        <v>0</v>
      </c>
      <c r="DA135" s="209">
        <f>IFERROR(Opv.kohd.[[#This Row],[Järjestämisluvan mukaiset 13]]/Opv.kohd.[[#This Row],[Järjestämisluvan mukaiset 12]],0)</f>
        <v>0</v>
      </c>
      <c r="DB135" s="209">
        <f>IFERROR(Opv.kohd.[[#This Row],[Kohdentamat-tomat 13]]/Opv.kohd.[[#This Row],[Kohdentamat-tomat 12]],0)</f>
        <v>0</v>
      </c>
      <c r="DC135" s="209">
        <f>IFERROR(Opv.kohd.[[#This Row],[Työvoima-koulutus 13]]/Opv.kohd.[[#This Row],[Työvoima-koulutus 12]],0)</f>
        <v>0</v>
      </c>
      <c r="DD135" s="209">
        <f>IFERROR(Opv.kohd.[[#This Row],[Maahan-muuttajien koulutus 13]]/Opv.kohd.[[#This Row],[Maahan-muuttajien koulutus 12]],0)</f>
        <v>0</v>
      </c>
      <c r="DE135" s="209">
        <f>IFERROR(Opv.kohd.[[#This Row],[Nuorisotyöt. väh. ja osaamistarp. vast., muu kuin työvoima-koulutus 13]]/Opv.kohd.[[#This Row],[Nuorisotyöt. väh. ja osaamistarp. vast., muu kuin työvoima-koulutus 12]],0)</f>
        <v>0</v>
      </c>
      <c r="DF135" s="209">
        <f>IFERROR(Opv.kohd.[[#This Row],[Nuorisotyöt. väh. ja osaamistarp. vast., työvoima-koulutus 13]]/Opv.kohd.[[#This Row],[Nuorisotyöt. väh. ja osaamistarp. vast., työvoima-koulutus 12]],0)</f>
        <v>0</v>
      </c>
      <c r="DG135" s="209">
        <f>IFERROR(Opv.kohd.[[#This Row],[Yhteensä 13]]/Opv.kohd.[[#This Row],[Yhteensä 12]],0)</f>
        <v>0</v>
      </c>
      <c r="DH135" s="209">
        <f>IFERROR(Opv.kohd.[[#This Row],[Tavoitteelliset opiskelijavuodet yhteensä 13]]/Opv.kohd.[[#This Row],[Tavoitteelliset opiskelijavuodet yhteensä 12]],0)</f>
        <v>0</v>
      </c>
      <c r="DI135" s="207">
        <f>Opv.kohd.[[#This Row],[Järjestämisluvan mukaiset 12]]-Opv.kohd.[[#This Row],[Järjestämisluvan mukaiset 9]]</f>
        <v>-873</v>
      </c>
      <c r="DJ135" s="207">
        <f>Opv.kohd.[[#This Row],[Kohdentamat-tomat 12]]-Opv.kohd.[[#This Row],[Kohdentamat-tomat 9]]</f>
        <v>-10</v>
      </c>
      <c r="DK135" s="207">
        <f>Opv.kohd.[[#This Row],[Työvoima-koulutus 12]]-Opv.kohd.[[#This Row],[Työvoima-koulutus 9]]</f>
        <v>0</v>
      </c>
      <c r="DL135" s="207">
        <f>Opv.kohd.[[#This Row],[Maahan-muuttajien koulutus 12]]-Opv.kohd.[[#This Row],[Maahan-muuttajien koulutus 9]]</f>
        <v>0</v>
      </c>
      <c r="DM135" s="207">
        <f>Opv.kohd.[[#This Row],[Nuorisotyöt. väh. ja osaamistarp. vast., muu kuin työvoima-koulutus 12]]-Opv.kohd.[[#This Row],[Nuorisotyöt. väh. ja osaamistarp. vast., muu kuin työvoima-koulutus 9]]</f>
        <v>0</v>
      </c>
      <c r="DN135" s="207">
        <f>Opv.kohd.[[#This Row],[Nuorisotyöt. väh. ja osaamistarp. vast., työvoima-koulutus 12]]-Opv.kohd.[[#This Row],[Nuorisotyöt. väh. ja osaamistarp. vast., työvoima-koulutus 9]]</f>
        <v>0</v>
      </c>
      <c r="DO135" s="207">
        <f>Opv.kohd.[[#This Row],[Yhteensä 12]]-Opv.kohd.[[#This Row],[Yhteensä 9]]</f>
        <v>-10</v>
      </c>
      <c r="DP135" s="207">
        <f>Opv.kohd.[[#This Row],[Tavoitteelliset opiskelijavuodet yhteensä 12]]-Opv.kohd.[[#This Row],[Tavoitteelliset opiskelijavuodet yhteensä 9]]</f>
        <v>-883</v>
      </c>
      <c r="DQ135" s="209">
        <f>IFERROR(Opv.kohd.[[#This Row],[Järjestämisluvan mukaiset 15]]/Opv.kohd.[[#This Row],[Järjestämisluvan mukaiset 9]],0)</f>
        <v>-1</v>
      </c>
      <c r="DR135" s="209">
        <f t="shared" si="25"/>
        <v>0</v>
      </c>
      <c r="DS135" s="209">
        <f t="shared" si="26"/>
        <v>0</v>
      </c>
      <c r="DT135" s="209">
        <f t="shared" si="27"/>
        <v>0</v>
      </c>
      <c r="DU135" s="209">
        <f t="shared" si="28"/>
        <v>0</v>
      </c>
      <c r="DV135" s="209">
        <f t="shared" si="29"/>
        <v>0</v>
      </c>
      <c r="DW135" s="209">
        <f t="shared" si="30"/>
        <v>0</v>
      </c>
      <c r="DX135" s="209">
        <f t="shared" si="31"/>
        <v>0</v>
      </c>
    </row>
    <row r="136" spans="1:128" x14ac:dyDescent="0.25">
      <c r="A136" s="204" t="e">
        <f>IF(INDEX(#REF!,ROW(136:136)-1,1)=0,"",INDEX(#REF!,ROW(136:136)-1,1))</f>
        <v>#REF!</v>
      </c>
      <c r="B136" s="205" t="str">
        <f>IFERROR(VLOOKUP(Opv.kohd.[[#This Row],[Y-tunnus]],'0 Järjestäjätiedot'!$A:$H,2,FALSE),"")</f>
        <v/>
      </c>
      <c r="C136" s="204" t="str">
        <f>IFERROR(VLOOKUP(Opv.kohd.[[#This Row],[Y-tunnus]],'0 Järjestäjätiedot'!$A:$H,COLUMN('0 Järjestäjätiedot'!D:D),FALSE),"")</f>
        <v/>
      </c>
      <c r="D136" s="204" t="str">
        <f>IFERROR(VLOOKUP(Opv.kohd.[[#This Row],[Y-tunnus]],'0 Järjestäjätiedot'!$A:$H,COLUMN('0 Järjestäjätiedot'!H:H),FALSE),"")</f>
        <v/>
      </c>
      <c r="E136" s="204">
        <f>IFERROR(VLOOKUP(Opv.kohd.[[#This Row],[Y-tunnus]],#REF!,COLUMN(#REF!),FALSE),0)</f>
        <v>0</v>
      </c>
      <c r="F136" s="204">
        <f>IFERROR(VLOOKUP(Opv.kohd.[[#This Row],[Y-tunnus]],#REF!,COLUMN(#REF!),FALSE),0)</f>
        <v>0</v>
      </c>
      <c r="G136" s="204">
        <f>IFERROR(VLOOKUP(Opv.kohd.[[#This Row],[Y-tunnus]],#REF!,COLUMN(#REF!),FALSE),0)</f>
        <v>0</v>
      </c>
      <c r="H136" s="204">
        <f>IFERROR(VLOOKUP(Opv.kohd.[[#This Row],[Y-tunnus]],#REF!,COLUMN(#REF!),FALSE),0)</f>
        <v>0</v>
      </c>
      <c r="I136" s="204">
        <f>IFERROR(VLOOKUP(Opv.kohd.[[#This Row],[Y-tunnus]],#REF!,COLUMN(#REF!),FALSE),0)</f>
        <v>0</v>
      </c>
      <c r="J136" s="204">
        <f>IFERROR(VLOOKUP(Opv.kohd.[[#This Row],[Y-tunnus]],#REF!,COLUMN(#REF!),FALSE),0)</f>
        <v>0</v>
      </c>
      <c r="K13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36" s="204">
        <f>Opv.kohd.[[#This Row],[Järjestämisluvan mukaiset 1]]+Opv.kohd.[[#This Row],[Yhteensä  1]]</f>
        <v>0</v>
      </c>
      <c r="M136" s="204">
        <f>IFERROR(VLOOKUP(Opv.kohd.[[#This Row],[Y-tunnus]],#REF!,COLUMN(#REF!),FALSE),0)</f>
        <v>0</v>
      </c>
      <c r="N136" s="204">
        <f>IFERROR(VLOOKUP(Opv.kohd.[[#This Row],[Y-tunnus]],#REF!,COLUMN(#REF!),FALSE),0)</f>
        <v>0</v>
      </c>
      <c r="O136" s="204">
        <f>IFERROR(VLOOKUP(Opv.kohd.[[#This Row],[Y-tunnus]],#REF!,COLUMN(#REF!),FALSE)+VLOOKUP(Opv.kohd.[[#This Row],[Y-tunnus]],#REF!,COLUMN(#REF!),FALSE),0)</f>
        <v>0</v>
      </c>
      <c r="P136" s="204">
        <f>Opv.kohd.[[#This Row],[Talousarvion perusteella kohdentamattomat]]+Opv.kohd.[[#This Row],[Talousarvion perusteella työvoimakoulutus 1]]+Opv.kohd.[[#This Row],[Lisätalousarvioiden perusteella]]</f>
        <v>0</v>
      </c>
      <c r="Q136" s="204">
        <f>IFERROR(VLOOKUP(Opv.kohd.[[#This Row],[Y-tunnus]],#REF!,COLUMN(#REF!),FALSE),0)</f>
        <v>0</v>
      </c>
      <c r="R136" s="210">
        <f>IFERROR(VLOOKUP(Opv.kohd.[[#This Row],[Y-tunnus]],#REF!,COLUMN(#REF!),FALSE)-(Opv.kohd.[[#This Row],[Kohdentamaton työvoima-koulutus 2]]+Opv.kohd.[[#This Row],[Maahan-muuttajien koulutus 2]]+Opv.kohd.[[#This Row],[Lisätalousarvioiden perusteella jaetut 2]]),0)</f>
        <v>0</v>
      </c>
      <c r="S136" s="210">
        <f>IFERROR(VLOOKUP(Opv.kohd.[[#This Row],[Y-tunnus]],#REF!,COLUMN(#REF!),FALSE)+VLOOKUP(Opv.kohd.[[#This Row],[Y-tunnus]],#REF!,COLUMN(#REF!),FALSE),0)</f>
        <v>0</v>
      </c>
      <c r="T136" s="210">
        <f>IFERROR(VLOOKUP(Opv.kohd.[[#This Row],[Y-tunnus]],#REF!,COLUMN(#REF!),FALSE)+VLOOKUP(Opv.kohd.[[#This Row],[Y-tunnus]],#REF!,COLUMN(#REF!),FALSE),0)</f>
        <v>0</v>
      </c>
      <c r="U13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36" s="210">
        <f>Opv.kohd.[[#This Row],[Kohdentamat-tomat 2]]+Opv.kohd.[[#This Row],[Kohdentamaton työvoima-koulutus 2]]+Opv.kohd.[[#This Row],[Maahan-muuttajien koulutus 2]]+Opv.kohd.[[#This Row],[Lisätalousarvioiden perusteella jaetut 2]]</f>
        <v>0</v>
      </c>
      <c r="W136" s="210">
        <f>Opv.kohd.[[#This Row],[Kohdentamat-tomat 2]]-(Opv.kohd.[[#This Row],[Järjestämisluvan mukaiset 1]]+Opv.kohd.[[#This Row],[Kohdentamat-tomat 1]]+Opv.kohd.[[#This Row],[Nuorisotyöt. väh. ja osaamistarp. vast., muu kuin työvoima-koulutus 1]]+Opv.kohd.[[#This Row],[Talousarvion perusteella kohdentamattomat]])</f>
        <v>0</v>
      </c>
      <c r="X136" s="210">
        <f>Opv.kohd.[[#This Row],[Kohdentamaton työvoima-koulutus 2]]-(Opv.kohd.[[#This Row],[Työvoima-koulutus 1]]+Opv.kohd.[[#This Row],[Nuorisotyöt. väh. ja osaamistarp. vast., työvoima-koulutus 1]]+Opv.kohd.[[#This Row],[Talousarvion perusteella työvoimakoulutus 1]])</f>
        <v>0</v>
      </c>
      <c r="Y136" s="210">
        <f>Opv.kohd.[[#This Row],[Maahan-muuttajien koulutus 2]]-Opv.kohd.[[#This Row],[Maahan-muuttajien koulutus 1]]</f>
        <v>0</v>
      </c>
      <c r="Z136" s="210">
        <f>Opv.kohd.[[#This Row],[Lisätalousarvioiden perusteella jaetut 2]]-Opv.kohd.[[#This Row],[Lisätalousarvioiden perusteella]]</f>
        <v>0</v>
      </c>
      <c r="AA136" s="210">
        <f>Opv.kohd.[[#This Row],[Toteutuneet opiskelijavuodet yhteensä 2]]-Opv.kohd.[[#This Row],[Vuoden 2018 tavoitteelliset opiskelijavuodet yhteensä 1]]</f>
        <v>0</v>
      </c>
      <c r="AB136" s="207">
        <f>IFERROR(VLOOKUP(Opv.kohd.[[#This Row],[Y-tunnus]],#REF!,3,FALSE),0)</f>
        <v>0</v>
      </c>
      <c r="AC136" s="207">
        <f>IFERROR(VLOOKUP(Opv.kohd.[[#This Row],[Y-tunnus]],#REF!,4,FALSE),0)</f>
        <v>0</v>
      </c>
      <c r="AD136" s="207">
        <f>IFERROR(VLOOKUP(Opv.kohd.[[#This Row],[Y-tunnus]],#REF!,5,FALSE),0)</f>
        <v>0</v>
      </c>
      <c r="AE136" s="207">
        <f>IFERROR(VLOOKUP(Opv.kohd.[[#This Row],[Y-tunnus]],#REF!,6,FALSE),0)</f>
        <v>0</v>
      </c>
      <c r="AF136" s="207">
        <f>IFERROR(VLOOKUP(Opv.kohd.[[#This Row],[Y-tunnus]],#REF!,7,FALSE),0)</f>
        <v>0</v>
      </c>
      <c r="AG136" s="207">
        <f>IFERROR(VLOOKUP(Opv.kohd.[[#This Row],[Y-tunnus]],#REF!,8,FALSE),0)</f>
        <v>0</v>
      </c>
      <c r="AH136" s="207">
        <f>IFERROR(VLOOKUP(Opv.kohd.[[#This Row],[Y-tunnus]],#REF!,9,FALSE),0)</f>
        <v>0</v>
      </c>
      <c r="AI136" s="207">
        <f>IFERROR(VLOOKUP(Opv.kohd.[[#This Row],[Y-tunnus]],#REF!,10,FALSE),0)</f>
        <v>0</v>
      </c>
      <c r="AJ136" s="204">
        <f>Opv.kohd.[[#This Row],[Järjestämisluvan mukaiset 4]]-Opv.kohd.[[#This Row],[Järjestämisluvan mukaiset 1]]</f>
        <v>0</v>
      </c>
      <c r="AK136" s="204">
        <f>Opv.kohd.[[#This Row],[Kohdentamat-tomat 4]]-Opv.kohd.[[#This Row],[Kohdentamat-tomat 1]]</f>
        <v>0</v>
      </c>
      <c r="AL136" s="204">
        <f>Opv.kohd.[[#This Row],[Työvoima-koulutus 4]]-Opv.kohd.[[#This Row],[Työvoima-koulutus 1]]</f>
        <v>0</v>
      </c>
      <c r="AM136" s="204">
        <f>Opv.kohd.[[#This Row],[Maahan-muuttajien koulutus 4]]-Opv.kohd.[[#This Row],[Maahan-muuttajien koulutus 1]]</f>
        <v>0</v>
      </c>
      <c r="AN136" s="204">
        <f>Opv.kohd.[[#This Row],[Nuorisotyöt. väh. ja osaamistarp. vast., muu kuin työvoima-koulutus 4]]-Opv.kohd.[[#This Row],[Nuorisotyöt. väh. ja osaamistarp. vast., muu kuin työvoima-koulutus 1]]</f>
        <v>0</v>
      </c>
      <c r="AO136" s="204">
        <f>Opv.kohd.[[#This Row],[Nuorisotyöt. väh. ja osaamistarp. vast., työvoima-koulutus 4]]-Opv.kohd.[[#This Row],[Nuorisotyöt. väh. ja osaamistarp. vast., työvoima-koulutus 1]]</f>
        <v>0</v>
      </c>
      <c r="AP136" s="204">
        <f>Opv.kohd.[[#This Row],[Yhteensä 4]]-Opv.kohd.[[#This Row],[Yhteensä  1]]</f>
        <v>0</v>
      </c>
      <c r="AQ136" s="204">
        <f>Opv.kohd.[[#This Row],[Ensikertaisella suoritepäätöksellä jaetut tavoitteelliset opiskelijavuodet yhteensä 4]]-Opv.kohd.[[#This Row],[Ensikertaisella suoritepäätöksellä jaetut tavoitteelliset opiskelijavuodet yhteensä 1]]</f>
        <v>0</v>
      </c>
      <c r="AR136" s="208">
        <f>IFERROR(Opv.kohd.[[#This Row],[Järjestämisluvan mukaiset 5]]/Opv.kohd.[[#This Row],[Järjestämisluvan mukaiset 4]],0)</f>
        <v>0</v>
      </c>
      <c r="AS136" s="208">
        <f>IFERROR(Opv.kohd.[[#This Row],[Kohdentamat-tomat 5]]/Opv.kohd.[[#This Row],[Kohdentamat-tomat 4]],0)</f>
        <v>0</v>
      </c>
      <c r="AT136" s="208">
        <f>IFERROR(Opv.kohd.[[#This Row],[Työvoima-koulutus 5]]/Opv.kohd.[[#This Row],[Työvoima-koulutus 4]],0)</f>
        <v>0</v>
      </c>
      <c r="AU136" s="208">
        <f>IFERROR(Opv.kohd.[[#This Row],[Maahan-muuttajien koulutus 5]]/Opv.kohd.[[#This Row],[Maahan-muuttajien koulutus 4]],0)</f>
        <v>0</v>
      </c>
      <c r="AV136" s="208">
        <f>IFERROR(Opv.kohd.[[#This Row],[Nuorisotyöt. väh. ja osaamistarp. vast., muu kuin työvoima-koulutus 5]]/Opv.kohd.[[#This Row],[Nuorisotyöt. väh. ja osaamistarp. vast., muu kuin työvoima-koulutus 4]],0)</f>
        <v>0</v>
      </c>
      <c r="AW136" s="208">
        <f>IFERROR(Opv.kohd.[[#This Row],[Nuorisotyöt. väh. ja osaamistarp. vast., työvoima-koulutus 5]]/Opv.kohd.[[#This Row],[Nuorisotyöt. väh. ja osaamistarp. vast., työvoima-koulutus 4]],0)</f>
        <v>0</v>
      </c>
      <c r="AX136" s="208">
        <f>IFERROR(Opv.kohd.[[#This Row],[Yhteensä 5]]/Opv.kohd.[[#This Row],[Yhteensä 4]],0)</f>
        <v>0</v>
      </c>
      <c r="AY136" s="208">
        <f>IFERROR(Opv.kohd.[[#This Row],[Ensikertaisella suoritepäätöksellä jaetut tavoitteelliset opiskelijavuodet yhteensä 5]]/Opv.kohd.[[#This Row],[Ensikertaisella suoritepäätöksellä jaetut tavoitteelliset opiskelijavuodet yhteensä 4]],0)</f>
        <v>0</v>
      </c>
      <c r="AZ136" s="207">
        <f>Opv.kohd.[[#This Row],[Yhteensä 7a]]-Opv.kohd.[[#This Row],[Työvoima-koulutus 7a]]</f>
        <v>0</v>
      </c>
      <c r="BA136" s="207">
        <f>IFERROR(VLOOKUP(Opv.kohd.[[#This Row],[Y-tunnus]],#REF!,COLUMN(#REF!),FALSE),0)</f>
        <v>0</v>
      </c>
      <c r="BB136" s="207">
        <f>IFERROR(VLOOKUP(Opv.kohd.[[#This Row],[Y-tunnus]],#REF!,COLUMN(#REF!),FALSE),0)</f>
        <v>0</v>
      </c>
      <c r="BC136" s="207">
        <f>Opv.kohd.[[#This Row],[Muu kuin työvoima-koulutus 7c]]-Opv.kohd.[[#This Row],[Muu kuin työvoima-koulutus 7a]]</f>
        <v>0</v>
      </c>
      <c r="BD136" s="207">
        <f>Opv.kohd.[[#This Row],[Työvoima-koulutus 7c]]-Opv.kohd.[[#This Row],[Työvoima-koulutus 7a]]</f>
        <v>0</v>
      </c>
      <c r="BE136" s="207">
        <f>Opv.kohd.[[#This Row],[Yhteensä 7c]]-Opv.kohd.[[#This Row],[Yhteensä 7a]]</f>
        <v>0</v>
      </c>
      <c r="BF136" s="207">
        <f>Opv.kohd.[[#This Row],[Yhteensä 7c]]-Opv.kohd.[[#This Row],[Työvoima-koulutus 7c]]</f>
        <v>0</v>
      </c>
      <c r="BG136" s="207">
        <f>IFERROR(VLOOKUP(Opv.kohd.[[#This Row],[Y-tunnus]],#REF!,COLUMN(#REF!),FALSE),0)</f>
        <v>0</v>
      </c>
      <c r="BH136" s="207">
        <f>IFERROR(VLOOKUP(Opv.kohd.[[#This Row],[Y-tunnus]],#REF!,COLUMN(#REF!),FALSE),0)</f>
        <v>0</v>
      </c>
      <c r="BI136" s="207">
        <f>IFERROR(VLOOKUP(Opv.kohd.[[#This Row],[Y-tunnus]],#REF!,COLUMN(#REF!),FALSE),0)</f>
        <v>0</v>
      </c>
      <c r="BJ136" s="207">
        <f>IFERROR(VLOOKUP(Opv.kohd.[[#This Row],[Y-tunnus]],#REF!,COLUMN(#REF!),FALSE),0)</f>
        <v>0</v>
      </c>
      <c r="BK136" s="207">
        <f>Opv.kohd.[[#This Row],[Muu kuin työvoima-koulutus 7d]]+Opv.kohd.[[#This Row],[Työvoima-koulutus 7d]]</f>
        <v>0</v>
      </c>
      <c r="BL136" s="207">
        <f>Opv.kohd.[[#This Row],[Muu kuin työvoima-koulutus 7c]]-Opv.kohd.[[#This Row],[Muu kuin työvoima-koulutus 7d]]</f>
        <v>0</v>
      </c>
      <c r="BM136" s="207">
        <f>Opv.kohd.[[#This Row],[Työvoima-koulutus 7c]]-Opv.kohd.[[#This Row],[Työvoima-koulutus 7d]]</f>
        <v>0</v>
      </c>
      <c r="BN136" s="207">
        <f>Opv.kohd.[[#This Row],[Yhteensä 7c]]-Opv.kohd.[[#This Row],[Yhteensä 7d]]</f>
        <v>0</v>
      </c>
      <c r="BO136" s="207">
        <f>Opv.kohd.[[#This Row],[Muu kuin työvoima-koulutus 7e]]-(Opv.kohd.[[#This Row],[Järjestämisluvan mukaiset 4]]+Opv.kohd.[[#This Row],[Kohdentamat-tomat 4]]+Opv.kohd.[[#This Row],[Maahan-muuttajien koulutus 4]]+Opv.kohd.[[#This Row],[Nuorisotyöt. väh. ja osaamistarp. vast., muu kuin työvoima-koulutus 4]])</f>
        <v>0</v>
      </c>
      <c r="BP136" s="207">
        <f>Opv.kohd.[[#This Row],[Työvoima-koulutus 7e]]-(Opv.kohd.[[#This Row],[Työvoima-koulutus 4]]+Opv.kohd.[[#This Row],[Nuorisotyöt. väh. ja osaamistarp. vast., työvoima-koulutus 4]])</f>
        <v>0</v>
      </c>
      <c r="BQ136" s="207">
        <f>Opv.kohd.[[#This Row],[Yhteensä 7e]]-Opv.kohd.[[#This Row],[Ensikertaisella suoritepäätöksellä jaetut tavoitteelliset opiskelijavuodet yhteensä 4]]</f>
        <v>0</v>
      </c>
      <c r="BR136" s="263">
        <v>1394</v>
      </c>
      <c r="BS136" s="263">
        <v>20</v>
      </c>
      <c r="BT136" s="263">
        <v>80</v>
      </c>
      <c r="BU136" s="263">
        <v>25</v>
      </c>
      <c r="BV136" s="263">
        <v>0</v>
      </c>
      <c r="BW136" s="263">
        <v>0</v>
      </c>
      <c r="BX136" s="263">
        <v>125</v>
      </c>
      <c r="BY136" s="263">
        <v>1519</v>
      </c>
      <c r="BZ136" s="207">
        <f t="shared" ref="BZ136:BZ175" si="32">BR136-AB136</f>
        <v>1394</v>
      </c>
      <c r="CA136" s="207">
        <f t="shared" ref="CA136:CA175" si="33">BS136-AC136</f>
        <v>20</v>
      </c>
      <c r="CB136" s="207">
        <f t="shared" ref="CB136:CB175" si="34">BT136-AD136</f>
        <v>80</v>
      </c>
      <c r="CC136" s="207">
        <f t="shared" ref="CC136:CC175" si="35">BU136-AE136</f>
        <v>25</v>
      </c>
      <c r="CD136" s="207">
        <f t="shared" ref="CD136:CD175" si="36">BV136-AF136</f>
        <v>0</v>
      </c>
      <c r="CE136" s="207">
        <f t="shared" ref="CE136:CE175" si="37">BW136-AG136</f>
        <v>0</v>
      </c>
      <c r="CF136" s="207">
        <f t="shared" ref="CF136:CF175" si="38">BX136-AH136</f>
        <v>125</v>
      </c>
      <c r="CG136" s="207">
        <f t="shared" ref="CG136:CG175" si="39">BY136-AI136</f>
        <v>1519</v>
      </c>
      <c r="CH136" s="207">
        <f>Opv.kohd.[[#This Row],[Tavoitteelliset opiskelijavuodet yhteensä 9]]-Opv.kohd.[[#This Row],[Työvoima-koulutus 9]]-Opv.kohd.[[#This Row],[Nuorisotyöt. väh. ja osaamistarp. vast., työvoima-koulutus 9]]-Opv.kohd.[[#This Row],[Muu kuin työvoima-koulutus 7e]]</f>
        <v>1439</v>
      </c>
      <c r="CI136" s="207">
        <f>(Opv.kohd.[[#This Row],[Työvoima-koulutus 9]]+Opv.kohd.[[#This Row],[Nuorisotyöt. väh. ja osaamistarp. vast., työvoima-koulutus 9]])-Opv.kohd.[[#This Row],[Työvoima-koulutus 7e]]</f>
        <v>80</v>
      </c>
      <c r="CJ136" s="207">
        <f>Opv.kohd.[[#This Row],[Tavoitteelliset opiskelijavuodet yhteensä 9]]-Opv.kohd.[[#This Row],[Yhteensä 7e]]</f>
        <v>1519</v>
      </c>
      <c r="CK136" s="207">
        <f>Opv.kohd.[[#This Row],[Järjestämisluvan mukaiset 4]]+Opv.kohd.[[#This Row],[Järjestämisluvan mukaiset 13]]</f>
        <v>0</v>
      </c>
      <c r="CL136" s="207">
        <f>Opv.kohd.[[#This Row],[Kohdentamat-tomat 4]]+Opv.kohd.[[#This Row],[Kohdentamat-tomat 13]]</f>
        <v>0</v>
      </c>
      <c r="CM136" s="207">
        <f>Opv.kohd.[[#This Row],[Työvoima-koulutus 4]]+Opv.kohd.[[#This Row],[Työvoima-koulutus 13]]</f>
        <v>0</v>
      </c>
      <c r="CN136" s="207">
        <f>Opv.kohd.[[#This Row],[Maahan-muuttajien koulutus 4]]+Opv.kohd.[[#This Row],[Maahan-muuttajien koulutus 13]]</f>
        <v>0</v>
      </c>
      <c r="CO136" s="207">
        <f>Opv.kohd.[[#This Row],[Nuorisotyöt. väh. ja osaamistarp. vast., muu kuin työvoima-koulutus 4]]+Opv.kohd.[[#This Row],[Nuorisotyöt. väh. ja osaamistarp. vast., muu kuin työvoima-koulutus 13]]</f>
        <v>0</v>
      </c>
      <c r="CP136" s="207">
        <f>Opv.kohd.[[#This Row],[Nuorisotyöt. väh. ja osaamistarp. vast., työvoima-koulutus 4]]+Opv.kohd.[[#This Row],[Nuorisotyöt. väh. ja osaamistarp. vast., työvoima-koulutus 13]]</f>
        <v>0</v>
      </c>
      <c r="CQ136" s="207">
        <f>Opv.kohd.[[#This Row],[Yhteensä 4]]+Opv.kohd.[[#This Row],[Yhteensä 13]]</f>
        <v>0</v>
      </c>
      <c r="CR136" s="207">
        <f>Opv.kohd.[[#This Row],[Ensikertaisella suoritepäätöksellä jaetut tavoitteelliset opiskelijavuodet yhteensä 4]]+Opv.kohd.[[#This Row],[Tavoitteelliset opiskelijavuodet yhteensä 13]]</f>
        <v>0</v>
      </c>
      <c r="CS136" s="120">
        <v>0</v>
      </c>
      <c r="CT136" s="120">
        <v>0</v>
      </c>
      <c r="CU136" s="120">
        <v>0</v>
      </c>
      <c r="CV136" s="120">
        <v>0</v>
      </c>
      <c r="CW136" s="120">
        <v>0</v>
      </c>
      <c r="CX136" s="120">
        <v>0</v>
      </c>
      <c r="CY136" s="120">
        <v>0</v>
      </c>
      <c r="CZ136" s="120">
        <v>0</v>
      </c>
      <c r="DA136" s="209">
        <f>IFERROR(Opv.kohd.[[#This Row],[Järjestämisluvan mukaiset 13]]/Opv.kohd.[[#This Row],[Järjestämisluvan mukaiset 12]],0)</f>
        <v>0</v>
      </c>
      <c r="DB136" s="209">
        <f>IFERROR(Opv.kohd.[[#This Row],[Kohdentamat-tomat 13]]/Opv.kohd.[[#This Row],[Kohdentamat-tomat 12]],0)</f>
        <v>0</v>
      </c>
      <c r="DC136" s="209">
        <f>IFERROR(Opv.kohd.[[#This Row],[Työvoima-koulutus 13]]/Opv.kohd.[[#This Row],[Työvoima-koulutus 12]],0)</f>
        <v>0</v>
      </c>
      <c r="DD136" s="209">
        <f>IFERROR(Opv.kohd.[[#This Row],[Maahan-muuttajien koulutus 13]]/Opv.kohd.[[#This Row],[Maahan-muuttajien koulutus 12]],0)</f>
        <v>0</v>
      </c>
      <c r="DE136" s="209">
        <f>IFERROR(Opv.kohd.[[#This Row],[Nuorisotyöt. väh. ja osaamistarp. vast., muu kuin työvoima-koulutus 13]]/Opv.kohd.[[#This Row],[Nuorisotyöt. väh. ja osaamistarp. vast., muu kuin työvoima-koulutus 12]],0)</f>
        <v>0</v>
      </c>
      <c r="DF136" s="209">
        <f>IFERROR(Opv.kohd.[[#This Row],[Nuorisotyöt. väh. ja osaamistarp. vast., työvoima-koulutus 13]]/Opv.kohd.[[#This Row],[Nuorisotyöt. väh. ja osaamistarp. vast., työvoima-koulutus 12]],0)</f>
        <v>0</v>
      </c>
      <c r="DG136" s="209">
        <f>IFERROR(Opv.kohd.[[#This Row],[Yhteensä 13]]/Opv.kohd.[[#This Row],[Yhteensä 12]],0)</f>
        <v>0</v>
      </c>
      <c r="DH136" s="209">
        <f>IFERROR(Opv.kohd.[[#This Row],[Tavoitteelliset opiskelijavuodet yhteensä 13]]/Opv.kohd.[[#This Row],[Tavoitteelliset opiskelijavuodet yhteensä 12]],0)</f>
        <v>0</v>
      </c>
      <c r="DI136" s="207">
        <f>Opv.kohd.[[#This Row],[Järjestämisluvan mukaiset 12]]-Opv.kohd.[[#This Row],[Järjestämisluvan mukaiset 9]]</f>
        <v>-1394</v>
      </c>
      <c r="DJ136" s="207">
        <f>Opv.kohd.[[#This Row],[Kohdentamat-tomat 12]]-Opv.kohd.[[#This Row],[Kohdentamat-tomat 9]]</f>
        <v>-20</v>
      </c>
      <c r="DK136" s="207">
        <f>Opv.kohd.[[#This Row],[Työvoima-koulutus 12]]-Opv.kohd.[[#This Row],[Työvoima-koulutus 9]]</f>
        <v>-80</v>
      </c>
      <c r="DL136" s="207">
        <f>Opv.kohd.[[#This Row],[Maahan-muuttajien koulutus 12]]-Opv.kohd.[[#This Row],[Maahan-muuttajien koulutus 9]]</f>
        <v>-25</v>
      </c>
      <c r="DM136" s="207">
        <f>Opv.kohd.[[#This Row],[Nuorisotyöt. väh. ja osaamistarp. vast., muu kuin työvoima-koulutus 12]]-Opv.kohd.[[#This Row],[Nuorisotyöt. väh. ja osaamistarp. vast., muu kuin työvoima-koulutus 9]]</f>
        <v>0</v>
      </c>
      <c r="DN136" s="207">
        <f>Opv.kohd.[[#This Row],[Nuorisotyöt. väh. ja osaamistarp. vast., työvoima-koulutus 12]]-Opv.kohd.[[#This Row],[Nuorisotyöt. väh. ja osaamistarp. vast., työvoima-koulutus 9]]</f>
        <v>0</v>
      </c>
      <c r="DO136" s="207">
        <f>Opv.kohd.[[#This Row],[Yhteensä 12]]-Opv.kohd.[[#This Row],[Yhteensä 9]]</f>
        <v>-125</v>
      </c>
      <c r="DP136" s="207">
        <f>Opv.kohd.[[#This Row],[Tavoitteelliset opiskelijavuodet yhteensä 12]]-Opv.kohd.[[#This Row],[Tavoitteelliset opiskelijavuodet yhteensä 9]]</f>
        <v>-1519</v>
      </c>
      <c r="DQ136" s="209">
        <f>IFERROR(Opv.kohd.[[#This Row],[Järjestämisluvan mukaiset 15]]/Opv.kohd.[[#This Row],[Järjestämisluvan mukaiset 9]],0)</f>
        <v>-1</v>
      </c>
      <c r="DR136" s="209">
        <f t="shared" ref="DR136:DR175" si="40">IFERROR(DJ136/AC136,0)</f>
        <v>0</v>
      </c>
      <c r="DS136" s="209">
        <f t="shared" ref="DS136:DS175" si="41">IFERROR(DK136/AD136,0)</f>
        <v>0</v>
      </c>
      <c r="DT136" s="209">
        <f t="shared" ref="DT136:DT175" si="42">IFERROR(DL136/AE136,0)</f>
        <v>0</v>
      </c>
      <c r="DU136" s="209">
        <f t="shared" ref="DU136:DU175" si="43">IFERROR(DM136/AF136,0)</f>
        <v>0</v>
      </c>
      <c r="DV136" s="209">
        <f t="shared" ref="DV136:DV175" si="44">IFERROR(DN136/AG136,0)</f>
        <v>0</v>
      </c>
      <c r="DW136" s="209">
        <f t="shared" ref="DW136:DW175" si="45">IFERROR(DO136/AH136,0)</f>
        <v>0</v>
      </c>
      <c r="DX136" s="209">
        <f t="shared" ref="DX136:DX175" si="46">IFERROR(DP136/AI136,0)</f>
        <v>0</v>
      </c>
    </row>
    <row r="137" spans="1:128" x14ac:dyDescent="0.25">
      <c r="A137" s="204" t="e">
        <f>IF(INDEX(#REF!,ROW(137:137)-1,1)=0,"",INDEX(#REF!,ROW(137:137)-1,1))</f>
        <v>#REF!</v>
      </c>
      <c r="B137" s="205" t="str">
        <f>IFERROR(VLOOKUP(Opv.kohd.[[#This Row],[Y-tunnus]],'0 Järjestäjätiedot'!$A:$H,2,FALSE),"")</f>
        <v/>
      </c>
      <c r="C137" s="204" t="str">
        <f>IFERROR(VLOOKUP(Opv.kohd.[[#This Row],[Y-tunnus]],'0 Järjestäjätiedot'!$A:$H,COLUMN('0 Järjestäjätiedot'!D:D),FALSE),"")</f>
        <v/>
      </c>
      <c r="D137" s="204" t="str">
        <f>IFERROR(VLOOKUP(Opv.kohd.[[#This Row],[Y-tunnus]],'0 Järjestäjätiedot'!$A:$H,COLUMN('0 Järjestäjätiedot'!H:H),FALSE),"")</f>
        <v/>
      </c>
      <c r="E137" s="204">
        <f>IFERROR(VLOOKUP(Opv.kohd.[[#This Row],[Y-tunnus]],#REF!,COLUMN(#REF!),FALSE),0)</f>
        <v>0</v>
      </c>
      <c r="F137" s="204">
        <f>IFERROR(VLOOKUP(Opv.kohd.[[#This Row],[Y-tunnus]],#REF!,COLUMN(#REF!),FALSE),0)</f>
        <v>0</v>
      </c>
      <c r="G137" s="204">
        <f>IFERROR(VLOOKUP(Opv.kohd.[[#This Row],[Y-tunnus]],#REF!,COLUMN(#REF!),FALSE),0)</f>
        <v>0</v>
      </c>
      <c r="H137" s="204">
        <f>IFERROR(VLOOKUP(Opv.kohd.[[#This Row],[Y-tunnus]],#REF!,COLUMN(#REF!),FALSE),0)</f>
        <v>0</v>
      </c>
      <c r="I137" s="204">
        <f>IFERROR(VLOOKUP(Opv.kohd.[[#This Row],[Y-tunnus]],#REF!,COLUMN(#REF!),FALSE),0)</f>
        <v>0</v>
      </c>
      <c r="J137" s="204">
        <f>IFERROR(VLOOKUP(Opv.kohd.[[#This Row],[Y-tunnus]],#REF!,COLUMN(#REF!),FALSE),0)</f>
        <v>0</v>
      </c>
      <c r="K13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37" s="204">
        <f>Opv.kohd.[[#This Row],[Järjestämisluvan mukaiset 1]]+Opv.kohd.[[#This Row],[Yhteensä  1]]</f>
        <v>0</v>
      </c>
      <c r="M137" s="204">
        <f>IFERROR(VLOOKUP(Opv.kohd.[[#This Row],[Y-tunnus]],#REF!,COLUMN(#REF!),FALSE),0)</f>
        <v>0</v>
      </c>
      <c r="N137" s="204">
        <f>IFERROR(VLOOKUP(Opv.kohd.[[#This Row],[Y-tunnus]],#REF!,COLUMN(#REF!),FALSE),0)</f>
        <v>0</v>
      </c>
      <c r="O137" s="204">
        <f>IFERROR(VLOOKUP(Opv.kohd.[[#This Row],[Y-tunnus]],#REF!,COLUMN(#REF!),FALSE)+VLOOKUP(Opv.kohd.[[#This Row],[Y-tunnus]],#REF!,COLUMN(#REF!),FALSE),0)</f>
        <v>0</v>
      </c>
      <c r="P137" s="204">
        <f>Opv.kohd.[[#This Row],[Talousarvion perusteella kohdentamattomat]]+Opv.kohd.[[#This Row],[Talousarvion perusteella työvoimakoulutus 1]]+Opv.kohd.[[#This Row],[Lisätalousarvioiden perusteella]]</f>
        <v>0</v>
      </c>
      <c r="Q137" s="204">
        <f>IFERROR(VLOOKUP(Opv.kohd.[[#This Row],[Y-tunnus]],#REF!,COLUMN(#REF!),FALSE),0)</f>
        <v>0</v>
      </c>
      <c r="R137" s="210">
        <f>IFERROR(VLOOKUP(Opv.kohd.[[#This Row],[Y-tunnus]],#REF!,COLUMN(#REF!),FALSE)-(Opv.kohd.[[#This Row],[Kohdentamaton työvoima-koulutus 2]]+Opv.kohd.[[#This Row],[Maahan-muuttajien koulutus 2]]+Opv.kohd.[[#This Row],[Lisätalousarvioiden perusteella jaetut 2]]),0)</f>
        <v>0</v>
      </c>
      <c r="S137" s="210">
        <f>IFERROR(VLOOKUP(Opv.kohd.[[#This Row],[Y-tunnus]],#REF!,COLUMN(#REF!),FALSE)+VLOOKUP(Opv.kohd.[[#This Row],[Y-tunnus]],#REF!,COLUMN(#REF!),FALSE),0)</f>
        <v>0</v>
      </c>
      <c r="T137" s="210">
        <f>IFERROR(VLOOKUP(Opv.kohd.[[#This Row],[Y-tunnus]],#REF!,COLUMN(#REF!),FALSE)+VLOOKUP(Opv.kohd.[[#This Row],[Y-tunnus]],#REF!,COLUMN(#REF!),FALSE),0)</f>
        <v>0</v>
      </c>
      <c r="U13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37" s="210">
        <f>Opv.kohd.[[#This Row],[Kohdentamat-tomat 2]]+Opv.kohd.[[#This Row],[Kohdentamaton työvoima-koulutus 2]]+Opv.kohd.[[#This Row],[Maahan-muuttajien koulutus 2]]+Opv.kohd.[[#This Row],[Lisätalousarvioiden perusteella jaetut 2]]</f>
        <v>0</v>
      </c>
      <c r="W137" s="210">
        <f>Opv.kohd.[[#This Row],[Kohdentamat-tomat 2]]-(Opv.kohd.[[#This Row],[Järjestämisluvan mukaiset 1]]+Opv.kohd.[[#This Row],[Kohdentamat-tomat 1]]+Opv.kohd.[[#This Row],[Nuorisotyöt. väh. ja osaamistarp. vast., muu kuin työvoima-koulutus 1]]+Opv.kohd.[[#This Row],[Talousarvion perusteella kohdentamattomat]])</f>
        <v>0</v>
      </c>
      <c r="X137" s="210">
        <f>Opv.kohd.[[#This Row],[Kohdentamaton työvoima-koulutus 2]]-(Opv.kohd.[[#This Row],[Työvoima-koulutus 1]]+Opv.kohd.[[#This Row],[Nuorisotyöt. väh. ja osaamistarp. vast., työvoima-koulutus 1]]+Opv.kohd.[[#This Row],[Talousarvion perusteella työvoimakoulutus 1]])</f>
        <v>0</v>
      </c>
      <c r="Y137" s="210">
        <f>Opv.kohd.[[#This Row],[Maahan-muuttajien koulutus 2]]-Opv.kohd.[[#This Row],[Maahan-muuttajien koulutus 1]]</f>
        <v>0</v>
      </c>
      <c r="Z137" s="210">
        <f>Opv.kohd.[[#This Row],[Lisätalousarvioiden perusteella jaetut 2]]-Opv.kohd.[[#This Row],[Lisätalousarvioiden perusteella]]</f>
        <v>0</v>
      </c>
      <c r="AA137" s="210">
        <f>Opv.kohd.[[#This Row],[Toteutuneet opiskelijavuodet yhteensä 2]]-Opv.kohd.[[#This Row],[Vuoden 2018 tavoitteelliset opiskelijavuodet yhteensä 1]]</f>
        <v>0</v>
      </c>
      <c r="AB137" s="207">
        <f>IFERROR(VLOOKUP(Opv.kohd.[[#This Row],[Y-tunnus]],#REF!,3,FALSE),0)</f>
        <v>0</v>
      </c>
      <c r="AC137" s="207">
        <f>IFERROR(VLOOKUP(Opv.kohd.[[#This Row],[Y-tunnus]],#REF!,4,FALSE),0)</f>
        <v>0</v>
      </c>
      <c r="AD137" s="207">
        <f>IFERROR(VLOOKUP(Opv.kohd.[[#This Row],[Y-tunnus]],#REF!,5,FALSE),0)</f>
        <v>0</v>
      </c>
      <c r="AE137" s="207">
        <f>IFERROR(VLOOKUP(Opv.kohd.[[#This Row],[Y-tunnus]],#REF!,6,FALSE),0)</f>
        <v>0</v>
      </c>
      <c r="AF137" s="207">
        <f>IFERROR(VLOOKUP(Opv.kohd.[[#This Row],[Y-tunnus]],#REF!,7,FALSE),0)</f>
        <v>0</v>
      </c>
      <c r="AG137" s="207">
        <f>IFERROR(VLOOKUP(Opv.kohd.[[#This Row],[Y-tunnus]],#REF!,8,FALSE),0)</f>
        <v>0</v>
      </c>
      <c r="AH137" s="207">
        <f>IFERROR(VLOOKUP(Opv.kohd.[[#This Row],[Y-tunnus]],#REF!,9,FALSE),0)</f>
        <v>0</v>
      </c>
      <c r="AI137" s="207">
        <f>IFERROR(VLOOKUP(Opv.kohd.[[#This Row],[Y-tunnus]],#REF!,10,FALSE),0)</f>
        <v>0</v>
      </c>
      <c r="AJ137" s="204">
        <f>Opv.kohd.[[#This Row],[Järjestämisluvan mukaiset 4]]-Opv.kohd.[[#This Row],[Järjestämisluvan mukaiset 1]]</f>
        <v>0</v>
      </c>
      <c r="AK137" s="204">
        <f>Opv.kohd.[[#This Row],[Kohdentamat-tomat 4]]-Opv.kohd.[[#This Row],[Kohdentamat-tomat 1]]</f>
        <v>0</v>
      </c>
      <c r="AL137" s="204">
        <f>Opv.kohd.[[#This Row],[Työvoima-koulutus 4]]-Opv.kohd.[[#This Row],[Työvoima-koulutus 1]]</f>
        <v>0</v>
      </c>
      <c r="AM137" s="204">
        <f>Opv.kohd.[[#This Row],[Maahan-muuttajien koulutus 4]]-Opv.kohd.[[#This Row],[Maahan-muuttajien koulutus 1]]</f>
        <v>0</v>
      </c>
      <c r="AN137" s="204">
        <f>Opv.kohd.[[#This Row],[Nuorisotyöt. väh. ja osaamistarp. vast., muu kuin työvoima-koulutus 4]]-Opv.kohd.[[#This Row],[Nuorisotyöt. väh. ja osaamistarp. vast., muu kuin työvoima-koulutus 1]]</f>
        <v>0</v>
      </c>
      <c r="AO137" s="204">
        <f>Opv.kohd.[[#This Row],[Nuorisotyöt. väh. ja osaamistarp. vast., työvoima-koulutus 4]]-Opv.kohd.[[#This Row],[Nuorisotyöt. väh. ja osaamistarp. vast., työvoima-koulutus 1]]</f>
        <v>0</v>
      </c>
      <c r="AP137" s="204">
        <f>Opv.kohd.[[#This Row],[Yhteensä 4]]-Opv.kohd.[[#This Row],[Yhteensä  1]]</f>
        <v>0</v>
      </c>
      <c r="AQ137" s="204">
        <f>Opv.kohd.[[#This Row],[Ensikertaisella suoritepäätöksellä jaetut tavoitteelliset opiskelijavuodet yhteensä 4]]-Opv.kohd.[[#This Row],[Ensikertaisella suoritepäätöksellä jaetut tavoitteelliset opiskelijavuodet yhteensä 1]]</f>
        <v>0</v>
      </c>
      <c r="AR137" s="208">
        <f>IFERROR(Opv.kohd.[[#This Row],[Järjestämisluvan mukaiset 5]]/Opv.kohd.[[#This Row],[Järjestämisluvan mukaiset 4]],0)</f>
        <v>0</v>
      </c>
      <c r="AS137" s="208">
        <f>IFERROR(Opv.kohd.[[#This Row],[Kohdentamat-tomat 5]]/Opv.kohd.[[#This Row],[Kohdentamat-tomat 4]],0)</f>
        <v>0</v>
      </c>
      <c r="AT137" s="208">
        <f>IFERROR(Opv.kohd.[[#This Row],[Työvoima-koulutus 5]]/Opv.kohd.[[#This Row],[Työvoima-koulutus 4]],0)</f>
        <v>0</v>
      </c>
      <c r="AU137" s="208">
        <f>IFERROR(Opv.kohd.[[#This Row],[Maahan-muuttajien koulutus 5]]/Opv.kohd.[[#This Row],[Maahan-muuttajien koulutus 4]],0)</f>
        <v>0</v>
      </c>
      <c r="AV137" s="208">
        <f>IFERROR(Opv.kohd.[[#This Row],[Nuorisotyöt. väh. ja osaamistarp. vast., muu kuin työvoima-koulutus 5]]/Opv.kohd.[[#This Row],[Nuorisotyöt. väh. ja osaamistarp. vast., muu kuin työvoima-koulutus 4]],0)</f>
        <v>0</v>
      </c>
      <c r="AW137" s="208">
        <f>IFERROR(Opv.kohd.[[#This Row],[Nuorisotyöt. väh. ja osaamistarp. vast., työvoima-koulutus 5]]/Opv.kohd.[[#This Row],[Nuorisotyöt. väh. ja osaamistarp. vast., työvoima-koulutus 4]],0)</f>
        <v>0</v>
      </c>
      <c r="AX137" s="208">
        <f>IFERROR(Opv.kohd.[[#This Row],[Yhteensä 5]]/Opv.kohd.[[#This Row],[Yhteensä 4]],0)</f>
        <v>0</v>
      </c>
      <c r="AY137" s="208">
        <f>IFERROR(Opv.kohd.[[#This Row],[Ensikertaisella suoritepäätöksellä jaetut tavoitteelliset opiskelijavuodet yhteensä 5]]/Opv.kohd.[[#This Row],[Ensikertaisella suoritepäätöksellä jaetut tavoitteelliset opiskelijavuodet yhteensä 4]],0)</f>
        <v>0</v>
      </c>
      <c r="AZ137" s="207">
        <f>Opv.kohd.[[#This Row],[Yhteensä 7a]]-Opv.kohd.[[#This Row],[Työvoima-koulutus 7a]]</f>
        <v>0</v>
      </c>
      <c r="BA137" s="207">
        <f>IFERROR(VLOOKUP(Opv.kohd.[[#This Row],[Y-tunnus]],#REF!,COLUMN(#REF!),FALSE),0)</f>
        <v>0</v>
      </c>
      <c r="BB137" s="207">
        <f>IFERROR(VLOOKUP(Opv.kohd.[[#This Row],[Y-tunnus]],#REF!,COLUMN(#REF!),FALSE),0)</f>
        <v>0</v>
      </c>
      <c r="BC137" s="207">
        <f>Opv.kohd.[[#This Row],[Muu kuin työvoima-koulutus 7c]]-Opv.kohd.[[#This Row],[Muu kuin työvoima-koulutus 7a]]</f>
        <v>0</v>
      </c>
      <c r="BD137" s="207">
        <f>Opv.kohd.[[#This Row],[Työvoima-koulutus 7c]]-Opv.kohd.[[#This Row],[Työvoima-koulutus 7a]]</f>
        <v>0</v>
      </c>
      <c r="BE137" s="207">
        <f>Opv.kohd.[[#This Row],[Yhteensä 7c]]-Opv.kohd.[[#This Row],[Yhteensä 7a]]</f>
        <v>0</v>
      </c>
      <c r="BF137" s="207">
        <f>Opv.kohd.[[#This Row],[Yhteensä 7c]]-Opv.kohd.[[#This Row],[Työvoima-koulutus 7c]]</f>
        <v>0</v>
      </c>
      <c r="BG137" s="207">
        <f>IFERROR(VLOOKUP(Opv.kohd.[[#This Row],[Y-tunnus]],#REF!,COLUMN(#REF!),FALSE),0)</f>
        <v>0</v>
      </c>
      <c r="BH137" s="207">
        <f>IFERROR(VLOOKUP(Opv.kohd.[[#This Row],[Y-tunnus]],#REF!,COLUMN(#REF!),FALSE),0)</f>
        <v>0</v>
      </c>
      <c r="BI137" s="207">
        <f>IFERROR(VLOOKUP(Opv.kohd.[[#This Row],[Y-tunnus]],#REF!,COLUMN(#REF!),FALSE),0)</f>
        <v>0</v>
      </c>
      <c r="BJ137" s="207">
        <f>IFERROR(VLOOKUP(Opv.kohd.[[#This Row],[Y-tunnus]],#REF!,COLUMN(#REF!),FALSE),0)</f>
        <v>0</v>
      </c>
      <c r="BK137" s="207">
        <f>Opv.kohd.[[#This Row],[Muu kuin työvoima-koulutus 7d]]+Opv.kohd.[[#This Row],[Työvoima-koulutus 7d]]</f>
        <v>0</v>
      </c>
      <c r="BL137" s="207">
        <f>Opv.kohd.[[#This Row],[Muu kuin työvoima-koulutus 7c]]-Opv.kohd.[[#This Row],[Muu kuin työvoima-koulutus 7d]]</f>
        <v>0</v>
      </c>
      <c r="BM137" s="207">
        <f>Opv.kohd.[[#This Row],[Työvoima-koulutus 7c]]-Opv.kohd.[[#This Row],[Työvoima-koulutus 7d]]</f>
        <v>0</v>
      </c>
      <c r="BN137" s="207">
        <f>Opv.kohd.[[#This Row],[Yhteensä 7c]]-Opv.kohd.[[#This Row],[Yhteensä 7d]]</f>
        <v>0</v>
      </c>
      <c r="BO137" s="207">
        <f>Opv.kohd.[[#This Row],[Muu kuin työvoima-koulutus 7e]]-(Opv.kohd.[[#This Row],[Järjestämisluvan mukaiset 4]]+Opv.kohd.[[#This Row],[Kohdentamat-tomat 4]]+Opv.kohd.[[#This Row],[Maahan-muuttajien koulutus 4]]+Opv.kohd.[[#This Row],[Nuorisotyöt. väh. ja osaamistarp. vast., muu kuin työvoima-koulutus 4]])</f>
        <v>0</v>
      </c>
      <c r="BP137" s="207">
        <f>Opv.kohd.[[#This Row],[Työvoima-koulutus 7e]]-(Opv.kohd.[[#This Row],[Työvoima-koulutus 4]]+Opv.kohd.[[#This Row],[Nuorisotyöt. väh. ja osaamistarp. vast., työvoima-koulutus 4]])</f>
        <v>0</v>
      </c>
      <c r="BQ137" s="207">
        <f>Opv.kohd.[[#This Row],[Yhteensä 7e]]-Opv.kohd.[[#This Row],[Ensikertaisella suoritepäätöksellä jaetut tavoitteelliset opiskelijavuodet yhteensä 4]]</f>
        <v>0</v>
      </c>
      <c r="BR137" s="263">
        <v>956</v>
      </c>
      <c r="BS137" s="263">
        <v>100</v>
      </c>
      <c r="BT137" s="263">
        <v>604</v>
      </c>
      <c r="BU137" s="263">
        <v>140</v>
      </c>
      <c r="BV137" s="263">
        <v>110</v>
      </c>
      <c r="BW137" s="263">
        <v>130</v>
      </c>
      <c r="BX137" s="263">
        <v>1084</v>
      </c>
      <c r="BY137" s="263">
        <v>2040</v>
      </c>
      <c r="BZ137" s="207">
        <f t="shared" si="32"/>
        <v>956</v>
      </c>
      <c r="CA137" s="207">
        <f t="shared" si="33"/>
        <v>100</v>
      </c>
      <c r="CB137" s="207">
        <f t="shared" si="34"/>
        <v>604</v>
      </c>
      <c r="CC137" s="207">
        <f t="shared" si="35"/>
        <v>140</v>
      </c>
      <c r="CD137" s="207">
        <f t="shared" si="36"/>
        <v>110</v>
      </c>
      <c r="CE137" s="207">
        <f t="shared" si="37"/>
        <v>130</v>
      </c>
      <c r="CF137" s="207">
        <f t="shared" si="38"/>
        <v>1084</v>
      </c>
      <c r="CG137" s="207">
        <f t="shared" si="39"/>
        <v>2040</v>
      </c>
      <c r="CH137" s="207">
        <f>Opv.kohd.[[#This Row],[Tavoitteelliset opiskelijavuodet yhteensä 9]]-Opv.kohd.[[#This Row],[Työvoima-koulutus 9]]-Opv.kohd.[[#This Row],[Nuorisotyöt. väh. ja osaamistarp. vast., työvoima-koulutus 9]]-Opv.kohd.[[#This Row],[Muu kuin työvoima-koulutus 7e]]</f>
        <v>1306</v>
      </c>
      <c r="CI137" s="207">
        <f>(Opv.kohd.[[#This Row],[Työvoima-koulutus 9]]+Opv.kohd.[[#This Row],[Nuorisotyöt. väh. ja osaamistarp. vast., työvoima-koulutus 9]])-Opv.kohd.[[#This Row],[Työvoima-koulutus 7e]]</f>
        <v>734</v>
      </c>
      <c r="CJ137" s="207">
        <f>Opv.kohd.[[#This Row],[Tavoitteelliset opiskelijavuodet yhteensä 9]]-Opv.kohd.[[#This Row],[Yhteensä 7e]]</f>
        <v>2040</v>
      </c>
      <c r="CK137" s="207">
        <f>Opv.kohd.[[#This Row],[Järjestämisluvan mukaiset 4]]+Opv.kohd.[[#This Row],[Järjestämisluvan mukaiset 13]]</f>
        <v>0</v>
      </c>
      <c r="CL137" s="207">
        <f>Opv.kohd.[[#This Row],[Kohdentamat-tomat 4]]+Opv.kohd.[[#This Row],[Kohdentamat-tomat 13]]</f>
        <v>0</v>
      </c>
      <c r="CM137" s="207">
        <f>Opv.kohd.[[#This Row],[Työvoima-koulutus 4]]+Opv.kohd.[[#This Row],[Työvoima-koulutus 13]]</f>
        <v>0</v>
      </c>
      <c r="CN137" s="207">
        <f>Opv.kohd.[[#This Row],[Maahan-muuttajien koulutus 4]]+Opv.kohd.[[#This Row],[Maahan-muuttajien koulutus 13]]</f>
        <v>0</v>
      </c>
      <c r="CO137" s="207">
        <f>Opv.kohd.[[#This Row],[Nuorisotyöt. väh. ja osaamistarp. vast., muu kuin työvoima-koulutus 4]]+Opv.kohd.[[#This Row],[Nuorisotyöt. väh. ja osaamistarp. vast., muu kuin työvoima-koulutus 13]]</f>
        <v>0</v>
      </c>
      <c r="CP137" s="207">
        <f>Opv.kohd.[[#This Row],[Nuorisotyöt. väh. ja osaamistarp. vast., työvoima-koulutus 4]]+Opv.kohd.[[#This Row],[Nuorisotyöt. väh. ja osaamistarp. vast., työvoima-koulutus 13]]</f>
        <v>0</v>
      </c>
      <c r="CQ137" s="207">
        <f>Opv.kohd.[[#This Row],[Yhteensä 4]]+Opv.kohd.[[#This Row],[Yhteensä 13]]</f>
        <v>0</v>
      </c>
      <c r="CR137" s="207">
        <f>Opv.kohd.[[#This Row],[Ensikertaisella suoritepäätöksellä jaetut tavoitteelliset opiskelijavuodet yhteensä 4]]+Opv.kohd.[[#This Row],[Tavoitteelliset opiskelijavuodet yhteensä 13]]</f>
        <v>0</v>
      </c>
      <c r="CS137" s="120">
        <v>0</v>
      </c>
      <c r="CT137" s="120">
        <v>0</v>
      </c>
      <c r="CU137" s="120">
        <v>0</v>
      </c>
      <c r="CV137" s="120">
        <v>0</v>
      </c>
      <c r="CW137" s="120">
        <v>0</v>
      </c>
      <c r="CX137" s="120">
        <v>0</v>
      </c>
      <c r="CY137" s="120">
        <v>0</v>
      </c>
      <c r="CZ137" s="120">
        <v>0</v>
      </c>
      <c r="DA137" s="209">
        <f>IFERROR(Opv.kohd.[[#This Row],[Järjestämisluvan mukaiset 13]]/Opv.kohd.[[#This Row],[Järjestämisluvan mukaiset 12]],0)</f>
        <v>0</v>
      </c>
      <c r="DB137" s="209">
        <f>IFERROR(Opv.kohd.[[#This Row],[Kohdentamat-tomat 13]]/Opv.kohd.[[#This Row],[Kohdentamat-tomat 12]],0)</f>
        <v>0</v>
      </c>
      <c r="DC137" s="209">
        <f>IFERROR(Opv.kohd.[[#This Row],[Työvoima-koulutus 13]]/Opv.kohd.[[#This Row],[Työvoima-koulutus 12]],0)</f>
        <v>0</v>
      </c>
      <c r="DD137" s="209">
        <f>IFERROR(Opv.kohd.[[#This Row],[Maahan-muuttajien koulutus 13]]/Opv.kohd.[[#This Row],[Maahan-muuttajien koulutus 12]],0)</f>
        <v>0</v>
      </c>
      <c r="DE137" s="209">
        <f>IFERROR(Opv.kohd.[[#This Row],[Nuorisotyöt. väh. ja osaamistarp. vast., muu kuin työvoima-koulutus 13]]/Opv.kohd.[[#This Row],[Nuorisotyöt. väh. ja osaamistarp. vast., muu kuin työvoima-koulutus 12]],0)</f>
        <v>0</v>
      </c>
      <c r="DF137" s="209">
        <f>IFERROR(Opv.kohd.[[#This Row],[Nuorisotyöt. väh. ja osaamistarp. vast., työvoima-koulutus 13]]/Opv.kohd.[[#This Row],[Nuorisotyöt. väh. ja osaamistarp. vast., työvoima-koulutus 12]],0)</f>
        <v>0</v>
      </c>
      <c r="DG137" s="209">
        <f>IFERROR(Opv.kohd.[[#This Row],[Yhteensä 13]]/Opv.kohd.[[#This Row],[Yhteensä 12]],0)</f>
        <v>0</v>
      </c>
      <c r="DH137" s="209">
        <f>IFERROR(Opv.kohd.[[#This Row],[Tavoitteelliset opiskelijavuodet yhteensä 13]]/Opv.kohd.[[#This Row],[Tavoitteelliset opiskelijavuodet yhteensä 12]],0)</f>
        <v>0</v>
      </c>
      <c r="DI137" s="207">
        <f>Opv.kohd.[[#This Row],[Järjestämisluvan mukaiset 12]]-Opv.kohd.[[#This Row],[Järjestämisluvan mukaiset 9]]</f>
        <v>-956</v>
      </c>
      <c r="DJ137" s="207">
        <f>Opv.kohd.[[#This Row],[Kohdentamat-tomat 12]]-Opv.kohd.[[#This Row],[Kohdentamat-tomat 9]]</f>
        <v>-100</v>
      </c>
      <c r="DK137" s="207">
        <f>Opv.kohd.[[#This Row],[Työvoima-koulutus 12]]-Opv.kohd.[[#This Row],[Työvoima-koulutus 9]]</f>
        <v>-604</v>
      </c>
      <c r="DL137" s="207">
        <f>Opv.kohd.[[#This Row],[Maahan-muuttajien koulutus 12]]-Opv.kohd.[[#This Row],[Maahan-muuttajien koulutus 9]]</f>
        <v>-140</v>
      </c>
      <c r="DM137" s="207">
        <f>Opv.kohd.[[#This Row],[Nuorisotyöt. väh. ja osaamistarp. vast., muu kuin työvoima-koulutus 12]]-Opv.kohd.[[#This Row],[Nuorisotyöt. väh. ja osaamistarp. vast., muu kuin työvoima-koulutus 9]]</f>
        <v>-110</v>
      </c>
      <c r="DN137" s="207">
        <f>Opv.kohd.[[#This Row],[Nuorisotyöt. väh. ja osaamistarp. vast., työvoima-koulutus 12]]-Opv.kohd.[[#This Row],[Nuorisotyöt. väh. ja osaamistarp. vast., työvoima-koulutus 9]]</f>
        <v>-130</v>
      </c>
      <c r="DO137" s="207">
        <f>Opv.kohd.[[#This Row],[Yhteensä 12]]-Opv.kohd.[[#This Row],[Yhteensä 9]]</f>
        <v>-1084</v>
      </c>
      <c r="DP137" s="207">
        <f>Opv.kohd.[[#This Row],[Tavoitteelliset opiskelijavuodet yhteensä 12]]-Opv.kohd.[[#This Row],[Tavoitteelliset opiskelijavuodet yhteensä 9]]</f>
        <v>-2040</v>
      </c>
      <c r="DQ137" s="209">
        <f>IFERROR(Opv.kohd.[[#This Row],[Järjestämisluvan mukaiset 15]]/Opv.kohd.[[#This Row],[Järjestämisluvan mukaiset 9]],0)</f>
        <v>-1</v>
      </c>
      <c r="DR137" s="209">
        <f t="shared" si="40"/>
        <v>0</v>
      </c>
      <c r="DS137" s="209">
        <f t="shared" si="41"/>
        <v>0</v>
      </c>
      <c r="DT137" s="209">
        <f t="shared" si="42"/>
        <v>0</v>
      </c>
      <c r="DU137" s="209">
        <f t="shared" si="43"/>
        <v>0</v>
      </c>
      <c r="DV137" s="209">
        <f t="shared" si="44"/>
        <v>0</v>
      </c>
      <c r="DW137" s="209">
        <f t="shared" si="45"/>
        <v>0</v>
      </c>
      <c r="DX137" s="209">
        <f t="shared" si="46"/>
        <v>0</v>
      </c>
    </row>
    <row r="138" spans="1:128" x14ac:dyDescent="0.25">
      <c r="A138" s="204" t="e">
        <f>IF(INDEX(#REF!,ROW(138:138)-1,1)=0,"",INDEX(#REF!,ROW(138:138)-1,1))</f>
        <v>#REF!</v>
      </c>
      <c r="B138" s="205" t="str">
        <f>IFERROR(VLOOKUP(Opv.kohd.[[#This Row],[Y-tunnus]],'0 Järjestäjätiedot'!$A:$H,2,FALSE),"")</f>
        <v/>
      </c>
      <c r="C138" s="204" t="str">
        <f>IFERROR(VLOOKUP(Opv.kohd.[[#This Row],[Y-tunnus]],'0 Järjestäjätiedot'!$A:$H,COLUMN('0 Järjestäjätiedot'!D:D),FALSE),"")</f>
        <v/>
      </c>
      <c r="D138" s="204" t="str">
        <f>IFERROR(VLOOKUP(Opv.kohd.[[#This Row],[Y-tunnus]],'0 Järjestäjätiedot'!$A:$H,COLUMN('0 Järjestäjätiedot'!H:H),FALSE),"")</f>
        <v/>
      </c>
      <c r="E138" s="204">
        <f>IFERROR(VLOOKUP(Opv.kohd.[[#This Row],[Y-tunnus]],#REF!,COLUMN(#REF!),FALSE),0)</f>
        <v>0</v>
      </c>
      <c r="F138" s="204">
        <f>IFERROR(VLOOKUP(Opv.kohd.[[#This Row],[Y-tunnus]],#REF!,COLUMN(#REF!),FALSE),0)</f>
        <v>0</v>
      </c>
      <c r="G138" s="204">
        <f>IFERROR(VLOOKUP(Opv.kohd.[[#This Row],[Y-tunnus]],#REF!,COLUMN(#REF!),FALSE),0)</f>
        <v>0</v>
      </c>
      <c r="H138" s="204">
        <f>IFERROR(VLOOKUP(Opv.kohd.[[#This Row],[Y-tunnus]],#REF!,COLUMN(#REF!),FALSE),0)</f>
        <v>0</v>
      </c>
      <c r="I138" s="204">
        <f>IFERROR(VLOOKUP(Opv.kohd.[[#This Row],[Y-tunnus]],#REF!,COLUMN(#REF!),FALSE),0)</f>
        <v>0</v>
      </c>
      <c r="J138" s="204">
        <f>IFERROR(VLOOKUP(Opv.kohd.[[#This Row],[Y-tunnus]],#REF!,COLUMN(#REF!),FALSE),0)</f>
        <v>0</v>
      </c>
      <c r="K13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38" s="204">
        <f>Opv.kohd.[[#This Row],[Järjestämisluvan mukaiset 1]]+Opv.kohd.[[#This Row],[Yhteensä  1]]</f>
        <v>0</v>
      </c>
      <c r="M138" s="204">
        <f>IFERROR(VLOOKUP(Opv.kohd.[[#This Row],[Y-tunnus]],#REF!,COLUMN(#REF!),FALSE),0)</f>
        <v>0</v>
      </c>
      <c r="N138" s="204">
        <f>IFERROR(VLOOKUP(Opv.kohd.[[#This Row],[Y-tunnus]],#REF!,COLUMN(#REF!),FALSE),0)</f>
        <v>0</v>
      </c>
      <c r="O138" s="204">
        <f>IFERROR(VLOOKUP(Opv.kohd.[[#This Row],[Y-tunnus]],#REF!,COLUMN(#REF!),FALSE)+VLOOKUP(Opv.kohd.[[#This Row],[Y-tunnus]],#REF!,COLUMN(#REF!),FALSE),0)</f>
        <v>0</v>
      </c>
      <c r="P138" s="204">
        <f>Opv.kohd.[[#This Row],[Talousarvion perusteella kohdentamattomat]]+Opv.kohd.[[#This Row],[Talousarvion perusteella työvoimakoulutus 1]]+Opv.kohd.[[#This Row],[Lisätalousarvioiden perusteella]]</f>
        <v>0</v>
      </c>
      <c r="Q138" s="204">
        <f>IFERROR(VLOOKUP(Opv.kohd.[[#This Row],[Y-tunnus]],#REF!,COLUMN(#REF!),FALSE),0)</f>
        <v>0</v>
      </c>
      <c r="R138" s="210">
        <f>IFERROR(VLOOKUP(Opv.kohd.[[#This Row],[Y-tunnus]],#REF!,COLUMN(#REF!),FALSE)-(Opv.kohd.[[#This Row],[Kohdentamaton työvoima-koulutus 2]]+Opv.kohd.[[#This Row],[Maahan-muuttajien koulutus 2]]+Opv.kohd.[[#This Row],[Lisätalousarvioiden perusteella jaetut 2]]),0)</f>
        <v>0</v>
      </c>
      <c r="S138" s="210">
        <f>IFERROR(VLOOKUP(Opv.kohd.[[#This Row],[Y-tunnus]],#REF!,COLUMN(#REF!),FALSE)+VLOOKUP(Opv.kohd.[[#This Row],[Y-tunnus]],#REF!,COLUMN(#REF!),FALSE),0)</f>
        <v>0</v>
      </c>
      <c r="T138" s="210">
        <f>IFERROR(VLOOKUP(Opv.kohd.[[#This Row],[Y-tunnus]],#REF!,COLUMN(#REF!),FALSE)+VLOOKUP(Opv.kohd.[[#This Row],[Y-tunnus]],#REF!,COLUMN(#REF!),FALSE),0)</f>
        <v>0</v>
      </c>
      <c r="U13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38" s="210">
        <f>Opv.kohd.[[#This Row],[Kohdentamat-tomat 2]]+Opv.kohd.[[#This Row],[Kohdentamaton työvoima-koulutus 2]]+Opv.kohd.[[#This Row],[Maahan-muuttajien koulutus 2]]+Opv.kohd.[[#This Row],[Lisätalousarvioiden perusteella jaetut 2]]</f>
        <v>0</v>
      </c>
      <c r="W138" s="210">
        <f>Opv.kohd.[[#This Row],[Kohdentamat-tomat 2]]-(Opv.kohd.[[#This Row],[Järjestämisluvan mukaiset 1]]+Opv.kohd.[[#This Row],[Kohdentamat-tomat 1]]+Opv.kohd.[[#This Row],[Nuorisotyöt. väh. ja osaamistarp. vast., muu kuin työvoima-koulutus 1]]+Opv.kohd.[[#This Row],[Talousarvion perusteella kohdentamattomat]])</f>
        <v>0</v>
      </c>
      <c r="X138" s="210">
        <f>Opv.kohd.[[#This Row],[Kohdentamaton työvoima-koulutus 2]]-(Opv.kohd.[[#This Row],[Työvoima-koulutus 1]]+Opv.kohd.[[#This Row],[Nuorisotyöt. väh. ja osaamistarp. vast., työvoima-koulutus 1]]+Opv.kohd.[[#This Row],[Talousarvion perusteella työvoimakoulutus 1]])</f>
        <v>0</v>
      </c>
      <c r="Y138" s="210">
        <f>Opv.kohd.[[#This Row],[Maahan-muuttajien koulutus 2]]-Opv.kohd.[[#This Row],[Maahan-muuttajien koulutus 1]]</f>
        <v>0</v>
      </c>
      <c r="Z138" s="210">
        <f>Opv.kohd.[[#This Row],[Lisätalousarvioiden perusteella jaetut 2]]-Opv.kohd.[[#This Row],[Lisätalousarvioiden perusteella]]</f>
        <v>0</v>
      </c>
      <c r="AA138" s="210">
        <f>Opv.kohd.[[#This Row],[Toteutuneet opiskelijavuodet yhteensä 2]]-Opv.kohd.[[#This Row],[Vuoden 2018 tavoitteelliset opiskelijavuodet yhteensä 1]]</f>
        <v>0</v>
      </c>
      <c r="AB138" s="207">
        <f>IFERROR(VLOOKUP(Opv.kohd.[[#This Row],[Y-tunnus]],#REF!,3,FALSE),0)</f>
        <v>0</v>
      </c>
      <c r="AC138" s="207">
        <f>IFERROR(VLOOKUP(Opv.kohd.[[#This Row],[Y-tunnus]],#REF!,4,FALSE),0)</f>
        <v>0</v>
      </c>
      <c r="AD138" s="207">
        <f>IFERROR(VLOOKUP(Opv.kohd.[[#This Row],[Y-tunnus]],#REF!,5,FALSE),0)</f>
        <v>0</v>
      </c>
      <c r="AE138" s="207">
        <f>IFERROR(VLOOKUP(Opv.kohd.[[#This Row],[Y-tunnus]],#REF!,6,FALSE),0)</f>
        <v>0</v>
      </c>
      <c r="AF138" s="207">
        <f>IFERROR(VLOOKUP(Opv.kohd.[[#This Row],[Y-tunnus]],#REF!,7,FALSE),0)</f>
        <v>0</v>
      </c>
      <c r="AG138" s="207">
        <f>IFERROR(VLOOKUP(Opv.kohd.[[#This Row],[Y-tunnus]],#REF!,8,FALSE),0)</f>
        <v>0</v>
      </c>
      <c r="AH138" s="207">
        <f>IFERROR(VLOOKUP(Opv.kohd.[[#This Row],[Y-tunnus]],#REF!,9,FALSE),0)</f>
        <v>0</v>
      </c>
      <c r="AI138" s="207">
        <f>IFERROR(VLOOKUP(Opv.kohd.[[#This Row],[Y-tunnus]],#REF!,10,FALSE),0)</f>
        <v>0</v>
      </c>
      <c r="AJ138" s="204">
        <f>Opv.kohd.[[#This Row],[Järjestämisluvan mukaiset 4]]-Opv.kohd.[[#This Row],[Järjestämisluvan mukaiset 1]]</f>
        <v>0</v>
      </c>
      <c r="AK138" s="204">
        <f>Opv.kohd.[[#This Row],[Kohdentamat-tomat 4]]-Opv.kohd.[[#This Row],[Kohdentamat-tomat 1]]</f>
        <v>0</v>
      </c>
      <c r="AL138" s="204">
        <f>Opv.kohd.[[#This Row],[Työvoima-koulutus 4]]-Opv.kohd.[[#This Row],[Työvoima-koulutus 1]]</f>
        <v>0</v>
      </c>
      <c r="AM138" s="204">
        <f>Opv.kohd.[[#This Row],[Maahan-muuttajien koulutus 4]]-Opv.kohd.[[#This Row],[Maahan-muuttajien koulutus 1]]</f>
        <v>0</v>
      </c>
      <c r="AN138" s="204">
        <f>Opv.kohd.[[#This Row],[Nuorisotyöt. väh. ja osaamistarp. vast., muu kuin työvoima-koulutus 4]]-Opv.kohd.[[#This Row],[Nuorisotyöt. väh. ja osaamistarp. vast., muu kuin työvoima-koulutus 1]]</f>
        <v>0</v>
      </c>
      <c r="AO138" s="204">
        <f>Opv.kohd.[[#This Row],[Nuorisotyöt. väh. ja osaamistarp. vast., työvoima-koulutus 4]]-Opv.kohd.[[#This Row],[Nuorisotyöt. väh. ja osaamistarp. vast., työvoima-koulutus 1]]</f>
        <v>0</v>
      </c>
      <c r="AP138" s="204">
        <f>Opv.kohd.[[#This Row],[Yhteensä 4]]-Opv.kohd.[[#This Row],[Yhteensä  1]]</f>
        <v>0</v>
      </c>
      <c r="AQ138" s="204">
        <f>Opv.kohd.[[#This Row],[Ensikertaisella suoritepäätöksellä jaetut tavoitteelliset opiskelijavuodet yhteensä 4]]-Opv.kohd.[[#This Row],[Ensikertaisella suoritepäätöksellä jaetut tavoitteelliset opiskelijavuodet yhteensä 1]]</f>
        <v>0</v>
      </c>
      <c r="AR138" s="208">
        <f>IFERROR(Opv.kohd.[[#This Row],[Järjestämisluvan mukaiset 5]]/Opv.kohd.[[#This Row],[Järjestämisluvan mukaiset 4]],0)</f>
        <v>0</v>
      </c>
      <c r="AS138" s="208">
        <f>IFERROR(Opv.kohd.[[#This Row],[Kohdentamat-tomat 5]]/Opv.kohd.[[#This Row],[Kohdentamat-tomat 4]],0)</f>
        <v>0</v>
      </c>
      <c r="AT138" s="208">
        <f>IFERROR(Opv.kohd.[[#This Row],[Työvoima-koulutus 5]]/Opv.kohd.[[#This Row],[Työvoima-koulutus 4]],0)</f>
        <v>0</v>
      </c>
      <c r="AU138" s="208">
        <f>IFERROR(Opv.kohd.[[#This Row],[Maahan-muuttajien koulutus 5]]/Opv.kohd.[[#This Row],[Maahan-muuttajien koulutus 4]],0)</f>
        <v>0</v>
      </c>
      <c r="AV138" s="208">
        <f>IFERROR(Opv.kohd.[[#This Row],[Nuorisotyöt. väh. ja osaamistarp. vast., muu kuin työvoima-koulutus 5]]/Opv.kohd.[[#This Row],[Nuorisotyöt. väh. ja osaamistarp. vast., muu kuin työvoima-koulutus 4]],0)</f>
        <v>0</v>
      </c>
      <c r="AW138" s="208">
        <f>IFERROR(Opv.kohd.[[#This Row],[Nuorisotyöt. väh. ja osaamistarp. vast., työvoima-koulutus 5]]/Opv.kohd.[[#This Row],[Nuorisotyöt. väh. ja osaamistarp. vast., työvoima-koulutus 4]],0)</f>
        <v>0</v>
      </c>
      <c r="AX138" s="208">
        <f>IFERROR(Opv.kohd.[[#This Row],[Yhteensä 5]]/Opv.kohd.[[#This Row],[Yhteensä 4]],0)</f>
        <v>0</v>
      </c>
      <c r="AY138" s="208">
        <f>IFERROR(Opv.kohd.[[#This Row],[Ensikertaisella suoritepäätöksellä jaetut tavoitteelliset opiskelijavuodet yhteensä 5]]/Opv.kohd.[[#This Row],[Ensikertaisella suoritepäätöksellä jaetut tavoitteelliset opiskelijavuodet yhteensä 4]],0)</f>
        <v>0</v>
      </c>
      <c r="AZ138" s="207">
        <f>Opv.kohd.[[#This Row],[Yhteensä 7a]]-Opv.kohd.[[#This Row],[Työvoima-koulutus 7a]]</f>
        <v>0</v>
      </c>
      <c r="BA138" s="207">
        <f>IFERROR(VLOOKUP(Opv.kohd.[[#This Row],[Y-tunnus]],#REF!,COLUMN(#REF!),FALSE),0)</f>
        <v>0</v>
      </c>
      <c r="BB138" s="207">
        <f>IFERROR(VLOOKUP(Opv.kohd.[[#This Row],[Y-tunnus]],#REF!,COLUMN(#REF!),FALSE),0)</f>
        <v>0</v>
      </c>
      <c r="BC138" s="207">
        <f>Opv.kohd.[[#This Row],[Muu kuin työvoima-koulutus 7c]]-Opv.kohd.[[#This Row],[Muu kuin työvoima-koulutus 7a]]</f>
        <v>0</v>
      </c>
      <c r="BD138" s="207">
        <f>Opv.kohd.[[#This Row],[Työvoima-koulutus 7c]]-Opv.kohd.[[#This Row],[Työvoima-koulutus 7a]]</f>
        <v>0</v>
      </c>
      <c r="BE138" s="207">
        <f>Opv.kohd.[[#This Row],[Yhteensä 7c]]-Opv.kohd.[[#This Row],[Yhteensä 7a]]</f>
        <v>0</v>
      </c>
      <c r="BF138" s="207">
        <f>Opv.kohd.[[#This Row],[Yhteensä 7c]]-Opv.kohd.[[#This Row],[Työvoima-koulutus 7c]]</f>
        <v>0</v>
      </c>
      <c r="BG138" s="207">
        <f>IFERROR(VLOOKUP(Opv.kohd.[[#This Row],[Y-tunnus]],#REF!,COLUMN(#REF!),FALSE),0)</f>
        <v>0</v>
      </c>
      <c r="BH138" s="207">
        <f>IFERROR(VLOOKUP(Opv.kohd.[[#This Row],[Y-tunnus]],#REF!,COLUMN(#REF!),FALSE),0)</f>
        <v>0</v>
      </c>
      <c r="BI138" s="207">
        <f>IFERROR(VLOOKUP(Opv.kohd.[[#This Row],[Y-tunnus]],#REF!,COLUMN(#REF!),FALSE),0)</f>
        <v>0</v>
      </c>
      <c r="BJ138" s="207">
        <f>IFERROR(VLOOKUP(Opv.kohd.[[#This Row],[Y-tunnus]],#REF!,COLUMN(#REF!),FALSE),0)</f>
        <v>0</v>
      </c>
      <c r="BK138" s="207">
        <f>Opv.kohd.[[#This Row],[Muu kuin työvoima-koulutus 7d]]+Opv.kohd.[[#This Row],[Työvoima-koulutus 7d]]</f>
        <v>0</v>
      </c>
      <c r="BL138" s="207">
        <f>Opv.kohd.[[#This Row],[Muu kuin työvoima-koulutus 7c]]-Opv.kohd.[[#This Row],[Muu kuin työvoima-koulutus 7d]]</f>
        <v>0</v>
      </c>
      <c r="BM138" s="207">
        <f>Opv.kohd.[[#This Row],[Työvoima-koulutus 7c]]-Opv.kohd.[[#This Row],[Työvoima-koulutus 7d]]</f>
        <v>0</v>
      </c>
      <c r="BN138" s="207">
        <f>Opv.kohd.[[#This Row],[Yhteensä 7c]]-Opv.kohd.[[#This Row],[Yhteensä 7d]]</f>
        <v>0</v>
      </c>
      <c r="BO138" s="207">
        <f>Opv.kohd.[[#This Row],[Muu kuin työvoima-koulutus 7e]]-(Opv.kohd.[[#This Row],[Järjestämisluvan mukaiset 4]]+Opv.kohd.[[#This Row],[Kohdentamat-tomat 4]]+Opv.kohd.[[#This Row],[Maahan-muuttajien koulutus 4]]+Opv.kohd.[[#This Row],[Nuorisotyöt. väh. ja osaamistarp. vast., muu kuin työvoima-koulutus 4]])</f>
        <v>0</v>
      </c>
      <c r="BP138" s="207">
        <f>Opv.kohd.[[#This Row],[Työvoima-koulutus 7e]]-(Opv.kohd.[[#This Row],[Työvoima-koulutus 4]]+Opv.kohd.[[#This Row],[Nuorisotyöt. väh. ja osaamistarp. vast., työvoima-koulutus 4]])</f>
        <v>0</v>
      </c>
      <c r="BQ138" s="207">
        <f>Opv.kohd.[[#This Row],[Yhteensä 7e]]-Opv.kohd.[[#This Row],[Ensikertaisella suoritepäätöksellä jaetut tavoitteelliset opiskelijavuodet yhteensä 4]]</f>
        <v>0</v>
      </c>
      <c r="BR138" s="263">
        <v>8065</v>
      </c>
      <c r="BS138" s="263">
        <v>360</v>
      </c>
      <c r="BT138" s="263">
        <v>90</v>
      </c>
      <c r="BU138" s="263">
        <v>40</v>
      </c>
      <c r="BV138" s="263">
        <v>44</v>
      </c>
      <c r="BW138" s="263">
        <v>15</v>
      </c>
      <c r="BX138" s="263">
        <v>549</v>
      </c>
      <c r="BY138" s="263">
        <v>8614</v>
      </c>
      <c r="BZ138" s="207">
        <f t="shared" si="32"/>
        <v>8065</v>
      </c>
      <c r="CA138" s="207">
        <f t="shared" si="33"/>
        <v>360</v>
      </c>
      <c r="CB138" s="207">
        <f t="shared" si="34"/>
        <v>90</v>
      </c>
      <c r="CC138" s="207">
        <f t="shared" si="35"/>
        <v>40</v>
      </c>
      <c r="CD138" s="207">
        <f t="shared" si="36"/>
        <v>44</v>
      </c>
      <c r="CE138" s="207">
        <f t="shared" si="37"/>
        <v>15</v>
      </c>
      <c r="CF138" s="207">
        <f t="shared" si="38"/>
        <v>549</v>
      </c>
      <c r="CG138" s="207">
        <f t="shared" si="39"/>
        <v>8614</v>
      </c>
      <c r="CH138" s="207">
        <f>Opv.kohd.[[#This Row],[Tavoitteelliset opiskelijavuodet yhteensä 9]]-Opv.kohd.[[#This Row],[Työvoima-koulutus 9]]-Opv.kohd.[[#This Row],[Nuorisotyöt. väh. ja osaamistarp. vast., työvoima-koulutus 9]]-Opv.kohd.[[#This Row],[Muu kuin työvoima-koulutus 7e]]</f>
        <v>8509</v>
      </c>
      <c r="CI138" s="207">
        <f>(Opv.kohd.[[#This Row],[Työvoima-koulutus 9]]+Opv.kohd.[[#This Row],[Nuorisotyöt. väh. ja osaamistarp. vast., työvoima-koulutus 9]])-Opv.kohd.[[#This Row],[Työvoima-koulutus 7e]]</f>
        <v>105</v>
      </c>
      <c r="CJ138" s="207">
        <f>Opv.kohd.[[#This Row],[Tavoitteelliset opiskelijavuodet yhteensä 9]]-Opv.kohd.[[#This Row],[Yhteensä 7e]]</f>
        <v>8614</v>
      </c>
      <c r="CK138" s="207">
        <f>Opv.kohd.[[#This Row],[Järjestämisluvan mukaiset 4]]+Opv.kohd.[[#This Row],[Järjestämisluvan mukaiset 13]]</f>
        <v>0</v>
      </c>
      <c r="CL138" s="207">
        <f>Opv.kohd.[[#This Row],[Kohdentamat-tomat 4]]+Opv.kohd.[[#This Row],[Kohdentamat-tomat 13]]</f>
        <v>0</v>
      </c>
      <c r="CM138" s="207">
        <f>Opv.kohd.[[#This Row],[Työvoima-koulutus 4]]+Opv.kohd.[[#This Row],[Työvoima-koulutus 13]]</f>
        <v>0</v>
      </c>
      <c r="CN138" s="207">
        <f>Opv.kohd.[[#This Row],[Maahan-muuttajien koulutus 4]]+Opv.kohd.[[#This Row],[Maahan-muuttajien koulutus 13]]</f>
        <v>0</v>
      </c>
      <c r="CO138" s="207">
        <f>Opv.kohd.[[#This Row],[Nuorisotyöt. väh. ja osaamistarp. vast., muu kuin työvoima-koulutus 4]]+Opv.kohd.[[#This Row],[Nuorisotyöt. väh. ja osaamistarp. vast., muu kuin työvoima-koulutus 13]]</f>
        <v>0</v>
      </c>
      <c r="CP138" s="207">
        <f>Opv.kohd.[[#This Row],[Nuorisotyöt. väh. ja osaamistarp. vast., työvoima-koulutus 4]]+Opv.kohd.[[#This Row],[Nuorisotyöt. väh. ja osaamistarp. vast., työvoima-koulutus 13]]</f>
        <v>0</v>
      </c>
      <c r="CQ138" s="207">
        <f>Opv.kohd.[[#This Row],[Yhteensä 4]]+Opv.kohd.[[#This Row],[Yhteensä 13]]</f>
        <v>0</v>
      </c>
      <c r="CR138" s="207">
        <f>Opv.kohd.[[#This Row],[Ensikertaisella suoritepäätöksellä jaetut tavoitteelliset opiskelijavuodet yhteensä 4]]+Opv.kohd.[[#This Row],[Tavoitteelliset opiskelijavuodet yhteensä 13]]</f>
        <v>0</v>
      </c>
      <c r="CS138" s="120">
        <v>0</v>
      </c>
      <c r="CT138" s="120">
        <v>0</v>
      </c>
      <c r="CU138" s="120">
        <v>0</v>
      </c>
      <c r="CV138" s="120">
        <v>0</v>
      </c>
      <c r="CW138" s="120">
        <v>0</v>
      </c>
      <c r="CX138" s="120">
        <v>0</v>
      </c>
      <c r="CY138" s="120">
        <v>0</v>
      </c>
      <c r="CZ138" s="120">
        <v>0</v>
      </c>
      <c r="DA138" s="209">
        <f>IFERROR(Opv.kohd.[[#This Row],[Järjestämisluvan mukaiset 13]]/Opv.kohd.[[#This Row],[Järjestämisluvan mukaiset 12]],0)</f>
        <v>0</v>
      </c>
      <c r="DB138" s="209">
        <f>IFERROR(Opv.kohd.[[#This Row],[Kohdentamat-tomat 13]]/Opv.kohd.[[#This Row],[Kohdentamat-tomat 12]],0)</f>
        <v>0</v>
      </c>
      <c r="DC138" s="209">
        <f>IFERROR(Opv.kohd.[[#This Row],[Työvoima-koulutus 13]]/Opv.kohd.[[#This Row],[Työvoima-koulutus 12]],0)</f>
        <v>0</v>
      </c>
      <c r="DD138" s="209">
        <f>IFERROR(Opv.kohd.[[#This Row],[Maahan-muuttajien koulutus 13]]/Opv.kohd.[[#This Row],[Maahan-muuttajien koulutus 12]],0)</f>
        <v>0</v>
      </c>
      <c r="DE138" s="209">
        <f>IFERROR(Opv.kohd.[[#This Row],[Nuorisotyöt. väh. ja osaamistarp. vast., muu kuin työvoima-koulutus 13]]/Opv.kohd.[[#This Row],[Nuorisotyöt. väh. ja osaamistarp. vast., muu kuin työvoima-koulutus 12]],0)</f>
        <v>0</v>
      </c>
      <c r="DF138" s="209">
        <f>IFERROR(Opv.kohd.[[#This Row],[Nuorisotyöt. väh. ja osaamistarp. vast., työvoima-koulutus 13]]/Opv.kohd.[[#This Row],[Nuorisotyöt. väh. ja osaamistarp. vast., työvoima-koulutus 12]],0)</f>
        <v>0</v>
      </c>
      <c r="DG138" s="209">
        <f>IFERROR(Opv.kohd.[[#This Row],[Yhteensä 13]]/Opv.kohd.[[#This Row],[Yhteensä 12]],0)</f>
        <v>0</v>
      </c>
      <c r="DH138" s="209">
        <f>IFERROR(Opv.kohd.[[#This Row],[Tavoitteelliset opiskelijavuodet yhteensä 13]]/Opv.kohd.[[#This Row],[Tavoitteelliset opiskelijavuodet yhteensä 12]],0)</f>
        <v>0</v>
      </c>
      <c r="DI138" s="207">
        <f>Opv.kohd.[[#This Row],[Järjestämisluvan mukaiset 12]]-Opv.kohd.[[#This Row],[Järjestämisluvan mukaiset 9]]</f>
        <v>-8065</v>
      </c>
      <c r="DJ138" s="207">
        <f>Opv.kohd.[[#This Row],[Kohdentamat-tomat 12]]-Opv.kohd.[[#This Row],[Kohdentamat-tomat 9]]</f>
        <v>-360</v>
      </c>
      <c r="DK138" s="207">
        <f>Opv.kohd.[[#This Row],[Työvoima-koulutus 12]]-Opv.kohd.[[#This Row],[Työvoima-koulutus 9]]</f>
        <v>-90</v>
      </c>
      <c r="DL138" s="207">
        <f>Opv.kohd.[[#This Row],[Maahan-muuttajien koulutus 12]]-Opv.kohd.[[#This Row],[Maahan-muuttajien koulutus 9]]</f>
        <v>-40</v>
      </c>
      <c r="DM138" s="207">
        <f>Opv.kohd.[[#This Row],[Nuorisotyöt. väh. ja osaamistarp. vast., muu kuin työvoima-koulutus 12]]-Opv.kohd.[[#This Row],[Nuorisotyöt. väh. ja osaamistarp. vast., muu kuin työvoima-koulutus 9]]</f>
        <v>-44</v>
      </c>
      <c r="DN138" s="207">
        <f>Opv.kohd.[[#This Row],[Nuorisotyöt. väh. ja osaamistarp. vast., työvoima-koulutus 12]]-Opv.kohd.[[#This Row],[Nuorisotyöt. väh. ja osaamistarp. vast., työvoima-koulutus 9]]</f>
        <v>-15</v>
      </c>
      <c r="DO138" s="207">
        <f>Opv.kohd.[[#This Row],[Yhteensä 12]]-Opv.kohd.[[#This Row],[Yhteensä 9]]</f>
        <v>-549</v>
      </c>
      <c r="DP138" s="207">
        <f>Opv.kohd.[[#This Row],[Tavoitteelliset opiskelijavuodet yhteensä 12]]-Opv.kohd.[[#This Row],[Tavoitteelliset opiskelijavuodet yhteensä 9]]</f>
        <v>-8614</v>
      </c>
      <c r="DQ138" s="209">
        <f>IFERROR(Opv.kohd.[[#This Row],[Järjestämisluvan mukaiset 15]]/Opv.kohd.[[#This Row],[Järjestämisluvan mukaiset 9]],0)</f>
        <v>-1</v>
      </c>
      <c r="DR138" s="209">
        <f t="shared" si="40"/>
        <v>0</v>
      </c>
      <c r="DS138" s="209">
        <f t="shared" si="41"/>
        <v>0</v>
      </c>
      <c r="DT138" s="209">
        <f t="shared" si="42"/>
        <v>0</v>
      </c>
      <c r="DU138" s="209">
        <f t="shared" si="43"/>
        <v>0</v>
      </c>
      <c r="DV138" s="209">
        <f t="shared" si="44"/>
        <v>0</v>
      </c>
      <c r="DW138" s="209">
        <f t="shared" si="45"/>
        <v>0</v>
      </c>
      <c r="DX138" s="209">
        <f t="shared" si="46"/>
        <v>0</v>
      </c>
    </row>
    <row r="139" spans="1:128" x14ac:dyDescent="0.25">
      <c r="A139" s="204" t="e">
        <f>IF(INDEX(#REF!,ROW(139:139)-1,1)=0,"",INDEX(#REF!,ROW(139:139)-1,1))</f>
        <v>#REF!</v>
      </c>
      <c r="B139" s="205" t="str">
        <f>IFERROR(VLOOKUP(Opv.kohd.[[#This Row],[Y-tunnus]],'0 Järjestäjätiedot'!$A:$H,2,FALSE),"")</f>
        <v/>
      </c>
      <c r="C139" s="204" t="str">
        <f>IFERROR(VLOOKUP(Opv.kohd.[[#This Row],[Y-tunnus]],'0 Järjestäjätiedot'!$A:$H,COLUMN('0 Järjestäjätiedot'!D:D),FALSE),"")</f>
        <v/>
      </c>
      <c r="D139" s="204" t="str">
        <f>IFERROR(VLOOKUP(Opv.kohd.[[#This Row],[Y-tunnus]],'0 Järjestäjätiedot'!$A:$H,COLUMN('0 Järjestäjätiedot'!H:H),FALSE),"")</f>
        <v/>
      </c>
      <c r="E139" s="204">
        <f>IFERROR(VLOOKUP(Opv.kohd.[[#This Row],[Y-tunnus]],#REF!,COLUMN(#REF!),FALSE),0)</f>
        <v>0</v>
      </c>
      <c r="F139" s="204">
        <f>IFERROR(VLOOKUP(Opv.kohd.[[#This Row],[Y-tunnus]],#REF!,COLUMN(#REF!),FALSE),0)</f>
        <v>0</v>
      </c>
      <c r="G139" s="204">
        <f>IFERROR(VLOOKUP(Opv.kohd.[[#This Row],[Y-tunnus]],#REF!,COLUMN(#REF!),FALSE),0)</f>
        <v>0</v>
      </c>
      <c r="H139" s="204">
        <f>IFERROR(VLOOKUP(Opv.kohd.[[#This Row],[Y-tunnus]],#REF!,COLUMN(#REF!),FALSE),0)</f>
        <v>0</v>
      </c>
      <c r="I139" s="204">
        <f>IFERROR(VLOOKUP(Opv.kohd.[[#This Row],[Y-tunnus]],#REF!,COLUMN(#REF!),FALSE),0)</f>
        <v>0</v>
      </c>
      <c r="J139" s="204">
        <f>IFERROR(VLOOKUP(Opv.kohd.[[#This Row],[Y-tunnus]],#REF!,COLUMN(#REF!),FALSE),0)</f>
        <v>0</v>
      </c>
      <c r="K13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39" s="204">
        <f>Opv.kohd.[[#This Row],[Järjestämisluvan mukaiset 1]]+Opv.kohd.[[#This Row],[Yhteensä  1]]</f>
        <v>0</v>
      </c>
      <c r="M139" s="204">
        <f>IFERROR(VLOOKUP(Opv.kohd.[[#This Row],[Y-tunnus]],#REF!,COLUMN(#REF!),FALSE),0)</f>
        <v>0</v>
      </c>
      <c r="N139" s="204">
        <f>IFERROR(VLOOKUP(Opv.kohd.[[#This Row],[Y-tunnus]],#REF!,COLUMN(#REF!),FALSE),0)</f>
        <v>0</v>
      </c>
      <c r="O139" s="204">
        <f>IFERROR(VLOOKUP(Opv.kohd.[[#This Row],[Y-tunnus]],#REF!,COLUMN(#REF!),FALSE)+VLOOKUP(Opv.kohd.[[#This Row],[Y-tunnus]],#REF!,COLUMN(#REF!),FALSE),0)</f>
        <v>0</v>
      </c>
      <c r="P139" s="204">
        <f>Opv.kohd.[[#This Row],[Talousarvion perusteella kohdentamattomat]]+Opv.kohd.[[#This Row],[Talousarvion perusteella työvoimakoulutus 1]]+Opv.kohd.[[#This Row],[Lisätalousarvioiden perusteella]]</f>
        <v>0</v>
      </c>
      <c r="Q139" s="204">
        <f>IFERROR(VLOOKUP(Opv.kohd.[[#This Row],[Y-tunnus]],#REF!,COLUMN(#REF!),FALSE),0)</f>
        <v>0</v>
      </c>
      <c r="R139" s="210">
        <f>IFERROR(VLOOKUP(Opv.kohd.[[#This Row],[Y-tunnus]],#REF!,COLUMN(#REF!),FALSE)-(Opv.kohd.[[#This Row],[Kohdentamaton työvoima-koulutus 2]]+Opv.kohd.[[#This Row],[Maahan-muuttajien koulutus 2]]+Opv.kohd.[[#This Row],[Lisätalousarvioiden perusteella jaetut 2]]),0)</f>
        <v>0</v>
      </c>
      <c r="S139" s="210">
        <f>IFERROR(VLOOKUP(Opv.kohd.[[#This Row],[Y-tunnus]],#REF!,COLUMN(#REF!),FALSE)+VLOOKUP(Opv.kohd.[[#This Row],[Y-tunnus]],#REF!,COLUMN(#REF!),FALSE),0)</f>
        <v>0</v>
      </c>
      <c r="T139" s="210">
        <f>IFERROR(VLOOKUP(Opv.kohd.[[#This Row],[Y-tunnus]],#REF!,COLUMN(#REF!),FALSE)+VLOOKUP(Opv.kohd.[[#This Row],[Y-tunnus]],#REF!,COLUMN(#REF!),FALSE),0)</f>
        <v>0</v>
      </c>
      <c r="U13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39" s="210">
        <f>Opv.kohd.[[#This Row],[Kohdentamat-tomat 2]]+Opv.kohd.[[#This Row],[Kohdentamaton työvoima-koulutus 2]]+Opv.kohd.[[#This Row],[Maahan-muuttajien koulutus 2]]+Opv.kohd.[[#This Row],[Lisätalousarvioiden perusteella jaetut 2]]</f>
        <v>0</v>
      </c>
      <c r="W139" s="210">
        <f>Opv.kohd.[[#This Row],[Kohdentamat-tomat 2]]-(Opv.kohd.[[#This Row],[Järjestämisluvan mukaiset 1]]+Opv.kohd.[[#This Row],[Kohdentamat-tomat 1]]+Opv.kohd.[[#This Row],[Nuorisotyöt. väh. ja osaamistarp. vast., muu kuin työvoima-koulutus 1]]+Opv.kohd.[[#This Row],[Talousarvion perusteella kohdentamattomat]])</f>
        <v>0</v>
      </c>
      <c r="X139" s="210">
        <f>Opv.kohd.[[#This Row],[Kohdentamaton työvoima-koulutus 2]]-(Opv.kohd.[[#This Row],[Työvoima-koulutus 1]]+Opv.kohd.[[#This Row],[Nuorisotyöt. väh. ja osaamistarp. vast., työvoima-koulutus 1]]+Opv.kohd.[[#This Row],[Talousarvion perusteella työvoimakoulutus 1]])</f>
        <v>0</v>
      </c>
      <c r="Y139" s="210">
        <f>Opv.kohd.[[#This Row],[Maahan-muuttajien koulutus 2]]-Opv.kohd.[[#This Row],[Maahan-muuttajien koulutus 1]]</f>
        <v>0</v>
      </c>
      <c r="Z139" s="210">
        <f>Opv.kohd.[[#This Row],[Lisätalousarvioiden perusteella jaetut 2]]-Opv.kohd.[[#This Row],[Lisätalousarvioiden perusteella]]</f>
        <v>0</v>
      </c>
      <c r="AA139" s="210">
        <f>Opv.kohd.[[#This Row],[Toteutuneet opiskelijavuodet yhteensä 2]]-Opv.kohd.[[#This Row],[Vuoden 2018 tavoitteelliset opiskelijavuodet yhteensä 1]]</f>
        <v>0</v>
      </c>
      <c r="AB139" s="207">
        <f>IFERROR(VLOOKUP(Opv.kohd.[[#This Row],[Y-tunnus]],#REF!,3,FALSE),0)</f>
        <v>0</v>
      </c>
      <c r="AC139" s="207">
        <f>IFERROR(VLOOKUP(Opv.kohd.[[#This Row],[Y-tunnus]],#REF!,4,FALSE),0)</f>
        <v>0</v>
      </c>
      <c r="AD139" s="207">
        <f>IFERROR(VLOOKUP(Opv.kohd.[[#This Row],[Y-tunnus]],#REF!,5,FALSE),0)</f>
        <v>0</v>
      </c>
      <c r="AE139" s="207">
        <f>IFERROR(VLOOKUP(Opv.kohd.[[#This Row],[Y-tunnus]],#REF!,6,FALSE),0)</f>
        <v>0</v>
      </c>
      <c r="AF139" s="207">
        <f>IFERROR(VLOOKUP(Opv.kohd.[[#This Row],[Y-tunnus]],#REF!,7,FALSE),0)</f>
        <v>0</v>
      </c>
      <c r="AG139" s="207">
        <f>IFERROR(VLOOKUP(Opv.kohd.[[#This Row],[Y-tunnus]],#REF!,8,FALSE),0)</f>
        <v>0</v>
      </c>
      <c r="AH139" s="207">
        <f>IFERROR(VLOOKUP(Opv.kohd.[[#This Row],[Y-tunnus]],#REF!,9,FALSE),0)</f>
        <v>0</v>
      </c>
      <c r="AI139" s="207">
        <f>IFERROR(VLOOKUP(Opv.kohd.[[#This Row],[Y-tunnus]],#REF!,10,FALSE),0)</f>
        <v>0</v>
      </c>
      <c r="AJ139" s="204">
        <f>Opv.kohd.[[#This Row],[Järjestämisluvan mukaiset 4]]-Opv.kohd.[[#This Row],[Järjestämisluvan mukaiset 1]]</f>
        <v>0</v>
      </c>
      <c r="AK139" s="204">
        <f>Opv.kohd.[[#This Row],[Kohdentamat-tomat 4]]-Opv.kohd.[[#This Row],[Kohdentamat-tomat 1]]</f>
        <v>0</v>
      </c>
      <c r="AL139" s="204">
        <f>Opv.kohd.[[#This Row],[Työvoima-koulutus 4]]-Opv.kohd.[[#This Row],[Työvoima-koulutus 1]]</f>
        <v>0</v>
      </c>
      <c r="AM139" s="204">
        <f>Opv.kohd.[[#This Row],[Maahan-muuttajien koulutus 4]]-Opv.kohd.[[#This Row],[Maahan-muuttajien koulutus 1]]</f>
        <v>0</v>
      </c>
      <c r="AN139" s="204">
        <f>Opv.kohd.[[#This Row],[Nuorisotyöt. väh. ja osaamistarp. vast., muu kuin työvoima-koulutus 4]]-Opv.kohd.[[#This Row],[Nuorisotyöt. väh. ja osaamistarp. vast., muu kuin työvoima-koulutus 1]]</f>
        <v>0</v>
      </c>
      <c r="AO139" s="204">
        <f>Opv.kohd.[[#This Row],[Nuorisotyöt. väh. ja osaamistarp. vast., työvoima-koulutus 4]]-Opv.kohd.[[#This Row],[Nuorisotyöt. väh. ja osaamistarp. vast., työvoima-koulutus 1]]</f>
        <v>0</v>
      </c>
      <c r="AP139" s="204">
        <f>Opv.kohd.[[#This Row],[Yhteensä 4]]-Opv.kohd.[[#This Row],[Yhteensä  1]]</f>
        <v>0</v>
      </c>
      <c r="AQ139" s="204">
        <f>Opv.kohd.[[#This Row],[Ensikertaisella suoritepäätöksellä jaetut tavoitteelliset opiskelijavuodet yhteensä 4]]-Opv.kohd.[[#This Row],[Ensikertaisella suoritepäätöksellä jaetut tavoitteelliset opiskelijavuodet yhteensä 1]]</f>
        <v>0</v>
      </c>
      <c r="AR139" s="208">
        <f>IFERROR(Opv.kohd.[[#This Row],[Järjestämisluvan mukaiset 5]]/Opv.kohd.[[#This Row],[Järjestämisluvan mukaiset 4]],0)</f>
        <v>0</v>
      </c>
      <c r="AS139" s="208">
        <f>IFERROR(Opv.kohd.[[#This Row],[Kohdentamat-tomat 5]]/Opv.kohd.[[#This Row],[Kohdentamat-tomat 4]],0)</f>
        <v>0</v>
      </c>
      <c r="AT139" s="208">
        <f>IFERROR(Opv.kohd.[[#This Row],[Työvoima-koulutus 5]]/Opv.kohd.[[#This Row],[Työvoima-koulutus 4]],0)</f>
        <v>0</v>
      </c>
      <c r="AU139" s="208">
        <f>IFERROR(Opv.kohd.[[#This Row],[Maahan-muuttajien koulutus 5]]/Opv.kohd.[[#This Row],[Maahan-muuttajien koulutus 4]],0)</f>
        <v>0</v>
      </c>
      <c r="AV139" s="208">
        <f>IFERROR(Opv.kohd.[[#This Row],[Nuorisotyöt. väh. ja osaamistarp. vast., muu kuin työvoima-koulutus 5]]/Opv.kohd.[[#This Row],[Nuorisotyöt. väh. ja osaamistarp. vast., muu kuin työvoima-koulutus 4]],0)</f>
        <v>0</v>
      </c>
      <c r="AW139" s="208">
        <f>IFERROR(Opv.kohd.[[#This Row],[Nuorisotyöt. väh. ja osaamistarp. vast., työvoima-koulutus 5]]/Opv.kohd.[[#This Row],[Nuorisotyöt. väh. ja osaamistarp. vast., työvoima-koulutus 4]],0)</f>
        <v>0</v>
      </c>
      <c r="AX139" s="208">
        <f>IFERROR(Opv.kohd.[[#This Row],[Yhteensä 5]]/Opv.kohd.[[#This Row],[Yhteensä 4]],0)</f>
        <v>0</v>
      </c>
      <c r="AY139" s="208">
        <f>IFERROR(Opv.kohd.[[#This Row],[Ensikertaisella suoritepäätöksellä jaetut tavoitteelliset opiskelijavuodet yhteensä 5]]/Opv.kohd.[[#This Row],[Ensikertaisella suoritepäätöksellä jaetut tavoitteelliset opiskelijavuodet yhteensä 4]],0)</f>
        <v>0</v>
      </c>
      <c r="AZ139" s="207">
        <f>Opv.kohd.[[#This Row],[Yhteensä 7a]]-Opv.kohd.[[#This Row],[Työvoima-koulutus 7a]]</f>
        <v>0</v>
      </c>
      <c r="BA139" s="207">
        <f>IFERROR(VLOOKUP(Opv.kohd.[[#This Row],[Y-tunnus]],#REF!,COLUMN(#REF!),FALSE),0)</f>
        <v>0</v>
      </c>
      <c r="BB139" s="207">
        <f>IFERROR(VLOOKUP(Opv.kohd.[[#This Row],[Y-tunnus]],#REF!,COLUMN(#REF!),FALSE),0)</f>
        <v>0</v>
      </c>
      <c r="BC139" s="207">
        <f>Opv.kohd.[[#This Row],[Muu kuin työvoima-koulutus 7c]]-Opv.kohd.[[#This Row],[Muu kuin työvoima-koulutus 7a]]</f>
        <v>0</v>
      </c>
      <c r="BD139" s="207">
        <f>Opv.kohd.[[#This Row],[Työvoima-koulutus 7c]]-Opv.kohd.[[#This Row],[Työvoima-koulutus 7a]]</f>
        <v>0</v>
      </c>
      <c r="BE139" s="207">
        <f>Opv.kohd.[[#This Row],[Yhteensä 7c]]-Opv.kohd.[[#This Row],[Yhteensä 7a]]</f>
        <v>0</v>
      </c>
      <c r="BF139" s="207">
        <f>Opv.kohd.[[#This Row],[Yhteensä 7c]]-Opv.kohd.[[#This Row],[Työvoima-koulutus 7c]]</f>
        <v>0</v>
      </c>
      <c r="BG139" s="207">
        <f>IFERROR(VLOOKUP(Opv.kohd.[[#This Row],[Y-tunnus]],#REF!,COLUMN(#REF!),FALSE),0)</f>
        <v>0</v>
      </c>
      <c r="BH139" s="207">
        <f>IFERROR(VLOOKUP(Opv.kohd.[[#This Row],[Y-tunnus]],#REF!,COLUMN(#REF!),FALSE),0)</f>
        <v>0</v>
      </c>
      <c r="BI139" s="207">
        <f>IFERROR(VLOOKUP(Opv.kohd.[[#This Row],[Y-tunnus]],#REF!,COLUMN(#REF!),FALSE),0)</f>
        <v>0</v>
      </c>
      <c r="BJ139" s="207">
        <f>IFERROR(VLOOKUP(Opv.kohd.[[#This Row],[Y-tunnus]],#REF!,COLUMN(#REF!),FALSE),0)</f>
        <v>0</v>
      </c>
      <c r="BK139" s="207">
        <f>Opv.kohd.[[#This Row],[Muu kuin työvoima-koulutus 7d]]+Opv.kohd.[[#This Row],[Työvoima-koulutus 7d]]</f>
        <v>0</v>
      </c>
      <c r="BL139" s="207">
        <f>Opv.kohd.[[#This Row],[Muu kuin työvoima-koulutus 7c]]-Opv.kohd.[[#This Row],[Muu kuin työvoima-koulutus 7d]]</f>
        <v>0</v>
      </c>
      <c r="BM139" s="207">
        <f>Opv.kohd.[[#This Row],[Työvoima-koulutus 7c]]-Opv.kohd.[[#This Row],[Työvoima-koulutus 7d]]</f>
        <v>0</v>
      </c>
      <c r="BN139" s="207">
        <f>Opv.kohd.[[#This Row],[Yhteensä 7c]]-Opv.kohd.[[#This Row],[Yhteensä 7d]]</f>
        <v>0</v>
      </c>
      <c r="BO139" s="207">
        <f>Opv.kohd.[[#This Row],[Muu kuin työvoima-koulutus 7e]]-(Opv.kohd.[[#This Row],[Järjestämisluvan mukaiset 4]]+Opv.kohd.[[#This Row],[Kohdentamat-tomat 4]]+Opv.kohd.[[#This Row],[Maahan-muuttajien koulutus 4]]+Opv.kohd.[[#This Row],[Nuorisotyöt. väh. ja osaamistarp. vast., muu kuin työvoima-koulutus 4]])</f>
        <v>0</v>
      </c>
      <c r="BP139" s="207">
        <f>Opv.kohd.[[#This Row],[Työvoima-koulutus 7e]]-(Opv.kohd.[[#This Row],[Työvoima-koulutus 4]]+Opv.kohd.[[#This Row],[Nuorisotyöt. väh. ja osaamistarp. vast., työvoima-koulutus 4]])</f>
        <v>0</v>
      </c>
      <c r="BQ139" s="207">
        <f>Opv.kohd.[[#This Row],[Yhteensä 7e]]-Opv.kohd.[[#This Row],[Ensikertaisella suoritepäätöksellä jaetut tavoitteelliset opiskelijavuodet yhteensä 4]]</f>
        <v>0</v>
      </c>
      <c r="BR139" s="263">
        <v>61</v>
      </c>
      <c r="BS139" s="263">
        <v>5</v>
      </c>
      <c r="BT139" s="263">
        <v>0</v>
      </c>
      <c r="BU139" s="263">
        <v>0</v>
      </c>
      <c r="BV139" s="263">
        <v>0</v>
      </c>
      <c r="BW139" s="263">
        <v>0</v>
      </c>
      <c r="BX139" s="263">
        <v>5</v>
      </c>
      <c r="BY139" s="263">
        <v>66</v>
      </c>
      <c r="BZ139" s="207">
        <f t="shared" si="32"/>
        <v>61</v>
      </c>
      <c r="CA139" s="207">
        <f t="shared" si="33"/>
        <v>5</v>
      </c>
      <c r="CB139" s="207">
        <f t="shared" si="34"/>
        <v>0</v>
      </c>
      <c r="CC139" s="207">
        <f t="shared" si="35"/>
        <v>0</v>
      </c>
      <c r="CD139" s="207">
        <f t="shared" si="36"/>
        <v>0</v>
      </c>
      <c r="CE139" s="207">
        <f t="shared" si="37"/>
        <v>0</v>
      </c>
      <c r="CF139" s="207">
        <f t="shared" si="38"/>
        <v>5</v>
      </c>
      <c r="CG139" s="207">
        <f t="shared" si="39"/>
        <v>66</v>
      </c>
      <c r="CH139" s="207">
        <f>Opv.kohd.[[#This Row],[Tavoitteelliset opiskelijavuodet yhteensä 9]]-Opv.kohd.[[#This Row],[Työvoima-koulutus 9]]-Opv.kohd.[[#This Row],[Nuorisotyöt. väh. ja osaamistarp. vast., työvoima-koulutus 9]]-Opv.kohd.[[#This Row],[Muu kuin työvoima-koulutus 7e]]</f>
        <v>66</v>
      </c>
      <c r="CI139" s="207">
        <f>(Opv.kohd.[[#This Row],[Työvoima-koulutus 9]]+Opv.kohd.[[#This Row],[Nuorisotyöt. väh. ja osaamistarp. vast., työvoima-koulutus 9]])-Opv.kohd.[[#This Row],[Työvoima-koulutus 7e]]</f>
        <v>0</v>
      </c>
      <c r="CJ139" s="207">
        <f>Opv.kohd.[[#This Row],[Tavoitteelliset opiskelijavuodet yhteensä 9]]-Opv.kohd.[[#This Row],[Yhteensä 7e]]</f>
        <v>66</v>
      </c>
      <c r="CK139" s="207">
        <f>Opv.kohd.[[#This Row],[Järjestämisluvan mukaiset 4]]+Opv.kohd.[[#This Row],[Järjestämisluvan mukaiset 13]]</f>
        <v>0</v>
      </c>
      <c r="CL139" s="207">
        <f>Opv.kohd.[[#This Row],[Kohdentamat-tomat 4]]+Opv.kohd.[[#This Row],[Kohdentamat-tomat 13]]</f>
        <v>0</v>
      </c>
      <c r="CM139" s="207">
        <f>Opv.kohd.[[#This Row],[Työvoima-koulutus 4]]+Opv.kohd.[[#This Row],[Työvoima-koulutus 13]]</f>
        <v>0</v>
      </c>
      <c r="CN139" s="207">
        <f>Opv.kohd.[[#This Row],[Maahan-muuttajien koulutus 4]]+Opv.kohd.[[#This Row],[Maahan-muuttajien koulutus 13]]</f>
        <v>0</v>
      </c>
      <c r="CO139" s="207">
        <f>Opv.kohd.[[#This Row],[Nuorisotyöt. väh. ja osaamistarp. vast., muu kuin työvoima-koulutus 4]]+Opv.kohd.[[#This Row],[Nuorisotyöt. väh. ja osaamistarp. vast., muu kuin työvoima-koulutus 13]]</f>
        <v>0</v>
      </c>
      <c r="CP139" s="207">
        <f>Opv.kohd.[[#This Row],[Nuorisotyöt. väh. ja osaamistarp. vast., työvoima-koulutus 4]]+Opv.kohd.[[#This Row],[Nuorisotyöt. väh. ja osaamistarp. vast., työvoima-koulutus 13]]</f>
        <v>0</v>
      </c>
      <c r="CQ139" s="207">
        <f>Opv.kohd.[[#This Row],[Yhteensä 4]]+Opv.kohd.[[#This Row],[Yhteensä 13]]</f>
        <v>0</v>
      </c>
      <c r="CR139" s="207">
        <f>Opv.kohd.[[#This Row],[Ensikertaisella suoritepäätöksellä jaetut tavoitteelliset opiskelijavuodet yhteensä 4]]+Opv.kohd.[[#This Row],[Tavoitteelliset opiskelijavuodet yhteensä 13]]</f>
        <v>0</v>
      </c>
      <c r="CS139" s="120">
        <v>0</v>
      </c>
      <c r="CT139" s="120">
        <v>0</v>
      </c>
      <c r="CU139" s="120">
        <v>0</v>
      </c>
      <c r="CV139" s="120">
        <v>0</v>
      </c>
      <c r="CW139" s="120">
        <v>0</v>
      </c>
      <c r="CX139" s="120">
        <v>0</v>
      </c>
      <c r="CY139" s="120">
        <v>0</v>
      </c>
      <c r="CZ139" s="120">
        <v>0</v>
      </c>
      <c r="DA139" s="209">
        <f>IFERROR(Opv.kohd.[[#This Row],[Järjestämisluvan mukaiset 13]]/Opv.kohd.[[#This Row],[Järjestämisluvan mukaiset 12]],0)</f>
        <v>0</v>
      </c>
      <c r="DB139" s="209">
        <f>IFERROR(Opv.kohd.[[#This Row],[Kohdentamat-tomat 13]]/Opv.kohd.[[#This Row],[Kohdentamat-tomat 12]],0)</f>
        <v>0</v>
      </c>
      <c r="DC139" s="209">
        <f>IFERROR(Opv.kohd.[[#This Row],[Työvoima-koulutus 13]]/Opv.kohd.[[#This Row],[Työvoima-koulutus 12]],0)</f>
        <v>0</v>
      </c>
      <c r="DD139" s="209">
        <f>IFERROR(Opv.kohd.[[#This Row],[Maahan-muuttajien koulutus 13]]/Opv.kohd.[[#This Row],[Maahan-muuttajien koulutus 12]],0)</f>
        <v>0</v>
      </c>
      <c r="DE139" s="209">
        <f>IFERROR(Opv.kohd.[[#This Row],[Nuorisotyöt. väh. ja osaamistarp. vast., muu kuin työvoima-koulutus 13]]/Opv.kohd.[[#This Row],[Nuorisotyöt. väh. ja osaamistarp. vast., muu kuin työvoima-koulutus 12]],0)</f>
        <v>0</v>
      </c>
      <c r="DF139" s="209">
        <f>IFERROR(Opv.kohd.[[#This Row],[Nuorisotyöt. väh. ja osaamistarp. vast., työvoima-koulutus 13]]/Opv.kohd.[[#This Row],[Nuorisotyöt. väh. ja osaamistarp. vast., työvoima-koulutus 12]],0)</f>
        <v>0</v>
      </c>
      <c r="DG139" s="209">
        <f>IFERROR(Opv.kohd.[[#This Row],[Yhteensä 13]]/Opv.kohd.[[#This Row],[Yhteensä 12]],0)</f>
        <v>0</v>
      </c>
      <c r="DH139" s="209">
        <f>IFERROR(Opv.kohd.[[#This Row],[Tavoitteelliset opiskelijavuodet yhteensä 13]]/Opv.kohd.[[#This Row],[Tavoitteelliset opiskelijavuodet yhteensä 12]],0)</f>
        <v>0</v>
      </c>
      <c r="DI139" s="207">
        <f>Opv.kohd.[[#This Row],[Järjestämisluvan mukaiset 12]]-Opv.kohd.[[#This Row],[Järjestämisluvan mukaiset 9]]</f>
        <v>-61</v>
      </c>
      <c r="DJ139" s="207">
        <f>Opv.kohd.[[#This Row],[Kohdentamat-tomat 12]]-Opv.kohd.[[#This Row],[Kohdentamat-tomat 9]]</f>
        <v>-5</v>
      </c>
      <c r="DK139" s="207">
        <f>Opv.kohd.[[#This Row],[Työvoima-koulutus 12]]-Opv.kohd.[[#This Row],[Työvoima-koulutus 9]]</f>
        <v>0</v>
      </c>
      <c r="DL139" s="207">
        <f>Opv.kohd.[[#This Row],[Maahan-muuttajien koulutus 12]]-Opv.kohd.[[#This Row],[Maahan-muuttajien koulutus 9]]</f>
        <v>0</v>
      </c>
      <c r="DM139" s="207">
        <f>Opv.kohd.[[#This Row],[Nuorisotyöt. väh. ja osaamistarp. vast., muu kuin työvoima-koulutus 12]]-Opv.kohd.[[#This Row],[Nuorisotyöt. väh. ja osaamistarp. vast., muu kuin työvoima-koulutus 9]]</f>
        <v>0</v>
      </c>
      <c r="DN139" s="207">
        <f>Opv.kohd.[[#This Row],[Nuorisotyöt. väh. ja osaamistarp. vast., työvoima-koulutus 12]]-Opv.kohd.[[#This Row],[Nuorisotyöt. väh. ja osaamistarp. vast., työvoima-koulutus 9]]</f>
        <v>0</v>
      </c>
      <c r="DO139" s="207">
        <f>Opv.kohd.[[#This Row],[Yhteensä 12]]-Opv.kohd.[[#This Row],[Yhteensä 9]]</f>
        <v>-5</v>
      </c>
      <c r="DP139" s="207">
        <f>Opv.kohd.[[#This Row],[Tavoitteelliset opiskelijavuodet yhteensä 12]]-Opv.kohd.[[#This Row],[Tavoitteelliset opiskelijavuodet yhteensä 9]]</f>
        <v>-66</v>
      </c>
      <c r="DQ139" s="209">
        <f>IFERROR(Opv.kohd.[[#This Row],[Järjestämisluvan mukaiset 15]]/Opv.kohd.[[#This Row],[Järjestämisluvan mukaiset 9]],0)</f>
        <v>-1</v>
      </c>
      <c r="DR139" s="209">
        <f t="shared" si="40"/>
        <v>0</v>
      </c>
      <c r="DS139" s="209">
        <f t="shared" si="41"/>
        <v>0</v>
      </c>
      <c r="DT139" s="209">
        <f t="shared" si="42"/>
        <v>0</v>
      </c>
      <c r="DU139" s="209">
        <f t="shared" si="43"/>
        <v>0</v>
      </c>
      <c r="DV139" s="209">
        <f t="shared" si="44"/>
        <v>0</v>
      </c>
      <c r="DW139" s="209">
        <f t="shared" si="45"/>
        <v>0</v>
      </c>
      <c r="DX139" s="209">
        <f t="shared" si="46"/>
        <v>0</v>
      </c>
    </row>
    <row r="140" spans="1:128" x14ac:dyDescent="0.25">
      <c r="A140" s="204" t="e">
        <f>IF(INDEX(#REF!,ROW(140:140)-1,1)=0,"",INDEX(#REF!,ROW(140:140)-1,1))</f>
        <v>#REF!</v>
      </c>
      <c r="B140" s="205" t="str">
        <f>IFERROR(VLOOKUP(Opv.kohd.[[#This Row],[Y-tunnus]],'0 Järjestäjätiedot'!$A:$H,2,FALSE),"")</f>
        <v/>
      </c>
      <c r="C140" s="204" t="str">
        <f>IFERROR(VLOOKUP(Opv.kohd.[[#This Row],[Y-tunnus]],'0 Järjestäjätiedot'!$A:$H,COLUMN('0 Järjestäjätiedot'!D:D),FALSE),"")</f>
        <v/>
      </c>
      <c r="D140" s="204" t="str">
        <f>IFERROR(VLOOKUP(Opv.kohd.[[#This Row],[Y-tunnus]],'0 Järjestäjätiedot'!$A:$H,COLUMN('0 Järjestäjätiedot'!H:H),FALSE),"")</f>
        <v/>
      </c>
      <c r="E140" s="204">
        <f>IFERROR(VLOOKUP(Opv.kohd.[[#This Row],[Y-tunnus]],#REF!,COLUMN(#REF!),FALSE),0)</f>
        <v>0</v>
      </c>
      <c r="F140" s="204">
        <f>IFERROR(VLOOKUP(Opv.kohd.[[#This Row],[Y-tunnus]],#REF!,COLUMN(#REF!),FALSE),0)</f>
        <v>0</v>
      </c>
      <c r="G140" s="204">
        <f>IFERROR(VLOOKUP(Opv.kohd.[[#This Row],[Y-tunnus]],#REF!,COLUMN(#REF!),FALSE),0)</f>
        <v>0</v>
      </c>
      <c r="H140" s="204">
        <f>IFERROR(VLOOKUP(Opv.kohd.[[#This Row],[Y-tunnus]],#REF!,COLUMN(#REF!),FALSE),0)</f>
        <v>0</v>
      </c>
      <c r="I140" s="204">
        <f>IFERROR(VLOOKUP(Opv.kohd.[[#This Row],[Y-tunnus]],#REF!,COLUMN(#REF!),FALSE),0)</f>
        <v>0</v>
      </c>
      <c r="J140" s="204">
        <f>IFERROR(VLOOKUP(Opv.kohd.[[#This Row],[Y-tunnus]],#REF!,COLUMN(#REF!),FALSE),0)</f>
        <v>0</v>
      </c>
      <c r="K14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40" s="204">
        <f>Opv.kohd.[[#This Row],[Järjestämisluvan mukaiset 1]]+Opv.kohd.[[#This Row],[Yhteensä  1]]</f>
        <v>0</v>
      </c>
      <c r="M140" s="204">
        <f>IFERROR(VLOOKUP(Opv.kohd.[[#This Row],[Y-tunnus]],#REF!,COLUMN(#REF!),FALSE),0)</f>
        <v>0</v>
      </c>
      <c r="N140" s="204">
        <f>IFERROR(VLOOKUP(Opv.kohd.[[#This Row],[Y-tunnus]],#REF!,COLUMN(#REF!),FALSE),0)</f>
        <v>0</v>
      </c>
      <c r="O140" s="204">
        <f>IFERROR(VLOOKUP(Opv.kohd.[[#This Row],[Y-tunnus]],#REF!,COLUMN(#REF!),FALSE)+VLOOKUP(Opv.kohd.[[#This Row],[Y-tunnus]],#REF!,COLUMN(#REF!),FALSE),0)</f>
        <v>0</v>
      </c>
      <c r="P140" s="204">
        <f>Opv.kohd.[[#This Row],[Talousarvion perusteella kohdentamattomat]]+Opv.kohd.[[#This Row],[Talousarvion perusteella työvoimakoulutus 1]]+Opv.kohd.[[#This Row],[Lisätalousarvioiden perusteella]]</f>
        <v>0</v>
      </c>
      <c r="Q140" s="204">
        <f>IFERROR(VLOOKUP(Opv.kohd.[[#This Row],[Y-tunnus]],#REF!,COLUMN(#REF!),FALSE),0)</f>
        <v>0</v>
      </c>
      <c r="R140" s="210">
        <f>IFERROR(VLOOKUP(Opv.kohd.[[#This Row],[Y-tunnus]],#REF!,COLUMN(#REF!),FALSE)-(Opv.kohd.[[#This Row],[Kohdentamaton työvoima-koulutus 2]]+Opv.kohd.[[#This Row],[Maahan-muuttajien koulutus 2]]+Opv.kohd.[[#This Row],[Lisätalousarvioiden perusteella jaetut 2]]),0)</f>
        <v>0</v>
      </c>
      <c r="S140" s="210">
        <f>IFERROR(VLOOKUP(Opv.kohd.[[#This Row],[Y-tunnus]],#REF!,COLUMN(#REF!),FALSE)+VLOOKUP(Opv.kohd.[[#This Row],[Y-tunnus]],#REF!,COLUMN(#REF!),FALSE),0)</f>
        <v>0</v>
      </c>
      <c r="T140" s="210">
        <f>IFERROR(VLOOKUP(Opv.kohd.[[#This Row],[Y-tunnus]],#REF!,COLUMN(#REF!),FALSE)+VLOOKUP(Opv.kohd.[[#This Row],[Y-tunnus]],#REF!,COLUMN(#REF!),FALSE),0)</f>
        <v>0</v>
      </c>
      <c r="U14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40" s="210">
        <f>Opv.kohd.[[#This Row],[Kohdentamat-tomat 2]]+Opv.kohd.[[#This Row],[Kohdentamaton työvoima-koulutus 2]]+Opv.kohd.[[#This Row],[Maahan-muuttajien koulutus 2]]+Opv.kohd.[[#This Row],[Lisätalousarvioiden perusteella jaetut 2]]</f>
        <v>0</v>
      </c>
      <c r="W140" s="210">
        <f>Opv.kohd.[[#This Row],[Kohdentamat-tomat 2]]-(Opv.kohd.[[#This Row],[Järjestämisluvan mukaiset 1]]+Opv.kohd.[[#This Row],[Kohdentamat-tomat 1]]+Opv.kohd.[[#This Row],[Nuorisotyöt. väh. ja osaamistarp. vast., muu kuin työvoima-koulutus 1]]+Opv.kohd.[[#This Row],[Talousarvion perusteella kohdentamattomat]])</f>
        <v>0</v>
      </c>
      <c r="X140" s="210">
        <f>Opv.kohd.[[#This Row],[Kohdentamaton työvoima-koulutus 2]]-(Opv.kohd.[[#This Row],[Työvoima-koulutus 1]]+Opv.kohd.[[#This Row],[Nuorisotyöt. väh. ja osaamistarp. vast., työvoima-koulutus 1]]+Opv.kohd.[[#This Row],[Talousarvion perusteella työvoimakoulutus 1]])</f>
        <v>0</v>
      </c>
      <c r="Y140" s="210">
        <f>Opv.kohd.[[#This Row],[Maahan-muuttajien koulutus 2]]-Opv.kohd.[[#This Row],[Maahan-muuttajien koulutus 1]]</f>
        <v>0</v>
      </c>
      <c r="Z140" s="210">
        <f>Opv.kohd.[[#This Row],[Lisätalousarvioiden perusteella jaetut 2]]-Opv.kohd.[[#This Row],[Lisätalousarvioiden perusteella]]</f>
        <v>0</v>
      </c>
      <c r="AA140" s="210">
        <f>Opv.kohd.[[#This Row],[Toteutuneet opiskelijavuodet yhteensä 2]]-Opv.kohd.[[#This Row],[Vuoden 2018 tavoitteelliset opiskelijavuodet yhteensä 1]]</f>
        <v>0</v>
      </c>
      <c r="AB140" s="207">
        <f>IFERROR(VLOOKUP(Opv.kohd.[[#This Row],[Y-tunnus]],#REF!,3,FALSE),0)</f>
        <v>0</v>
      </c>
      <c r="AC140" s="207">
        <f>IFERROR(VLOOKUP(Opv.kohd.[[#This Row],[Y-tunnus]],#REF!,4,FALSE),0)</f>
        <v>0</v>
      </c>
      <c r="AD140" s="207">
        <f>IFERROR(VLOOKUP(Opv.kohd.[[#This Row],[Y-tunnus]],#REF!,5,FALSE),0)</f>
        <v>0</v>
      </c>
      <c r="AE140" s="207">
        <f>IFERROR(VLOOKUP(Opv.kohd.[[#This Row],[Y-tunnus]],#REF!,6,FALSE),0)</f>
        <v>0</v>
      </c>
      <c r="AF140" s="207">
        <f>IFERROR(VLOOKUP(Opv.kohd.[[#This Row],[Y-tunnus]],#REF!,7,FALSE),0)</f>
        <v>0</v>
      </c>
      <c r="AG140" s="207">
        <f>IFERROR(VLOOKUP(Opv.kohd.[[#This Row],[Y-tunnus]],#REF!,8,FALSE),0)</f>
        <v>0</v>
      </c>
      <c r="AH140" s="207">
        <f>IFERROR(VLOOKUP(Opv.kohd.[[#This Row],[Y-tunnus]],#REF!,9,FALSE),0)</f>
        <v>0</v>
      </c>
      <c r="AI140" s="207">
        <f>IFERROR(VLOOKUP(Opv.kohd.[[#This Row],[Y-tunnus]],#REF!,10,FALSE),0)</f>
        <v>0</v>
      </c>
      <c r="AJ140" s="204">
        <f>Opv.kohd.[[#This Row],[Järjestämisluvan mukaiset 4]]-Opv.kohd.[[#This Row],[Järjestämisluvan mukaiset 1]]</f>
        <v>0</v>
      </c>
      <c r="AK140" s="204">
        <f>Opv.kohd.[[#This Row],[Kohdentamat-tomat 4]]-Opv.kohd.[[#This Row],[Kohdentamat-tomat 1]]</f>
        <v>0</v>
      </c>
      <c r="AL140" s="204">
        <f>Opv.kohd.[[#This Row],[Työvoima-koulutus 4]]-Opv.kohd.[[#This Row],[Työvoima-koulutus 1]]</f>
        <v>0</v>
      </c>
      <c r="AM140" s="204">
        <f>Opv.kohd.[[#This Row],[Maahan-muuttajien koulutus 4]]-Opv.kohd.[[#This Row],[Maahan-muuttajien koulutus 1]]</f>
        <v>0</v>
      </c>
      <c r="AN140" s="204">
        <f>Opv.kohd.[[#This Row],[Nuorisotyöt. väh. ja osaamistarp. vast., muu kuin työvoima-koulutus 4]]-Opv.kohd.[[#This Row],[Nuorisotyöt. väh. ja osaamistarp. vast., muu kuin työvoima-koulutus 1]]</f>
        <v>0</v>
      </c>
      <c r="AO140" s="204">
        <f>Opv.kohd.[[#This Row],[Nuorisotyöt. väh. ja osaamistarp. vast., työvoima-koulutus 4]]-Opv.kohd.[[#This Row],[Nuorisotyöt. väh. ja osaamistarp. vast., työvoima-koulutus 1]]</f>
        <v>0</v>
      </c>
      <c r="AP140" s="204">
        <f>Opv.kohd.[[#This Row],[Yhteensä 4]]-Opv.kohd.[[#This Row],[Yhteensä  1]]</f>
        <v>0</v>
      </c>
      <c r="AQ140" s="204">
        <f>Opv.kohd.[[#This Row],[Ensikertaisella suoritepäätöksellä jaetut tavoitteelliset opiskelijavuodet yhteensä 4]]-Opv.kohd.[[#This Row],[Ensikertaisella suoritepäätöksellä jaetut tavoitteelliset opiskelijavuodet yhteensä 1]]</f>
        <v>0</v>
      </c>
      <c r="AR140" s="208">
        <f>IFERROR(Opv.kohd.[[#This Row],[Järjestämisluvan mukaiset 5]]/Opv.kohd.[[#This Row],[Järjestämisluvan mukaiset 4]],0)</f>
        <v>0</v>
      </c>
      <c r="AS140" s="208">
        <f>IFERROR(Opv.kohd.[[#This Row],[Kohdentamat-tomat 5]]/Opv.kohd.[[#This Row],[Kohdentamat-tomat 4]],0)</f>
        <v>0</v>
      </c>
      <c r="AT140" s="208">
        <f>IFERROR(Opv.kohd.[[#This Row],[Työvoima-koulutus 5]]/Opv.kohd.[[#This Row],[Työvoima-koulutus 4]],0)</f>
        <v>0</v>
      </c>
      <c r="AU140" s="208">
        <f>IFERROR(Opv.kohd.[[#This Row],[Maahan-muuttajien koulutus 5]]/Opv.kohd.[[#This Row],[Maahan-muuttajien koulutus 4]],0)</f>
        <v>0</v>
      </c>
      <c r="AV140" s="208">
        <f>IFERROR(Opv.kohd.[[#This Row],[Nuorisotyöt. väh. ja osaamistarp. vast., muu kuin työvoima-koulutus 5]]/Opv.kohd.[[#This Row],[Nuorisotyöt. väh. ja osaamistarp. vast., muu kuin työvoima-koulutus 4]],0)</f>
        <v>0</v>
      </c>
      <c r="AW140" s="208">
        <f>IFERROR(Opv.kohd.[[#This Row],[Nuorisotyöt. väh. ja osaamistarp. vast., työvoima-koulutus 5]]/Opv.kohd.[[#This Row],[Nuorisotyöt. väh. ja osaamistarp. vast., työvoima-koulutus 4]],0)</f>
        <v>0</v>
      </c>
      <c r="AX140" s="208">
        <f>IFERROR(Opv.kohd.[[#This Row],[Yhteensä 5]]/Opv.kohd.[[#This Row],[Yhteensä 4]],0)</f>
        <v>0</v>
      </c>
      <c r="AY140" s="208">
        <f>IFERROR(Opv.kohd.[[#This Row],[Ensikertaisella suoritepäätöksellä jaetut tavoitteelliset opiskelijavuodet yhteensä 5]]/Opv.kohd.[[#This Row],[Ensikertaisella suoritepäätöksellä jaetut tavoitteelliset opiskelijavuodet yhteensä 4]],0)</f>
        <v>0</v>
      </c>
      <c r="AZ140" s="207">
        <f>Opv.kohd.[[#This Row],[Yhteensä 7a]]-Opv.kohd.[[#This Row],[Työvoima-koulutus 7a]]</f>
        <v>0</v>
      </c>
      <c r="BA140" s="207">
        <f>IFERROR(VLOOKUP(Opv.kohd.[[#This Row],[Y-tunnus]],#REF!,COLUMN(#REF!),FALSE),0)</f>
        <v>0</v>
      </c>
      <c r="BB140" s="207">
        <f>IFERROR(VLOOKUP(Opv.kohd.[[#This Row],[Y-tunnus]],#REF!,COLUMN(#REF!),FALSE),0)</f>
        <v>0</v>
      </c>
      <c r="BC140" s="207">
        <f>Opv.kohd.[[#This Row],[Muu kuin työvoima-koulutus 7c]]-Opv.kohd.[[#This Row],[Muu kuin työvoima-koulutus 7a]]</f>
        <v>0</v>
      </c>
      <c r="BD140" s="207">
        <f>Opv.kohd.[[#This Row],[Työvoima-koulutus 7c]]-Opv.kohd.[[#This Row],[Työvoima-koulutus 7a]]</f>
        <v>0</v>
      </c>
      <c r="BE140" s="207">
        <f>Opv.kohd.[[#This Row],[Yhteensä 7c]]-Opv.kohd.[[#This Row],[Yhteensä 7a]]</f>
        <v>0</v>
      </c>
      <c r="BF140" s="207">
        <f>Opv.kohd.[[#This Row],[Yhteensä 7c]]-Opv.kohd.[[#This Row],[Työvoima-koulutus 7c]]</f>
        <v>0</v>
      </c>
      <c r="BG140" s="207">
        <f>IFERROR(VLOOKUP(Opv.kohd.[[#This Row],[Y-tunnus]],#REF!,COLUMN(#REF!),FALSE),0)</f>
        <v>0</v>
      </c>
      <c r="BH140" s="207">
        <f>IFERROR(VLOOKUP(Opv.kohd.[[#This Row],[Y-tunnus]],#REF!,COLUMN(#REF!),FALSE),0)</f>
        <v>0</v>
      </c>
      <c r="BI140" s="207">
        <f>IFERROR(VLOOKUP(Opv.kohd.[[#This Row],[Y-tunnus]],#REF!,COLUMN(#REF!),FALSE),0)</f>
        <v>0</v>
      </c>
      <c r="BJ140" s="207">
        <f>IFERROR(VLOOKUP(Opv.kohd.[[#This Row],[Y-tunnus]],#REF!,COLUMN(#REF!),FALSE),0)</f>
        <v>0</v>
      </c>
      <c r="BK140" s="207">
        <f>Opv.kohd.[[#This Row],[Muu kuin työvoima-koulutus 7d]]+Opv.kohd.[[#This Row],[Työvoima-koulutus 7d]]</f>
        <v>0</v>
      </c>
      <c r="BL140" s="207">
        <f>Opv.kohd.[[#This Row],[Muu kuin työvoima-koulutus 7c]]-Opv.kohd.[[#This Row],[Muu kuin työvoima-koulutus 7d]]</f>
        <v>0</v>
      </c>
      <c r="BM140" s="207">
        <f>Opv.kohd.[[#This Row],[Työvoima-koulutus 7c]]-Opv.kohd.[[#This Row],[Työvoima-koulutus 7d]]</f>
        <v>0</v>
      </c>
      <c r="BN140" s="207">
        <f>Opv.kohd.[[#This Row],[Yhteensä 7c]]-Opv.kohd.[[#This Row],[Yhteensä 7d]]</f>
        <v>0</v>
      </c>
      <c r="BO140" s="207">
        <f>Opv.kohd.[[#This Row],[Muu kuin työvoima-koulutus 7e]]-(Opv.kohd.[[#This Row],[Järjestämisluvan mukaiset 4]]+Opv.kohd.[[#This Row],[Kohdentamat-tomat 4]]+Opv.kohd.[[#This Row],[Maahan-muuttajien koulutus 4]]+Opv.kohd.[[#This Row],[Nuorisotyöt. väh. ja osaamistarp. vast., muu kuin työvoima-koulutus 4]])</f>
        <v>0</v>
      </c>
      <c r="BP140" s="207">
        <f>Opv.kohd.[[#This Row],[Työvoima-koulutus 7e]]-(Opv.kohd.[[#This Row],[Työvoima-koulutus 4]]+Opv.kohd.[[#This Row],[Nuorisotyöt. väh. ja osaamistarp. vast., työvoima-koulutus 4]])</f>
        <v>0</v>
      </c>
      <c r="BQ140" s="207">
        <f>Opv.kohd.[[#This Row],[Yhteensä 7e]]-Opv.kohd.[[#This Row],[Ensikertaisella suoritepäätöksellä jaetut tavoitteelliset opiskelijavuodet yhteensä 4]]</f>
        <v>0</v>
      </c>
      <c r="BR140" s="263">
        <v>0</v>
      </c>
      <c r="BS140" s="263">
        <v>5</v>
      </c>
      <c r="BT140" s="263">
        <v>0</v>
      </c>
      <c r="BU140" s="263">
        <v>0</v>
      </c>
      <c r="BV140" s="263">
        <v>0</v>
      </c>
      <c r="BW140" s="263">
        <v>0</v>
      </c>
      <c r="BX140" s="263">
        <v>5</v>
      </c>
      <c r="BY140" s="263">
        <v>5</v>
      </c>
      <c r="BZ140" s="207">
        <f t="shared" si="32"/>
        <v>0</v>
      </c>
      <c r="CA140" s="207">
        <f t="shared" si="33"/>
        <v>5</v>
      </c>
      <c r="CB140" s="207">
        <f t="shared" si="34"/>
        <v>0</v>
      </c>
      <c r="CC140" s="207">
        <f t="shared" si="35"/>
        <v>0</v>
      </c>
      <c r="CD140" s="207">
        <f t="shared" si="36"/>
        <v>0</v>
      </c>
      <c r="CE140" s="207">
        <f t="shared" si="37"/>
        <v>0</v>
      </c>
      <c r="CF140" s="207">
        <f t="shared" si="38"/>
        <v>5</v>
      </c>
      <c r="CG140" s="207">
        <f t="shared" si="39"/>
        <v>5</v>
      </c>
      <c r="CH140" s="207">
        <f>Opv.kohd.[[#This Row],[Tavoitteelliset opiskelijavuodet yhteensä 9]]-Opv.kohd.[[#This Row],[Työvoima-koulutus 9]]-Opv.kohd.[[#This Row],[Nuorisotyöt. väh. ja osaamistarp. vast., työvoima-koulutus 9]]-Opv.kohd.[[#This Row],[Muu kuin työvoima-koulutus 7e]]</f>
        <v>5</v>
      </c>
      <c r="CI140" s="207">
        <f>(Opv.kohd.[[#This Row],[Työvoima-koulutus 9]]+Opv.kohd.[[#This Row],[Nuorisotyöt. väh. ja osaamistarp. vast., työvoima-koulutus 9]])-Opv.kohd.[[#This Row],[Työvoima-koulutus 7e]]</f>
        <v>0</v>
      </c>
      <c r="CJ140" s="207">
        <f>Opv.kohd.[[#This Row],[Tavoitteelliset opiskelijavuodet yhteensä 9]]-Opv.kohd.[[#This Row],[Yhteensä 7e]]</f>
        <v>5</v>
      </c>
      <c r="CK140" s="207">
        <f>Opv.kohd.[[#This Row],[Järjestämisluvan mukaiset 4]]+Opv.kohd.[[#This Row],[Järjestämisluvan mukaiset 13]]</f>
        <v>0</v>
      </c>
      <c r="CL140" s="207">
        <f>Opv.kohd.[[#This Row],[Kohdentamat-tomat 4]]+Opv.kohd.[[#This Row],[Kohdentamat-tomat 13]]</f>
        <v>0</v>
      </c>
      <c r="CM140" s="207">
        <f>Opv.kohd.[[#This Row],[Työvoima-koulutus 4]]+Opv.kohd.[[#This Row],[Työvoima-koulutus 13]]</f>
        <v>0</v>
      </c>
      <c r="CN140" s="207">
        <f>Opv.kohd.[[#This Row],[Maahan-muuttajien koulutus 4]]+Opv.kohd.[[#This Row],[Maahan-muuttajien koulutus 13]]</f>
        <v>0</v>
      </c>
      <c r="CO140" s="207">
        <f>Opv.kohd.[[#This Row],[Nuorisotyöt. väh. ja osaamistarp. vast., muu kuin työvoima-koulutus 4]]+Opv.kohd.[[#This Row],[Nuorisotyöt. väh. ja osaamistarp. vast., muu kuin työvoima-koulutus 13]]</f>
        <v>0</v>
      </c>
      <c r="CP140" s="207">
        <f>Opv.kohd.[[#This Row],[Nuorisotyöt. väh. ja osaamistarp. vast., työvoima-koulutus 4]]+Opv.kohd.[[#This Row],[Nuorisotyöt. väh. ja osaamistarp. vast., työvoima-koulutus 13]]</f>
        <v>0</v>
      </c>
      <c r="CQ140" s="207">
        <f>Opv.kohd.[[#This Row],[Yhteensä 4]]+Opv.kohd.[[#This Row],[Yhteensä 13]]</f>
        <v>0</v>
      </c>
      <c r="CR140" s="207">
        <f>Opv.kohd.[[#This Row],[Ensikertaisella suoritepäätöksellä jaetut tavoitteelliset opiskelijavuodet yhteensä 4]]+Opv.kohd.[[#This Row],[Tavoitteelliset opiskelijavuodet yhteensä 13]]</f>
        <v>0</v>
      </c>
      <c r="CS140" s="120">
        <v>0</v>
      </c>
      <c r="CT140" s="120">
        <v>0</v>
      </c>
      <c r="CU140" s="120">
        <v>0</v>
      </c>
      <c r="CV140" s="120">
        <v>0</v>
      </c>
      <c r="CW140" s="120">
        <v>0</v>
      </c>
      <c r="CX140" s="120">
        <v>0</v>
      </c>
      <c r="CY140" s="120">
        <v>0</v>
      </c>
      <c r="CZ140" s="120">
        <v>0</v>
      </c>
      <c r="DA140" s="209">
        <f>IFERROR(Opv.kohd.[[#This Row],[Järjestämisluvan mukaiset 13]]/Opv.kohd.[[#This Row],[Järjestämisluvan mukaiset 12]],0)</f>
        <v>0</v>
      </c>
      <c r="DB140" s="209">
        <f>IFERROR(Opv.kohd.[[#This Row],[Kohdentamat-tomat 13]]/Opv.kohd.[[#This Row],[Kohdentamat-tomat 12]],0)</f>
        <v>0</v>
      </c>
      <c r="DC140" s="209">
        <f>IFERROR(Opv.kohd.[[#This Row],[Työvoima-koulutus 13]]/Opv.kohd.[[#This Row],[Työvoima-koulutus 12]],0)</f>
        <v>0</v>
      </c>
      <c r="DD140" s="209">
        <f>IFERROR(Opv.kohd.[[#This Row],[Maahan-muuttajien koulutus 13]]/Opv.kohd.[[#This Row],[Maahan-muuttajien koulutus 12]],0)</f>
        <v>0</v>
      </c>
      <c r="DE140" s="209">
        <f>IFERROR(Opv.kohd.[[#This Row],[Nuorisotyöt. väh. ja osaamistarp. vast., muu kuin työvoima-koulutus 13]]/Opv.kohd.[[#This Row],[Nuorisotyöt. väh. ja osaamistarp. vast., muu kuin työvoima-koulutus 12]],0)</f>
        <v>0</v>
      </c>
      <c r="DF140" s="209">
        <f>IFERROR(Opv.kohd.[[#This Row],[Nuorisotyöt. väh. ja osaamistarp. vast., työvoima-koulutus 13]]/Opv.kohd.[[#This Row],[Nuorisotyöt. väh. ja osaamistarp. vast., työvoima-koulutus 12]],0)</f>
        <v>0</v>
      </c>
      <c r="DG140" s="209">
        <f>IFERROR(Opv.kohd.[[#This Row],[Yhteensä 13]]/Opv.kohd.[[#This Row],[Yhteensä 12]],0)</f>
        <v>0</v>
      </c>
      <c r="DH140" s="209">
        <f>IFERROR(Opv.kohd.[[#This Row],[Tavoitteelliset opiskelijavuodet yhteensä 13]]/Opv.kohd.[[#This Row],[Tavoitteelliset opiskelijavuodet yhteensä 12]],0)</f>
        <v>0</v>
      </c>
      <c r="DI140" s="207">
        <f>Opv.kohd.[[#This Row],[Järjestämisluvan mukaiset 12]]-Opv.kohd.[[#This Row],[Järjestämisluvan mukaiset 9]]</f>
        <v>0</v>
      </c>
      <c r="DJ140" s="207">
        <f>Opv.kohd.[[#This Row],[Kohdentamat-tomat 12]]-Opv.kohd.[[#This Row],[Kohdentamat-tomat 9]]</f>
        <v>-5</v>
      </c>
      <c r="DK140" s="207">
        <f>Opv.kohd.[[#This Row],[Työvoima-koulutus 12]]-Opv.kohd.[[#This Row],[Työvoima-koulutus 9]]</f>
        <v>0</v>
      </c>
      <c r="DL140" s="207">
        <f>Opv.kohd.[[#This Row],[Maahan-muuttajien koulutus 12]]-Opv.kohd.[[#This Row],[Maahan-muuttajien koulutus 9]]</f>
        <v>0</v>
      </c>
      <c r="DM140" s="207">
        <f>Opv.kohd.[[#This Row],[Nuorisotyöt. väh. ja osaamistarp. vast., muu kuin työvoima-koulutus 12]]-Opv.kohd.[[#This Row],[Nuorisotyöt. väh. ja osaamistarp. vast., muu kuin työvoima-koulutus 9]]</f>
        <v>0</v>
      </c>
      <c r="DN140" s="207">
        <f>Opv.kohd.[[#This Row],[Nuorisotyöt. väh. ja osaamistarp. vast., työvoima-koulutus 12]]-Opv.kohd.[[#This Row],[Nuorisotyöt. väh. ja osaamistarp. vast., työvoima-koulutus 9]]</f>
        <v>0</v>
      </c>
      <c r="DO140" s="207">
        <f>Opv.kohd.[[#This Row],[Yhteensä 12]]-Opv.kohd.[[#This Row],[Yhteensä 9]]</f>
        <v>-5</v>
      </c>
      <c r="DP140" s="207">
        <f>Opv.kohd.[[#This Row],[Tavoitteelliset opiskelijavuodet yhteensä 12]]-Opv.kohd.[[#This Row],[Tavoitteelliset opiskelijavuodet yhteensä 9]]</f>
        <v>-5</v>
      </c>
      <c r="DQ140" s="209">
        <f>IFERROR(Opv.kohd.[[#This Row],[Järjestämisluvan mukaiset 15]]/Opv.kohd.[[#This Row],[Järjestämisluvan mukaiset 9]],0)</f>
        <v>0</v>
      </c>
      <c r="DR140" s="209">
        <f t="shared" si="40"/>
        <v>0</v>
      </c>
      <c r="DS140" s="209">
        <f t="shared" si="41"/>
        <v>0</v>
      </c>
      <c r="DT140" s="209">
        <f t="shared" si="42"/>
        <v>0</v>
      </c>
      <c r="DU140" s="209">
        <f t="shared" si="43"/>
        <v>0</v>
      </c>
      <c r="DV140" s="209">
        <f t="shared" si="44"/>
        <v>0</v>
      </c>
      <c r="DW140" s="209">
        <f t="shared" si="45"/>
        <v>0</v>
      </c>
      <c r="DX140" s="209">
        <f t="shared" si="46"/>
        <v>0</v>
      </c>
    </row>
    <row r="141" spans="1:128" x14ac:dyDescent="0.25">
      <c r="A141" s="204" t="e">
        <f>IF(INDEX(#REF!,ROW(141:141)-1,1)=0,"",INDEX(#REF!,ROW(141:141)-1,1))</f>
        <v>#REF!</v>
      </c>
      <c r="B141" s="205" t="str">
        <f>IFERROR(VLOOKUP(Opv.kohd.[[#This Row],[Y-tunnus]],'0 Järjestäjätiedot'!$A:$H,2,FALSE),"")</f>
        <v/>
      </c>
      <c r="C141" s="204" t="str">
        <f>IFERROR(VLOOKUP(Opv.kohd.[[#This Row],[Y-tunnus]],'0 Järjestäjätiedot'!$A:$H,COLUMN('0 Järjestäjätiedot'!D:D),FALSE),"")</f>
        <v/>
      </c>
      <c r="D141" s="204" t="str">
        <f>IFERROR(VLOOKUP(Opv.kohd.[[#This Row],[Y-tunnus]],'0 Järjestäjätiedot'!$A:$H,COLUMN('0 Järjestäjätiedot'!H:H),FALSE),"")</f>
        <v/>
      </c>
      <c r="E141" s="204">
        <f>IFERROR(VLOOKUP(Opv.kohd.[[#This Row],[Y-tunnus]],#REF!,COLUMN(#REF!),FALSE),0)</f>
        <v>0</v>
      </c>
      <c r="F141" s="204">
        <f>IFERROR(VLOOKUP(Opv.kohd.[[#This Row],[Y-tunnus]],#REF!,COLUMN(#REF!),FALSE),0)</f>
        <v>0</v>
      </c>
      <c r="G141" s="204">
        <f>IFERROR(VLOOKUP(Opv.kohd.[[#This Row],[Y-tunnus]],#REF!,COLUMN(#REF!),FALSE),0)</f>
        <v>0</v>
      </c>
      <c r="H141" s="204">
        <f>IFERROR(VLOOKUP(Opv.kohd.[[#This Row],[Y-tunnus]],#REF!,COLUMN(#REF!),FALSE),0)</f>
        <v>0</v>
      </c>
      <c r="I141" s="204">
        <f>IFERROR(VLOOKUP(Opv.kohd.[[#This Row],[Y-tunnus]],#REF!,COLUMN(#REF!),FALSE),0)</f>
        <v>0</v>
      </c>
      <c r="J141" s="204">
        <f>IFERROR(VLOOKUP(Opv.kohd.[[#This Row],[Y-tunnus]],#REF!,COLUMN(#REF!),FALSE),0)</f>
        <v>0</v>
      </c>
      <c r="K14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41" s="204">
        <f>Opv.kohd.[[#This Row],[Järjestämisluvan mukaiset 1]]+Opv.kohd.[[#This Row],[Yhteensä  1]]</f>
        <v>0</v>
      </c>
      <c r="M141" s="204">
        <f>IFERROR(VLOOKUP(Opv.kohd.[[#This Row],[Y-tunnus]],#REF!,COLUMN(#REF!),FALSE),0)</f>
        <v>0</v>
      </c>
      <c r="N141" s="204">
        <f>IFERROR(VLOOKUP(Opv.kohd.[[#This Row],[Y-tunnus]],#REF!,COLUMN(#REF!),FALSE),0)</f>
        <v>0</v>
      </c>
      <c r="O141" s="204">
        <f>IFERROR(VLOOKUP(Opv.kohd.[[#This Row],[Y-tunnus]],#REF!,COLUMN(#REF!),FALSE)+VLOOKUP(Opv.kohd.[[#This Row],[Y-tunnus]],#REF!,COLUMN(#REF!),FALSE),0)</f>
        <v>0</v>
      </c>
      <c r="P141" s="204">
        <f>Opv.kohd.[[#This Row],[Talousarvion perusteella kohdentamattomat]]+Opv.kohd.[[#This Row],[Talousarvion perusteella työvoimakoulutus 1]]+Opv.kohd.[[#This Row],[Lisätalousarvioiden perusteella]]</f>
        <v>0</v>
      </c>
      <c r="Q141" s="204">
        <f>IFERROR(VLOOKUP(Opv.kohd.[[#This Row],[Y-tunnus]],#REF!,COLUMN(#REF!),FALSE),0)</f>
        <v>0</v>
      </c>
      <c r="R141" s="210">
        <f>IFERROR(VLOOKUP(Opv.kohd.[[#This Row],[Y-tunnus]],#REF!,COLUMN(#REF!),FALSE)-(Opv.kohd.[[#This Row],[Kohdentamaton työvoima-koulutus 2]]+Opv.kohd.[[#This Row],[Maahan-muuttajien koulutus 2]]+Opv.kohd.[[#This Row],[Lisätalousarvioiden perusteella jaetut 2]]),0)</f>
        <v>0</v>
      </c>
      <c r="S141" s="210">
        <f>IFERROR(VLOOKUP(Opv.kohd.[[#This Row],[Y-tunnus]],#REF!,COLUMN(#REF!),FALSE)+VLOOKUP(Opv.kohd.[[#This Row],[Y-tunnus]],#REF!,COLUMN(#REF!),FALSE),0)</f>
        <v>0</v>
      </c>
      <c r="T141" s="210">
        <f>IFERROR(VLOOKUP(Opv.kohd.[[#This Row],[Y-tunnus]],#REF!,COLUMN(#REF!),FALSE)+VLOOKUP(Opv.kohd.[[#This Row],[Y-tunnus]],#REF!,COLUMN(#REF!),FALSE),0)</f>
        <v>0</v>
      </c>
      <c r="U14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41" s="210">
        <f>Opv.kohd.[[#This Row],[Kohdentamat-tomat 2]]+Opv.kohd.[[#This Row],[Kohdentamaton työvoima-koulutus 2]]+Opv.kohd.[[#This Row],[Maahan-muuttajien koulutus 2]]+Opv.kohd.[[#This Row],[Lisätalousarvioiden perusteella jaetut 2]]</f>
        <v>0</v>
      </c>
      <c r="W141" s="210">
        <f>Opv.kohd.[[#This Row],[Kohdentamat-tomat 2]]-(Opv.kohd.[[#This Row],[Järjestämisluvan mukaiset 1]]+Opv.kohd.[[#This Row],[Kohdentamat-tomat 1]]+Opv.kohd.[[#This Row],[Nuorisotyöt. väh. ja osaamistarp. vast., muu kuin työvoima-koulutus 1]]+Opv.kohd.[[#This Row],[Talousarvion perusteella kohdentamattomat]])</f>
        <v>0</v>
      </c>
      <c r="X141" s="210">
        <f>Opv.kohd.[[#This Row],[Kohdentamaton työvoima-koulutus 2]]-(Opv.kohd.[[#This Row],[Työvoima-koulutus 1]]+Opv.kohd.[[#This Row],[Nuorisotyöt. väh. ja osaamistarp. vast., työvoima-koulutus 1]]+Opv.kohd.[[#This Row],[Talousarvion perusteella työvoimakoulutus 1]])</f>
        <v>0</v>
      </c>
      <c r="Y141" s="210">
        <f>Opv.kohd.[[#This Row],[Maahan-muuttajien koulutus 2]]-Opv.kohd.[[#This Row],[Maahan-muuttajien koulutus 1]]</f>
        <v>0</v>
      </c>
      <c r="Z141" s="210">
        <f>Opv.kohd.[[#This Row],[Lisätalousarvioiden perusteella jaetut 2]]-Opv.kohd.[[#This Row],[Lisätalousarvioiden perusteella]]</f>
        <v>0</v>
      </c>
      <c r="AA141" s="210">
        <f>Opv.kohd.[[#This Row],[Toteutuneet opiskelijavuodet yhteensä 2]]-Opv.kohd.[[#This Row],[Vuoden 2018 tavoitteelliset opiskelijavuodet yhteensä 1]]</f>
        <v>0</v>
      </c>
      <c r="AB141" s="207">
        <f>IFERROR(VLOOKUP(Opv.kohd.[[#This Row],[Y-tunnus]],#REF!,3,FALSE),0)</f>
        <v>0</v>
      </c>
      <c r="AC141" s="207">
        <f>IFERROR(VLOOKUP(Opv.kohd.[[#This Row],[Y-tunnus]],#REF!,4,FALSE),0)</f>
        <v>0</v>
      </c>
      <c r="AD141" s="207">
        <f>IFERROR(VLOOKUP(Opv.kohd.[[#This Row],[Y-tunnus]],#REF!,5,FALSE),0)</f>
        <v>0</v>
      </c>
      <c r="AE141" s="207">
        <f>IFERROR(VLOOKUP(Opv.kohd.[[#This Row],[Y-tunnus]],#REF!,6,FALSE),0)</f>
        <v>0</v>
      </c>
      <c r="AF141" s="207">
        <f>IFERROR(VLOOKUP(Opv.kohd.[[#This Row],[Y-tunnus]],#REF!,7,FALSE),0)</f>
        <v>0</v>
      </c>
      <c r="AG141" s="207">
        <f>IFERROR(VLOOKUP(Opv.kohd.[[#This Row],[Y-tunnus]],#REF!,8,FALSE),0)</f>
        <v>0</v>
      </c>
      <c r="AH141" s="207">
        <f>IFERROR(VLOOKUP(Opv.kohd.[[#This Row],[Y-tunnus]],#REF!,9,FALSE),0)</f>
        <v>0</v>
      </c>
      <c r="AI141" s="207">
        <f>IFERROR(VLOOKUP(Opv.kohd.[[#This Row],[Y-tunnus]],#REF!,10,FALSE),0)</f>
        <v>0</v>
      </c>
      <c r="AJ141" s="204">
        <f>Opv.kohd.[[#This Row],[Järjestämisluvan mukaiset 4]]-Opv.kohd.[[#This Row],[Järjestämisluvan mukaiset 1]]</f>
        <v>0</v>
      </c>
      <c r="AK141" s="204">
        <f>Opv.kohd.[[#This Row],[Kohdentamat-tomat 4]]-Opv.kohd.[[#This Row],[Kohdentamat-tomat 1]]</f>
        <v>0</v>
      </c>
      <c r="AL141" s="204">
        <f>Opv.kohd.[[#This Row],[Työvoima-koulutus 4]]-Opv.kohd.[[#This Row],[Työvoima-koulutus 1]]</f>
        <v>0</v>
      </c>
      <c r="AM141" s="204">
        <f>Opv.kohd.[[#This Row],[Maahan-muuttajien koulutus 4]]-Opv.kohd.[[#This Row],[Maahan-muuttajien koulutus 1]]</f>
        <v>0</v>
      </c>
      <c r="AN141" s="204">
        <f>Opv.kohd.[[#This Row],[Nuorisotyöt. väh. ja osaamistarp. vast., muu kuin työvoima-koulutus 4]]-Opv.kohd.[[#This Row],[Nuorisotyöt. väh. ja osaamistarp. vast., muu kuin työvoima-koulutus 1]]</f>
        <v>0</v>
      </c>
      <c r="AO141" s="204">
        <f>Opv.kohd.[[#This Row],[Nuorisotyöt. väh. ja osaamistarp. vast., työvoima-koulutus 4]]-Opv.kohd.[[#This Row],[Nuorisotyöt. väh. ja osaamistarp. vast., työvoima-koulutus 1]]</f>
        <v>0</v>
      </c>
      <c r="AP141" s="204">
        <f>Opv.kohd.[[#This Row],[Yhteensä 4]]-Opv.kohd.[[#This Row],[Yhteensä  1]]</f>
        <v>0</v>
      </c>
      <c r="AQ141" s="204">
        <f>Opv.kohd.[[#This Row],[Ensikertaisella suoritepäätöksellä jaetut tavoitteelliset opiskelijavuodet yhteensä 4]]-Opv.kohd.[[#This Row],[Ensikertaisella suoritepäätöksellä jaetut tavoitteelliset opiskelijavuodet yhteensä 1]]</f>
        <v>0</v>
      </c>
      <c r="AR141" s="208">
        <f>IFERROR(Opv.kohd.[[#This Row],[Järjestämisluvan mukaiset 5]]/Opv.kohd.[[#This Row],[Järjestämisluvan mukaiset 4]],0)</f>
        <v>0</v>
      </c>
      <c r="AS141" s="208">
        <f>IFERROR(Opv.kohd.[[#This Row],[Kohdentamat-tomat 5]]/Opv.kohd.[[#This Row],[Kohdentamat-tomat 4]],0)</f>
        <v>0</v>
      </c>
      <c r="AT141" s="208">
        <f>IFERROR(Opv.kohd.[[#This Row],[Työvoima-koulutus 5]]/Opv.kohd.[[#This Row],[Työvoima-koulutus 4]],0)</f>
        <v>0</v>
      </c>
      <c r="AU141" s="208">
        <f>IFERROR(Opv.kohd.[[#This Row],[Maahan-muuttajien koulutus 5]]/Opv.kohd.[[#This Row],[Maahan-muuttajien koulutus 4]],0)</f>
        <v>0</v>
      </c>
      <c r="AV141" s="208">
        <f>IFERROR(Opv.kohd.[[#This Row],[Nuorisotyöt. väh. ja osaamistarp. vast., muu kuin työvoima-koulutus 5]]/Opv.kohd.[[#This Row],[Nuorisotyöt. väh. ja osaamistarp. vast., muu kuin työvoima-koulutus 4]],0)</f>
        <v>0</v>
      </c>
      <c r="AW141" s="208">
        <f>IFERROR(Opv.kohd.[[#This Row],[Nuorisotyöt. väh. ja osaamistarp. vast., työvoima-koulutus 5]]/Opv.kohd.[[#This Row],[Nuorisotyöt. väh. ja osaamistarp. vast., työvoima-koulutus 4]],0)</f>
        <v>0</v>
      </c>
      <c r="AX141" s="208">
        <f>IFERROR(Opv.kohd.[[#This Row],[Yhteensä 5]]/Opv.kohd.[[#This Row],[Yhteensä 4]],0)</f>
        <v>0</v>
      </c>
      <c r="AY141" s="208">
        <f>IFERROR(Opv.kohd.[[#This Row],[Ensikertaisella suoritepäätöksellä jaetut tavoitteelliset opiskelijavuodet yhteensä 5]]/Opv.kohd.[[#This Row],[Ensikertaisella suoritepäätöksellä jaetut tavoitteelliset opiskelijavuodet yhteensä 4]],0)</f>
        <v>0</v>
      </c>
      <c r="AZ141" s="207">
        <f>Opv.kohd.[[#This Row],[Yhteensä 7a]]-Opv.kohd.[[#This Row],[Työvoima-koulutus 7a]]</f>
        <v>0</v>
      </c>
      <c r="BA141" s="207">
        <f>IFERROR(VLOOKUP(Opv.kohd.[[#This Row],[Y-tunnus]],#REF!,COLUMN(#REF!),FALSE),0)</f>
        <v>0</v>
      </c>
      <c r="BB141" s="207">
        <f>IFERROR(VLOOKUP(Opv.kohd.[[#This Row],[Y-tunnus]],#REF!,COLUMN(#REF!),FALSE),0)</f>
        <v>0</v>
      </c>
      <c r="BC141" s="207">
        <f>Opv.kohd.[[#This Row],[Muu kuin työvoima-koulutus 7c]]-Opv.kohd.[[#This Row],[Muu kuin työvoima-koulutus 7a]]</f>
        <v>0</v>
      </c>
      <c r="BD141" s="207">
        <f>Opv.kohd.[[#This Row],[Työvoima-koulutus 7c]]-Opv.kohd.[[#This Row],[Työvoima-koulutus 7a]]</f>
        <v>0</v>
      </c>
      <c r="BE141" s="207">
        <f>Opv.kohd.[[#This Row],[Yhteensä 7c]]-Opv.kohd.[[#This Row],[Yhteensä 7a]]</f>
        <v>0</v>
      </c>
      <c r="BF141" s="207">
        <f>Opv.kohd.[[#This Row],[Yhteensä 7c]]-Opv.kohd.[[#This Row],[Työvoima-koulutus 7c]]</f>
        <v>0</v>
      </c>
      <c r="BG141" s="207">
        <f>IFERROR(VLOOKUP(Opv.kohd.[[#This Row],[Y-tunnus]],#REF!,COLUMN(#REF!),FALSE),0)</f>
        <v>0</v>
      </c>
      <c r="BH141" s="207">
        <f>IFERROR(VLOOKUP(Opv.kohd.[[#This Row],[Y-tunnus]],#REF!,COLUMN(#REF!),FALSE),0)</f>
        <v>0</v>
      </c>
      <c r="BI141" s="207">
        <f>IFERROR(VLOOKUP(Opv.kohd.[[#This Row],[Y-tunnus]],#REF!,COLUMN(#REF!),FALSE),0)</f>
        <v>0</v>
      </c>
      <c r="BJ141" s="207">
        <f>IFERROR(VLOOKUP(Opv.kohd.[[#This Row],[Y-tunnus]],#REF!,COLUMN(#REF!),FALSE),0)</f>
        <v>0</v>
      </c>
      <c r="BK141" s="207">
        <f>Opv.kohd.[[#This Row],[Muu kuin työvoima-koulutus 7d]]+Opv.kohd.[[#This Row],[Työvoima-koulutus 7d]]</f>
        <v>0</v>
      </c>
      <c r="BL141" s="207">
        <f>Opv.kohd.[[#This Row],[Muu kuin työvoima-koulutus 7c]]-Opv.kohd.[[#This Row],[Muu kuin työvoima-koulutus 7d]]</f>
        <v>0</v>
      </c>
      <c r="BM141" s="207">
        <f>Opv.kohd.[[#This Row],[Työvoima-koulutus 7c]]-Opv.kohd.[[#This Row],[Työvoima-koulutus 7d]]</f>
        <v>0</v>
      </c>
      <c r="BN141" s="207">
        <f>Opv.kohd.[[#This Row],[Yhteensä 7c]]-Opv.kohd.[[#This Row],[Yhteensä 7d]]</f>
        <v>0</v>
      </c>
      <c r="BO141" s="207">
        <f>Opv.kohd.[[#This Row],[Muu kuin työvoima-koulutus 7e]]-(Opv.kohd.[[#This Row],[Järjestämisluvan mukaiset 4]]+Opv.kohd.[[#This Row],[Kohdentamat-tomat 4]]+Opv.kohd.[[#This Row],[Maahan-muuttajien koulutus 4]]+Opv.kohd.[[#This Row],[Nuorisotyöt. väh. ja osaamistarp. vast., muu kuin työvoima-koulutus 4]])</f>
        <v>0</v>
      </c>
      <c r="BP141" s="207">
        <f>Opv.kohd.[[#This Row],[Työvoima-koulutus 7e]]-(Opv.kohd.[[#This Row],[Työvoima-koulutus 4]]+Opv.kohd.[[#This Row],[Nuorisotyöt. väh. ja osaamistarp. vast., työvoima-koulutus 4]])</f>
        <v>0</v>
      </c>
      <c r="BQ141" s="207">
        <f>Opv.kohd.[[#This Row],[Yhteensä 7e]]-Opv.kohd.[[#This Row],[Ensikertaisella suoritepäätöksellä jaetut tavoitteelliset opiskelijavuodet yhteensä 4]]</f>
        <v>0</v>
      </c>
      <c r="BR141" s="263">
        <v>66</v>
      </c>
      <c r="BS141" s="263">
        <v>4</v>
      </c>
      <c r="BT141" s="263">
        <v>0</v>
      </c>
      <c r="BU141" s="263">
        <v>0</v>
      </c>
      <c r="BV141" s="263">
        <v>0</v>
      </c>
      <c r="BW141" s="263">
        <v>0</v>
      </c>
      <c r="BX141" s="263">
        <v>4</v>
      </c>
      <c r="BY141" s="263">
        <v>70</v>
      </c>
      <c r="BZ141" s="207">
        <f t="shared" si="32"/>
        <v>66</v>
      </c>
      <c r="CA141" s="207">
        <f t="shared" si="33"/>
        <v>4</v>
      </c>
      <c r="CB141" s="207">
        <f t="shared" si="34"/>
        <v>0</v>
      </c>
      <c r="CC141" s="207">
        <f t="shared" si="35"/>
        <v>0</v>
      </c>
      <c r="CD141" s="207">
        <f t="shared" si="36"/>
        <v>0</v>
      </c>
      <c r="CE141" s="207">
        <f t="shared" si="37"/>
        <v>0</v>
      </c>
      <c r="CF141" s="207">
        <f t="shared" si="38"/>
        <v>4</v>
      </c>
      <c r="CG141" s="207">
        <f t="shared" si="39"/>
        <v>70</v>
      </c>
      <c r="CH141" s="207">
        <f>Opv.kohd.[[#This Row],[Tavoitteelliset opiskelijavuodet yhteensä 9]]-Opv.kohd.[[#This Row],[Työvoima-koulutus 9]]-Opv.kohd.[[#This Row],[Nuorisotyöt. väh. ja osaamistarp. vast., työvoima-koulutus 9]]-Opv.kohd.[[#This Row],[Muu kuin työvoima-koulutus 7e]]</f>
        <v>70</v>
      </c>
      <c r="CI141" s="207">
        <f>(Opv.kohd.[[#This Row],[Työvoima-koulutus 9]]+Opv.kohd.[[#This Row],[Nuorisotyöt. väh. ja osaamistarp. vast., työvoima-koulutus 9]])-Opv.kohd.[[#This Row],[Työvoima-koulutus 7e]]</f>
        <v>0</v>
      </c>
      <c r="CJ141" s="207">
        <f>Opv.kohd.[[#This Row],[Tavoitteelliset opiskelijavuodet yhteensä 9]]-Opv.kohd.[[#This Row],[Yhteensä 7e]]</f>
        <v>70</v>
      </c>
      <c r="CK141" s="207">
        <f>Opv.kohd.[[#This Row],[Järjestämisluvan mukaiset 4]]+Opv.kohd.[[#This Row],[Järjestämisluvan mukaiset 13]]</f>
        <v>0</v>
      </c>
      <c r="CL141" s="207">
        <f>Opv.kohd.[[#This Row],[Kohdentamat-tomat 4]]+Opv.kohd.[[#This Row],[Kohdentamat-tomat 13]]</f>
        <v>0</v>
      </c>
      <c r="CM141" s="207">
        <f>Opv.kohd.[[#This Row],[Työvoima-koulutus 4]]+Opv.kohd.[[#This Row],[Työvoima-koulutus 13]]</f>
        <v>0</v>
      </c>
      <c r="CN141" s="207">
        <f>Opv.kohd.[[#This Row],[Maahan-muuttajien koulutus 4]]+Opv.kohd.[[#This Row],[Maahan-muuttajien koulutus 13]]</f>
        <v>0</v>
      </c>
      <c r="CO141" s="207">
        <f>Opv.kohd.[[#This Row],[Nuorisotyöt. väh. ja osaamistarp. vast., muu kuin työvoima-koulutus 4]]+Opv.kohd.[[#This Row],[Nuorisotyöt. väh. ja osaamistarp. vast., muu kuin työvoima-koulutus 13]]</f>
        <v>0</v>
      </c>
      <c r="CP141" s="207">
        <f>Opv.kohd.[[#This Row],[Nuorisotyöt. väh. ja osaamistarp. vast., työvoima-koulutus 4]]+Opv.kohd.[[#This Row],[Nuorisotyöt. väh. ja osaamistarp. vast., työvoima-koulutus 13]]</f>
        <v>0</v>
      </c>
      <c r="CQ141" s="207">
        <f>Opv.kohd.[[#This Row],[Yhteensä 4]]+Opv.kohd.[[#This Row],[Yhteensä 13]]</f>
        <v>0</v>
      </c>
      <c r="CR141" s="207">
        <f>Opv.kohd.[[#This Row],[Ensikertaisella suoritepäätöksellä jaetut tavoitteelliset opiskelijavuodet yhteensä 4]]+Opv.kohd.[[#This Row],[Tavoitteelliset opiskelijavuodet yhteensä 13]]</f>
        <v>0</v>
      </c>
      <c r="CS141" s="120">
        <v>0</v>
      </c>
      <c r="CT141" s="120">
        <v>0</v>
      </c>
      <c r="CU141" s="120">
        <v>0</v>
      </c>
      <c r="CV141" s="120">
        <v>0</v>
      </c>
      <c r="CW141" s="120">
        <v>0</v>
      </c>
      <c r="CX141" s="120">
        <v>0</v>
      </c>
      <c r="CY141" s="120">
        <v>0</v>
      </c>
      <c r="CZ141" s="120">
        <v>0</v>
      </c>
      <c r="DA141" s="209">
        <f>IFERROR(Opv.kohd.[[#This Row],[Järjestämisluvan mukaiset 13]]/Opv.kohd.[[#This Row],[Järjestämisluvan mukaiset 12]],0)</f>
        <v>0</v>
      </c>
      <c r="DB141" s="209">
        <f>IFERROR(Opv.kohd.[[#This Row],[Kohdentamat-tomat 13]]/Opv.kohd.[[#This Row],[Kohdentamat-tomat 12]],0)</f>
        <v>0</v>
      </c>
      <c r="DC141" s="209">
        <f>IFERROR(Opv.kohd.[[#This Row],[Työvoima-koulutus 13]]/Opv.kohd.[[#This Row],[Työvoima-koulutus 12]],0)</f>
        <v>0</v>
      </c>
      <c r="DD141" s="209">
        <f>IFERROR(Opv.kohd.[[#This Row],[Maahan-muuttajien koulutus 13]]/Opv.kohd.[[#This Row],[Maahan-muuttajien koulutus 12]],0)</f>
        <v>0</v>
      </c>
      <c r="DE141" s="209">
        <f>IFERROR(Opv.kohd.[[#This Row],[Nuorisotyöt. väh. ja osaamistarp. vast., muu kuin työvoima-koulutus 13]]/Opv.kohd.[[#This Row],[Nuorisotyöt. väh. ja osaamistarp. vast., muu kuin työvoima-koulutus 12]],0)</f>
        <v>0</v>
      </c>
      <c r="DF141" s="209">
        <f>IFERROR(Opv.kohd.[[#This Row],[Nuorisotyöt. väh. ja osaamistarp. vast., työvoima-koulutus 13]]/Opv.kohd.[[#This Row],[Nuorisotyöt. väh. ja osaamistarp. vast., työvoima-koulutus 12]],0)</f>
        <v>0</v>
      </c>
      <c r="DG141" s="209">
        <f>IFERROR(Opv.kohd.[[#This Row],[Yhteensä 13]]/Opv.kohd.[[#This Row],[Yhteensä 12]],0)</f>
        <v>0</v>
      </c>
      <c r="DH141" s="209">
        <f>IFERROR(Opv.kohd.[[#This Row],[Tavoitteelliset opiskelijavuodet yhteensä 13]]/Opv.kohd.[[#This Row],[Tavoitteelliset opiskelijavuodet yhteensä 12]],0)</f>
        <v>0</v>
      </c>
      <c r="DI141" s="207">
        <f>Opv.kohd.[[#This Row],[Järjestämisluvan mukaiset 12]]-Opv.kohd.[[#This Row],[Järjestämisluvan mukaiset 9]]</f>
        <v>-66</v>
      </c>
      <c r="DJ141" s="207">
        <f>Opv.kohd.[[#This Row],[Kohdentamat-tomat 12]]-Opv.kohd.[[#This Row],[Kohdentamat-tomat 9]]</f>
        <v>-4</v>
      </c>
      <c r="DK141" s="207">
        <f>Opv.kohd.[[#This Row],[Työvoima-koulutus 12]]-Opv.kohd.[[#This Row],[Työvoima-koulutus 9]]</f>
        <v>0</v>
      </c>
      <c r="DL141" s="207">
        <f>Opv.kohd.[[#This Row],[Maahan-muuttajien koulutus 12]]-Opv.kohd.[[#This Row],[Maahan-muuttajien koulutus 9]]</f>
        <v>0</v>
      </c>
      <c r="DM141" s="207">
        <f>Opv.kohd.[[#This Row],[Nuorisotyöt. väh. ja osaamistarp. vast., muu kuin työvoima-koulutus 12]]-Opv.kohd.[[#This Row],[Nuorisotyöt. väh. ja osaamistarp. vast., muu kuin työvoima-koulutus 9]]</f>
        <v>0</v>
      </c>
      <c r="DN141" s="207">
        <f>Opv.kohd.[[#This Row],[Nuorisotyöt. väh. ja osaamistarp. vast., työvoima-koulutus 12]]-Opv.kohd.[[#This Row],[Nuorisotyöt. väh. ja osaamistarp. vast., työvoima-koulutus 9]]</f>
        <v>0</v>
      </c>
      <c r="DO141" s="207">
        <f>Opv.kohd.[[#This Row],[Yhteensä 12]]-Opv.kohd.[[#This Row],[Yhteensä 9]]</f>
        <v>-4</v>
      </c>
      <c r="DP141" s="207">
        <f>Opv.kohd.[[#This Row],[Tavoitteelliset opiskelijavuodet yhteensä 12]]-Opv.kohd.[[#This Row],[Tavoitteelliset opiskelijavuodet yhteensä 9]]</f>
        <v>-70</v>
      </c>
      <c r="DQ141" s="209">
        <f>IFERROR(Opv.kohd.[[#This Row],[Järjestämisluvan mukaiset 15]]/Opv.kohd.[[#This Row],[Järjestämisluvan mukaiset 9]],0)</f>
        <v>-1</v>
      </c>
      <c r="DR141" s="209">
        <f t="shared" si="40"/>
        <v>0</v>
      </c>
      <c r="DS141" s="209">
        <f t="shared" si="41"/>
        <v>0</v>
      </c>
      <c r="DT141" s="209">
        <f t="shared" si="42"/>
        <v>0</v>
      </c>
      <c r="DU141" s="209">
        <f t="shared" si="43"/>
        <v>0</v>
      </c>
      <c r="DV141" s="209">
        <f t="shared" si="44"/>
        <v>0</v>
      </c>
      <c r="DW141" s="209">
        <f t="shared" si="45"/>
        <v>0</v>
      </c>
      <c r="DX141" s="209">
        <f t="shared" si="46"/>
        <v>0</v>
      </c>
    </row>
    <row r="142" spans="1:128" x14ac:dyDescent="0.25">
      <c r="A142" s="204" t="e">
        <f>IF(INDEX(#REF!,ROW(142:142)-1,1)=0,"",INDEX(#REF!,ROW(142:142)-1,1))</f>
        <v>#REF!</v>
      </c>
      <c r="B142" s="205" t="str">
        <f>IFERROR(VLOOKUP(Opv.kohd.[[#This Row],[Y-tunnus]],'0 Järjestäjätiedot'!$A:$H,2,FALSE),"")</f>
        <v/>
      </c>
      <c r="C142" s="204" t="str">
        <f>IFERROR(VLOOKUP(Opv.kohd.[[#This Row],[Y-tunnus]],'0 Järjestäjätiedot'!$A:$H,COLUMN('0 Järjestäjätiedot'!D:D),FALSE),"")</f>
        <v/>
      </c>
      <c r="D142" s="204" t="str">
        <f>IFERROR(VLOOKUP(Opv.kohd.[[#This Row],[Y-tunnus]],'0 Järjestäjätiedot'!$A:$H,COLUMN('0 Järjestäjätiedot'!H:H),FALSE),"")</f>
        <v/>
      </c>
      <c r="E142" s="204">
        <f>IFERROR(VLOOKUP(Opv.kohd.[[#This Row],[Y-tunnus]],#REF!,COLUMN(#REF!),FALSE),0)</f>
        <v>0</v>
      </c>
      <c r="F142" s="204">
        <f>IFERROR(VLOOKUP(Opv.kohd.[[#This Row],[Y-tunnus]],#REF!,COLUMN(#REF!),FALSE),0)</f>
        <v>0</v>
      </c>
      <c r="G142" s="204">
        <f>IFERROR(VLOOKUP(Opv.kohd.[[#This Row],[Y-tunnus]],#REF!,COLUMN(#REF!),FALSE),0)</f>
        <v>0</v>
      </c>
      <c r="H142" s="204">
        <f>IFERROR(VLOOKUP(Opv.kohd.[[#This Row],[Y-tunnus]],#REF!,COLUMN(#REF!),FALSE),0)</f>
        <v>0</v>
      </c>
      <c r="I142" s="204">
        <f>IFERROR(VLOOKUP(Opv.kohd.[[#This Row],[Y-tunnus]],#REF!,COLUMN(#REF!),FALSE),0)</f>
        <v>0</v>
      </c>
      <c r="J142" s="204">
        <f>IFERROR(VLOOKUP(Opv.kohd.[[#This Row],[Y-tunnus]],#REF!,COLUMN(#REF!),FALSE),0)</f>
        <v>0</v>
      </c>
      <c r="K14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42" s="204">
        <f>Opv.kohd.[[#This Row],[Järjestämisluvan mukaiset 1]]+Opv.kohd.[[#This Row],[Yhteensä  1]]</f>
        <v>0</v>
      </c>
      <c r="M142" s="204">
        <f>IFERROR(VLOOKUP(Opv.kohd.[[#This Row],[Y-tunnus]],#REF!,COLUMN(#REF!),FALSE),0)</f>
        <v>0</v>
      </c>
      <c r="N142" s="204">
        <f>IFERROR(VLOOKUP(Opv.kohd.[[#This Row],[Y-tunnus]],#REF!,COLUMN(#REF!),FALSE),0)</f>
        <v>0</v>
      </c>
      <c r="O142" s="204">
        <f>IFERROR(VLOOKUP(Opv.kohd.[[#This Row],[Y-tunnus]],#REF!,COLUMN(#REF!),FALSE)+VLOOKUP(Opv.kohd.[[#This Row],[Y-tunnus]],#REF!,COLUMN(#REF!),FALSE),0)</f>
        <v>0</v>
      </c>
      <c r="P142" s="204">
        <f>Opv.kohd.[[#This Row],[Talousarvion perusteella kohdentamattomat]]+Opv.kohd.[[#This Row],[Talousarvion perusteella työvoimakoulutus 1]]+Opv.kohd.[[#This Row],[Lisätalousarvioiden perusteella]]</f>
        <v>0</v>
      </c>
      <c r="Q142" s="204">
        <f>IFERROR(VLOOKUP(Opv.kohd.[[#This Row],[Y-tunnus]],#REF!,COLUMN(#REF!),FALSE),0)</f>
        <v>0</v>
      </c>
      <c r="R142" s="210">
        <f>IFERROR(VLOOKUP(Opv.kohd.[[#This Row],[Y-tunnus]],#REF!,COLUMN(#REF!),FALSE)-(Opv.kohd.[[#This Row],[Kohdentamaton työvoima-koulutus 2]]+Opv.kohd.[[#This Row],[Maahan-muuttajien koulutus 2]]+Opv.kohd.[[#This Row],[Lisätalousarvioiden perusteella jaetut 2]]),0)</f>
        <v>0</v>
      </c>
      <c r="S142" s="210">
        <f>IFERROR(VLOOKUP(Opv.kohd.[[#This Row],[Y-tunnus]],#REF!,COLUMN(#REF!),FALSE)+VLOOKUP(Opv.kohd.[[#This Row],[Y-tunnus]],#REF!,COLUMN(#REF!),FALSE),0)</f>
        <v>0</v>
      </c>
      <c r="T142" s="210">
        <f>IFERROR(VLOOKUP(Opv.kohd.[[#This Row],[Y-tunnus]],#REF!,COLUMN(#REF!),FALSE)+VLOOKUP(Opv.kohd.[[#This Row],[Y-tunnus]],#REF!,COLUMN(#REF!),FALSE),0)</f>
        <v>0</v>
      </c>
      <c r="U14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42" s="210">
        <f>Opv.kohd.[[#This Row],[Kohdentamat-tomat 2]]+Opv.kohd.[[#This Row],[Kohdentamaton työvoima-koulutus 2]]+Opv.kohd.[[#This Row],[Maahan-muuttajien koulutus 2]]+Opv.kohd.[[#This Row],[Lisätalousarvioiden perusteella jaetut 2]]</f>
        <v>0</v>
      </c>
      <c r="W142" s="210">
        <f>Opv.kohd.[[#This Row],[Kohdentamat-tomat 2]]-(Opv.kohd.[[#This Row],[Järjestämisluvan mukaiset 1]]+Opv.kohd.[[#This Row],[Kohdentamat-tomat 1]]+Opv.kohd.[[#This Row],[Nuorisotyöt. väh. ja osaamistarp. vast., muu kuin työvoima-koulutus 1]]+Opv.kohd.[[#This Row],[Talousarvion perusteella kohdentamattomat]])</f>
        <v>0</v>
      </c>
      <c r="X142" s="210">
        <f>Opv.kohd.[[#This Row],[Kohdentamaton työvoima-koulutus 2]]-(Opv.kohd.[[#This Row],[Työvoima-koulutus 1]]+Opv.kohd.[[#This Row],[Nuorisotyöt. väh. ja osaamistarp. vast., työvoima-koulutus 1]]+Opv.kohd.[[#This Row],[Talousarvion perusteella työvoimakoulutus 1]])</f>
        <v>0</v>
      </c>
      <c r="Y142" s="210">
        <f>Opv.kohd.[[#This Row],[Maahan-muuttajien koulutus 2]]-Opv.kohd.[[#This Row],[Maahan-muuttajien koulutus 1]]</f>
        <v>0</v>
      </c>
      <c r="Z142" s="210">
        <f>Opv.kohd.[[#This Row],[Lisätalousarvioiden perusteella jaetut 2]]-Opv.kohd.[[#This Row],[Lisätalousarvioiden perusteella]]</f>
        <v>0</v>
      </c>
      <c r="AA142" s="210">
        <f>Opv.kohd.[[#This Row],[Toteutuneet opiskelijavuodet yhteensä 2]]-Opv.kohd.[[#This Row],[Vuoden 2018 tavoitteelliset opiskelijavuodet yhteensä 1]]</f>
        <v>0</v>
      </c>
      <c r="AB142" s="207">
        <f>IFERROR(VLOOKUP(Opv.kohd.[[#This Row],[Y-tunnus]],#REF!,3,FALSE),0)</f>
        <v>0</v>
      </c>
      <c r="AC142" s="207">
        <f>IFERROR(VLOOKUP(Opv.kohd.[[#This Row],[Y-tunnus]],#REF!,4,FALSE),0)</f>
        <v>0</v>
      </c>
      <c r="AD142" s="207">
        <f>IFERROR(VLOOKUP(Opv.kohd.[[#This Row],[Y-tunnus]],#REF!,5,FALSE),0)</f>
        <v>0</v>
      </c>
      <c r="AE142" s="207">
        <f>IFERROR(VLOOKUP(Opv.kohd.[[#This Row],[Y-tunnus]],#REF!,6,FALSE),0)</f>
        <v>0</v>
      </c>
      <c r="AF142" s="207">
        <f>IFERROR(VLOOKUP(Opv.kohd.[[#This Row],[Y-tunnus]],#REF!,7,FALSE),0)</f>
        <v>0</v>
      </c>
      <c r="AG142" s="207">
        <f>IFERROR(VLOOKUP(Opv.kohd.[[#This Row],[Y-tunnus]],#REF!,8,FALSE),0)</f>
        <v>0</v>
      </c>
      <c r="AH142" s="207">
        <f>IFERROR(VLOOKUP(Opv.kohd.[[#This Row],[Y-tunnus]],#REF!,9,FALSE),0)</f>
        <v>0</v>
      </c>
      <c r="AI142" s="207">
        <f>IFERROR(VLOOKUP(Opv.kohd.[[#This Row],[Y-tunnus]],#REF!,10,FALSE),0)</f>
        <v>0</v>
      </c>
      <c r="AJ142" s="204">
        <f>Opv.kohd.[[#This Row],[Järjestämisluvan mukaiset 4]]-Opv.kohd.[[#This Row],[Järjestämisluvan mukaiset 1]]</f>
        <v>0</v>
      </c>
      <c r="AK142" s="204">
        <f>Opv.kohd.[[#This Row],[Kohdentamat-tomat 4]]-Opv.kohd.[[#This Row],[Kohdentamat-tomat 1]]</f>
        <v>0</v>
      </c>
      <c r="AL142" s="204">
        <f>Opv.kohd.[[#This Row],[Työvoima-koulutus 4]]-Opv.kohd.[[#This Row],[Työvoima-koulutus 1]]</f>
        <v>0</v>
      </c>
      <c r="AM142" s="204">
        <f>Opv.kohd.[[#This Row],[Maahan-muuttajien koulutus 4]]-Opv.kohd.[[#This Row],[Maahan-muuttajien koulutus 1]]</f>
        <v>0</v>
      </c>
      <c r="AN142" s="204">
        <f>Opv.kohd.[[#This Row],[Nuorisotyöt. väh. ja osaamistarp. vast., muu kuin työvoima-koulutus 4]]-Opv.kohd.[[#This Row],[Nuorisotyöt. väh. ja osaamistarp. vast., muu kuin työvoima-koulutus 1]]</f>
        <v>0</v>
      </c>
      <c r="AO142" s="204">
        <f>Opv.kohd.[[#This Row],[Nuorisotyöt. väh. ja osaamistarp. vast., työvoima-koulutus 4]]-Opv.kohd.[[#This Row],[Nuorisotyöt. väh. ja osaamistarp. vast., työvoima-koulutus 1]]</f>
        <v>0</v>
      </c>
      <c r="AP142" s="204">
        <f>Opv.kohd.[[#This Row],[Yhteensä 4]]-Opv.kohd.[[#This Row],[Yhteensä  1]]</f>
        <v>0</v>
      </c>
      <c r="AQ142" s="204">
        <f>Opv.kohd.[[#This Row],[Ensikertaisella suoritepäätöksellä jaetut tavoitteelliset opiskelijavuodet yhteensä 4]]-Opv.kohd.[[#This Row],[Ensikertaisella suoritepäätöksellä jaetut tavoitteelliset opiskelijavuodet yhteensä 1]]</f>
        <v>0</v>
      </c>
      <c r="AR142" s="208">
        <f>IFERROR(Opv.kohd.[[#This Row],[Järjestämisluvan mukaiset 5]]/Opv.kohd.[[#This Row],[Järjestämisluvan mukaiset 4]],0)</f>
        <v>0</v>
      </c>
      <c r="AS142" s="208">
        <f>IFERROR(Opv.kohd.[[#This Row],[Kohdentamat-tomat 5]]/Opv.kohd.[[#This Row],[Kohdentamat-tomat 4]],0)</f>
        <v>0</v>
      </c>
      <c r="AT142" s="208">
        <f>IFERROR(Opv.kohd.[[#This Row],[Työvoima-koulutus 5]]/Opv.kohd.[[#This Row],[Työvoima-koulutus 4]],0)</f>
        <v>0</v>
      </c>
      <c r="AU142" s="208">
        <f>IFERROR(Opv.kohd.[[#This Row],[Maahan-muuttajien koulutus 5]]/Opv.kohd.[[#This Row],[Maahan-muuttajien koulutus 4]],0)</f>
        <v>0</v>
      </c>
      <c r="AV142" s="208">
        <f>IFERROR(Opv.kohd.[[#This Row],[Nuorisotyöt. väh. ja osaamistarp. vast., muu kuin työvoima-koulutus 5]]/Opv.kohd.[[#This Row],[Nuorisotyöt. väh. ja osaamistarp. vast., muu kuin työvoima-koulutus 4]],0)</f>
        <v>0</v>
      </c>
      <c r="AW142" s="208">
        <f>IFERROR(Opv.kohd.[[#This Row],[Nuorisotyöt. väh. ja osaamistarp. vast., työvoima-koulutus 5]]/Opv.kohd.[[#This Row],[Nuorisotyöt. väh. ja osaamistarp. vast., työvoima-koulutus 4]],0)</f>
        <v>0</v>
      </c>
      <c r="AX142" s="208">
        <f>IFERROR(Opv.kohd.[[#This Row],[Yhteensä 5]]/Opv.kohd.[[#This Row],[Yhteensä 4]],0)</f>
        <v>0</v>
      </c>
      <c r="AY142" s="208">
        <f>IFERROR(Opv.kohd.[[#This Row],[Ensikertaisella suoritepäätöksellä jaetut tavoitteelliset opiskelijavuodet yhteensä 5]]/Opv.kohd.[[#This Row],[Ensikertaisella suoritepäätöksellä jaetut tavoitteelliset opiskelijavuodet yhteensä 4]],0)</f>
        <v>0</v>
      </c>
      <c r="AZ142" s="207">
        <f>Opv.kohd.[[#This Row],[Yhteensä 7a]]-Opv.kohd.[[#This Row],[Työvoima-koulutus 7a]]</f>
        <v>0</v>
      </c>
      <c r="BA142" s="207">
        <f>IFERROR(VLOOKUP(Opv.kohd.[[#This Row],[Y-tunnus]],#REF!,COLUMN(#REF!),FALSE),0)</f>
        <v>0</v>
      </c>
      <c r="BB142" s="207">
        <f>IFERROR(VLOOKUP(Opv.kohd.[[#This Row],[Y-tunnus]],#REF!,COLUMN(#REF!),FALSE),0)</f>
        <v>0</v>
      </c>
      <c r="BC142" s="207">
        <f>Opv.kohd.[[#This Row],[Muu kuin työvoima-koulutus 7c]]-Opv.kohd.[[#This Row],[Muu kuin työvoima-koulutus 7a]]</f>
        <v>0</v>
      </c>
      <c r="BD142" s="207">
        <f>Opv.kohd.[[#This Row],[Työvoima-koulutus 7c]]-Opv.kohd.[[#This Row],[Työvoima-koulutus 7a]]</f>
        <v>0</v>
      </c>
      <c r="BE142" s="207">
        <f>Opv.kohd.[[#This Row],[Yhteensä 7c]]-Opv.kohd.[[#This Row],[Yhteensä 7a]]</f>
        <v>0</v>
      </c>
      <c r="BF142" s="207">
        <f>Opv.kohd.[[#This Row],[Yhteensä 7c]]-Opv.kohd.[[#This Row],[Työvoima-koulutus 7c]]</f>
        <v>0</v>
      </c>
      <c r="BG142" s="207">
        <f>IFERROR(VLOOKUP(Opv.kohd.[[#This Row],[Y-tunnus]],#REF!,COLUMN(#REF!),FALSE),0)</f>
        <v>0</v>
      </c>
      <c r="BH142" s="207">
        <f>IFERROR(VLOOKUP(Opv.kohd.[[#This Row],[Y-tunnus]],#REF!,COLUMN(#REF!),FALSE),0)</f>
        <v>0</v>
      </c>
      <c r="BI142" s="207">
        <f>IFERROR(VLOOKUP(Opv.kohd.[[#This Row],[Y-tunnus]],#REF!,COLUMN(#REF!),FALSE),0)</f>
        <v>0</v>
      </c>
      <c r="BJ142" s="207">
        <f>IFERROR(VLOOKUP(Opv.kohd.[[#This Row],[Y-tunnus]],#REF!,COLUMN(#REF!),FALSE),0)</f>
        <v>0</v>
      </c>
      <c r="BK142" s="207">
        <f>Opv.kohd.[[#This Row],[Muu kuin työvoima-koulutus 7d]]+Opv.kohd.[[#This Row],[Työvoima-koulutus 7d]]</f>
        <v>0</v>
      </c>
      <c r="BL142" s="207">
        <f>Opv.kohd.[[#This Row],[Muu kuin työvoima-koulutus 7c]]-Opv.kohd.[[#This Row],[Muu kuin työvoima-koulutus 7d]]</f>
        <v>0</v>
      </c>
      <c r="BM142" s="207">
        <f>Opv.kohd.[[#This Row],[Työvoima-koulutus 7c]]-Opv.kohd.[[#This Row],[Työvoima-koulutus 7d]]</f>
        <v>0</v>
      </c>
      <c r="BN142" s="207">
        <f>Opv.kohd.[[#This Row],[Yhteensä 7c]]-Opv.kohd.[[#This Row],[Yhteensä 7d]]</f>
        <v>0</v>
      </c>
      <c r="BO142" s="207">
        <f>Opv.kohd.[[#This Row],[Muu kuin työvoima-koulutus 7e]]-(Opv.kohd.[[#This Row],[Järjestämisluvan mukaiset 4]]+Opv.kohd.[[#This Row],[Kohdentamat-tomat 4]]+Opv.kohd.[[#This Row],[Maahan-muuttajien koulutus 4]]+Opv.kohd.[[#This Row],[Nuorisotyöt. väh. ja osaamistarp. vast., muu kuin työvoima-koulutus 4]])</f>
        <v>0</v>
      </c>
      <c r="BP142" s="207">
        <f>Opv.kohd.[[#This Row],[Työvoima-koulutus 7e]]-(Opv.kohd.[[#This Row],[Työvoima-koulutus 4]]+Opv.kohd.[[#This Row],[Nuorisotyöt. väh. ja osaamistarp. vast., työvoima-koulutus 4]])</f>
        <v>0</v>
      </c>
      <c r="BQ142" s="207">
        <f>Opv.kohd.[[#This Row],[Yhteensä 7e]]-Opv.kohd.[[#This Row],[Ensikertaisella suoritepäätöksellä jaetut tavoitteelliset opiskelijavuodet yhteensä 4]]</f>
        <v>0</v>
      </c>
      <c r="BR142" s="263">
        <v>184</v>
      </c>
      <c r="BS142" s="263">
        <v>66</v>
      </c>
      <c r="BT142" s="263">
        <v>0</v>
      </c>
      <c r="BU142" s="263">
        <v>0</v>
      </c>
      <c r="BV142" s="263">
        <v>0</v>
      </c>
      <c r="BW142" s="263">
        <v>0</v>
      </c>
      <c r="BX142" s="263">
        <v>66</v>
      </c>
      <c r="BY142" s="263">
        <v>250</v>
      </c>
      <c r="BZ142" s="207">
        <f t="shared" si="32"/>
        <v>184</v>
      </c>
      <c r="CA142" s="207">
        <f t="shared" si="33"/>
        <v>66</v>
      </c>
      <c r="CB142" s="207">
        <f t="shared" si="34"/>
        <v>0</v>
      </c>
      <c r="CC142" s="207">
        <f t="shared" si="35"/>
        <v>0</v>
      </c>
      <c r="CD142" s="207">
        <f t="shared" si="36"/>
        <v>0</v>
      </c>
      <c r="CE142" s="207">
        <f t="shared" si="37"/>
        <v>0</v>
      </c>
      <c r="CF142" s="207">
        <f t="shared" si="38"/>
        <v>66</v>
      </c>
      <c r="CG142" s="207">
        <f t="shared" si="39"/>
        <v>250</v>
      </c>
      <c r="CH142" s="207">
        <f>Opv.kohd.[[#This Row],[Tavoitteelliset opiskelijavuodet yhteensä 9]]-Opv.kohd.[[#This Row],[Työvoima-koulutus 9]]-Opv.kohd.[[#This Row],[Nuorisotyöt. väh. ja osaamistarp. vast., työvoima-koulutus 9]]-Opv.kohd.[[#This Row],[Muu kuin työvoima-koulutus 7e]]</f>
        <v>250</v>
      </c>
      <c r="CI142" s="207">
        <f>(Opv.kohd.[[#This Row],[Työvoima-koulutus 9]]+Opv.kohd.[[#This Row],[Nuorisotyöt. väh. ja osaamistarp. vast., työvoima-koulutus 9]])-Opv.kohd.[[#This Row],[Työvoima-koulutus 7e]]</f>
        <v>0</v>
      </c>
      <c r="CJ142" s="207">
        <f>Opv.kohd.[[#This Row],[Tavoitteelliset opiskelijavuodet yhteensä 9]]-Opv.kohd.[[#This Row],[Yhteensä 7e]]</f>
        <v>250</v>
      </c>
      <c r="CK142" s="207">
        <f>Opv.kohd.[[#This Row],[Järjestämisluvan mukaiset 4]]+Opv.kohd.[[#This Row],[Järjestämisluvan mukaiset 13]]</f>
        <v>0</v>
      </c>
      <c r="CL142" s="207">
        <f>Opv.kohd.[[#This Row],[Kohdentamat-tomat 4]]+Opv.kohd.[[#This Row],[Kohdentamat-tomat 13]]</f>
        <v>0</v>
      </c>
      <c r="CM142" s="207">
        <f>Opv.kohd.[[#This Row],[Työvoima-koulutus 4]]+Opv.kohd.[[#This Row],[Työvoima-koulutus 13]]</f>
        <v>0</v>
      </c>
      <c r="CN142" s="207">
        <f>Opv.kohd.[[#This Row],[Maahan-muuttajien koulutus 4]]+Opv.kohd.[[#This Row],[Maahan-muuttajien koulutus 13]]</f>
        <v>0</v>
      </c>
      <c r="CO142" s="207">
        <f>Opv.kohd.[[#This Row],[Nuorisotyöt. väh. ja osaamistarp. vast., muu kuin työvoima-koulutus 4]]+Opv.kohd.[[#This Row],[Nuorisotyöt. väh. ja osaamistarp. vast., muu kuin työvoima-koulutus 13]]</f>
        <v>0</v>
      </c>
      <c r="CP142" s="207">
        <f>Opv.kohd.[[#This Row],[Nuorisotyöt. väh. ja osaamistarp. vast., työvoima-koulutus 4]]+Opv.kohd.[[#This Row],[Nuorisotyöt. väh. ja osaamistarp. vast., työvoima-koulutus 13]]</f>
        <v>0</v>
      </c>
      <c r="CQ142" s="207">
        <f>Opv.kohd.[[#This Row],[Yhteensä 4]]+Opv.kohd.[[#This Row],[Yhteensä 13]]</f>
        <v>0</v>
      </c>
      <c r="CR142" s="207">
        <f>Opv.kohd.[[#This Row],[Ensikertaisella suoritepäätöksellä jaetut tavoitteelliset opiskelijavuodet yhteensä 4]]+Opv.kohd.[[#This Row],[Tavoitteelliset opiskelijavuodet yhteensä 13]]</f>
        <v>0</v>
      </c>
      <c r="CS142" s="120">
        <v>0</v>
      </c>
      <c r="CT142" s="120">
        <v>0</v>
      </c>
      <c r="CU142" s="120">
        <v>0</v>
      </c>
      <c r="CV142" s="120">
        <v>0</v>
      </c>
      <c r="CW142" s="120">
        <v>0</v>
      </c>
      <c r="CX142" s="120">
        <v>0</v>
      </c>
      <c r="CY142" s="120">
        <v>0</v>
      </c>
      <c r="CZ142" s="120">
        <v>0</v>
      </c>
      <c r="DA142" s="209">
        <f>IFERROR(Opv.kohd.[[#This Row],[Järjestämisluvan mukaiset 13]]/Opv.kohd.[[#This Row],[Järjestämisluvan mukaiset 12]],0)</f>
        <v>0</v>
      </c>
      <c r="DB142" s="209">
        <f>IFERROR(Opv.kohd.[[#This Row],[Kohdentamat-tomat 13]]/Opv.kohd.[[#This Row],[Kohdentamat-tomat 12]],0)</f>
        <v>0</v>
      </c>
      <c r="DC142" s="209">
        <f>IFERROR(Opv.kohd.[[#This Row],[Työvoima-koulutus 13]]/Opv.kohd.[[#This Row],[Työvoima-koulutus 12]],0)</f>
        <v>0</v>
      </c>
      <c r="DD142" s="209">
        <f>IFERROR(Opv.kohd.[[#This Row],[Maahan-muuttajien koulutus 13]]/Opv.kohd.[[#This Row],[Maahan-muuttajien koulutus 12]],0)</f>
        <v>0</v>
      </c>
      <c r="DE142" s="209">
        <f>IFERROR(Opv.kohd.[[#This Row],[Nuorisotyöt. väh. ja osaamistarp. vast., muu kuin työvoima-koulutus 13]]/Opv.kohd.[[#This Row],[Nuorisotyöt. väh. ja osaamistarp. vast., muu kuin työvoima-koulutus 12]],0)</f>
        <v>0</v>
      </c>
      <c r="DF142" s="209">
        <f>IFERROR(Opv.kohd.[[#This Row],[Nuorisotyöt. väh. ja osaamistarp. vast., työvoima-koulutus 13]]/Opv.kohd.[[#This Row],[Nuorisotyöt. väh. ja osaamistarp. vast., työvoima-koulutus 12]],0)</f>
        <v>0</v>
      </c>
      <c r="DG142" s="209">
        <f>IFERROR(Opv.kohd.[[#This Row],[Yhteensä 13]]/Opv.kohd.[[#This Row],[Yhteensä 12]],0)</f>
        <v>0</v>
      </c>
      <c r="DH142" s="209">
        <f>IFERROR(Opv.kohd.[[#This Row],[Tavoitteelliset opiskelijavuodet yhteensä 13]]/Opv.kohd.[[#This Row],[Tavoitteelliset opiskelijavuodet yhteensä 12]],0)</f>
        <v>0</v>
      </c>
      <c r="DI142" s="207">
        <f>Opv.kohd.[[#This Row],[Järjestämisluvan mukaiset 12]]-Opv.kohd.[[#This Row],[Järjestämisluvan mukaiset 9]]</f>
        <v>-184</v>
      </c>
      <c r="DJ142" s="207">
        <f>Opv.kohd.[[#This Row],[Kohdentamat-tomat 12]]-Opv.kohd.[[#This Row],[Kohdentamat-tomat 9]]</f>
        <v>-66</v>
      </c>
      <c r="DK142" s="207">
        <f>Opv.kohd.[[#This Row],[Työvoima-koulutus 12]]-Opv.kohd.[[#This Row],[Työvoima-koulutus 9]]</f>
        <v>0</v>
      </c>
      <c r="DL142" s="207">
        <f>Opv.kohd.[[#This Row],[Maahan-muuttajien koulutus 12]]-Opv.kohd.[[#This Row],[Maahan-muuttajien koulutus 9]]</f>
        <v>0</v>
      </c>
      <c r="DM142" s="207">
        <f>Opv.kohd.[[#This Row],[Nuorisotyöt. väh. ja osaamistarp. vast., muu kuin työvoima-koulutus 12]]-Opv.kohd.[[#This Row],[Nuorisotyöt. väh. ja osaamistarp. vast., muu kuin työvoima-koulutus 9]]</f>
        <v>0</v>
      </c>
      <c r="DN142" s="207">
        <f>Opv.kohd.[[#This Row],[Nuorisotyöt. väh. ja osaamistarp. vast., työvoima-koulutus 12]]-Opv.kohd.[[#This Row],[Nuorisotyöt. väh. ja osaamistarp. vast., työvoima-koulutus 9]]</f>
        <v>0</v>
      </c>
      <c r="DO142" s="207">
        <f>Opv.kohd.[[#This Row],[Yhteensä 12]]-Opv.kohd.[[#This Row],[Yhteensä 9]]</f>
        <v>-66</v>
      </c>
      <c r="DP142" s="207">
        <f>Opv.kohd.[[#This Row],[Tavoitteelliset opiskelijavuodet yhteensä 12]]-Opv.kohd.[[#This Row],[Tavoitteelliset opiskelijavuodet yhteensä 9]]</f>
        <v>-250</v>
      </c>
      <c r="DQ142" s="209">
        <f>IFERROR(Opv.kohd.[[#This Row],[Järjestämisluvan mukaiset 15]]/Opv.kohd.[[#This Row],[Järjestämisluvan mukaiset 9]],0)</f>
        <v>-1</v>
      </c>
      <c r="DR142" s="209">
        <f t="shared" si="40"/>
        <v>0</v>
      </c>
      <c r="DS142" s="209">
        <f t="shared" si="41"/>
        <v>0</v>
      </c>
      <c r="DT142" s="209">
        <f t="shared" si="42"/>
        <v>0</v>
      </c>
      <c r="DU142" s="209">
        <f t="shared" si="43"/>
        <v>0</v>
      </c>
      <c r="DV142" s="209">
        <f t="shared" si="44"/>
        <v>0</v>
      </c>
      <c r="DW142" s="209">
        <f t="shared" si="45"/>
        <v>0</v>
      </c>
      <c r="DX142" s="209">
        <f t="shared" si="46"/>
        <v>0</v>
      </c>
    </row>
    <row r="143" spans="1:128" x14ac:dyDescent="0.25">
      <c r="A143" s="204" t="e">
        <f>IF(INDEX(#REF!,ROW(143:143)-1,1)=0,"",INDEX(#REF!,ROW(143:143)-1,1))</f>
        <v>#REF!</v>
      </c>
      <c r="B143" s="205" t="str">
        <f>IFERROR(VLOOKUP(Opv.kohd.[[#This Row],[Y-tunnus]],'0 Järjestäjätiedot'!$A:$H,2,FALSE),"")</f>
        <v/>
      </c>
      <c r="C143" s="204" t="str">
        <f>IFERROR(VLOOKUP(Opv.kohd.[[#This Row],[Y-tunnus]],'0 Järjestäjätiedot'!$A:$H,COLUMN('0 Järjestäjätiedot'!D:D),FALSE),"")</f>
        <v/>
      </c>
      <c r="D143" s="204" t="str">
        <f>IFERROR(VLOOKUP(Opv.kohd.[[#This Row],[Y-tunnus]],'0 Järjestäjätiedot'!$A:$H,COLUMN('0 Järjestäjätiedot'!H:H),FALSE),"")</f>
        <v/>
      </c>
      <c r="E143" s="204">
        <f>IFERROR(VLOOKUP(Opv.kohd.[[#This Row],[Y-tunnus]],#REF!,COLUMN(#REF!),FALSE),0)</f>
        <v>0</v>
      </c>
      <c r="F143" s="204">
        <f>IFERROR(VLOOKUP(Opv.kohd.[[#This Row],[Y-tunnus]],#REF!,COLUMN(#REF!),FALSE),0)</f>
        <v>0</v>
      </c>
      <c r="G143" s="204">
        <f>IFERROR(VLOOKUP(Opv.kohd.[[#This Row],[Y-tunnus]],#REF!,COLUMN(#REF!),FALSE),0)</f>
        <v>0</v>
      </c>
      <c r="H143" s="204">
        <f>IFERROR(VLOOKUP(Opv.kohd.[[#This Row],[Y-tunnus]],#REF!,COLUMN(#REF!),FALSE),0)</f>
        <v>0</v>
      </c>
      <c r="I143" s="204">
        <f>IFERROR(VLOOKUP(Opv.kohd.[[#This Row],[Y-tunnus]],#REF!,COLUMN(#REF!),FALSE),0)</f>
        <v>0</v>
      </c>
      <c r="J143" s="204">
        <f>IFERROR(VLOOKUP(Opv.kohd.[[#This Row],[Y-tunnus]],#REF!,COLUMN(#REF!),FALSE),0)</f>
        <v>0</v>
      </c>
      <c r="K14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43" s="204">
        <f>Opv.kohd.[[#This Row],[Järjestämisluvan mukaiset 1]]+Opv.kohd.[[#This Row],[Yhteensä  1]]</f>
        <v>0</v>
      </c>
      <c r="M143" s="204">
        <f>IFERROR(VLOOKUP(Opv.kohd.[[#This Row],[Y-tunnus]],#REF!,COLUMN(#REF!),FALSE),0)</f>
        <v>0</v>
      </c>
      <c r="N143" s="204">
        <f>IFERROR(VLOOKUP(Opv.kohd.[[#This Row],[Y-tunnus]],#REF!,COLUMN(#REF!),FALSE),0)</f>
        <v>0</v>
      </c>
      <c r="O143" s="204">
        <f>IFERROR(VLOOKUP(Opv.kohd.[[#This Row],[Y-tunnus]],#REF!,COLUMN(#REF!),FALSE)+VLOOKUP(Opv.kohd.[[#This Row],[Y-tunnus]],#REF!,COLUMN(#REF!),FALSE),0)</f>
        <v>0</v>
      </c>
      <c r="P143" s="204">
        <f>Opv.kohd.[[#This Row],[Talousarvion perusteella kohdentamattomat]]+Opv.kohd.[[#This Row],[Talousarvion perusteella työvoimakoulutus 1]]+Opv.kohd.[[#This Row],[Lisätalousarvioiden perusteella]]</f>
        <v>0</v>
      </c>
      <c r="Q143" s="204">
        <f>IFERROR(VLOOKUP(Opv.kohd.[[#This Row],[Y-tunnus]],#REF!,COLUMN(#REF!),FALSE),0)</f>
        <v>0</v>
      </c>
      <c r="R143" s="210">
        <f>IFERROR(VLOOKUP(Opv.kohd.[[#This Row],[Y-tunnus]],#REF!,COLUMN(#REF!),FALSE)-(Opv.kohd.[[#This Row],[Kohdentamaton työvoima-koulutus 2]]+Opv.kohd.[[#This Row],[Maahan-muuttajien koulutus 2]]+Opv.kohd.[[#This Row],[Lisätalousarvioiden perusteella jaetut 2]]),0)</f>
        <v>0</v>
      </c>
      <c r="S143" s="210">
        <f>IFERROR(VLOOKUP(Opv.kohd.[[#This Row],[Y-tunnus]],#REF!,COLUMN(#REF!),FALSE)+VLOOKUP(Opv.kohd.[[#This Row],[Y-tunnus]],#REF!,COLUMN(#REF!),FALSE),0)</f>
        <v>0</v>
      </c>
      <c r="T143" s="210">
        <f>IFERROR(VLOOKUP(Opv.kohd.[[#This Row],[Y-tunnus]],#REF!,COLUMN(#REF!),FALSE)+VLOOKUP(Opv.kohd.[[#This Row],[Y-tunnus]],#REF!,COLUMN(#REF!),FALSE),0)</f>
        <v>0</v>
      </c>
      <c r="U14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43" s="210">
        <f>Opv.kohd.[[#This Row],[Kohdentamat-tomat 2]]+Opv.kohd.[[#This Row],[Kohdentamaton työvoima-koulutus 2]]+Opv.kohd.[[#This Row],[Maahan-muuttajien koulutus 2]]+Opv.kohd.[[#This Row],[Lisätalousarvioiden perusteella jaetut 2]]</f>
        <v>0</v>
      </c>
      <c r="W143" s="210">
        <f>Opv.kohd.[[#This Row],[Kohdentamat-tomat 2]]-(Opv.kohd.[[#This Row],[Järjestämisluvan mukaiset 1]]+Opv.kohd.[[#This Row],[Kohdentamat-tomat 1]]+Opv.kohd.[[#This Row],[Nuorisotyöt. väh. ja osaamistarp. vast., muu kuin työvoima-koulutus 1]]+Opv.kohd.[[#This Row],[Talousarvion perusteella kohdentamattomat]])</f>
        <v>0</v>
      </c>
      <c r="X143" s="210">
        <f>Opv.kohd.[[#This Row],[Kohdentamaton työvoima-koulutus 2]]-(Opv.kohd.[[#This Row],[Työvoima-koulutus 1]]+Opv.kohd.[[#This Row],[Nuorisotyöt. väh. ja osaamistarp. vast., työvoima-koulutus 1]]+Opv.kohd.[[#This Row],[Talousarvion perusteella työvoimakoulutus 1]])</f>
        <v>0</v>
      </c>
      <c r="Y143" s="210">
        <f>Opv.kohd.[[#This Row],[Maahan-muuttajien koulutus 2]]-Opv.kohd.[[#This Row],[Maahan-muuttajien koulutus 1]]</f>
        <v>0</v>
      </c>
      <c r="Z143" s="210">
        <f>Opv.kohd.[[#This Row],[Lisätalousarvioiden perusteella jaetut 2]]-Opv.kohd.[[#This Row],[Lisätalousarvioiden perusteella]]</f>
        <v>0</v>
      </c>
      <c r="AA143" s="210">
        <f>Opv.kohd.[[#This Row],[Toteutuneet opiskelijavuodet yhteensä 2]]-Opv.kohd.[[#This Row],[Vuoden 2018 tavoitteelliset opiskelijavuodet yhteensä 1]]</f>
        <v>0</v>
      </c>
      <c r="AB143" s="207">
        <f>IFERROR(VLOOKUP(Opv.kohd.[[#This Row],[Y-tunnus]],#REF!,3,FALSE),0)</f>
        <v>0</v>
      </c>
      <c r="AC143" s="207">
        <f>IFERROR(VLOOKUP(Opv.kohd.[[#This Row],[Y-tunnus]],#REF!,4,FALSE),0)</f>
        <v>0</v>
      </c>
      <c r="AD143" s="207">
        <f>IFERROR(VLOOKUP(Opv.kohd.[[#This Row],[Y-tunnus]],#REF!,5,FALSE),0)</f>
        <v>0</v>
      </c>
      <c r="AE143" s="207">
        <f>IFERROR(VLOOKUP(Opv.kohd.[[#This Row],[Y-tunnus]],#REF!,6,FALSE),0)</f>
        <v>0</v>
      </c>
      <c r="AF143" s="207">
        <f>IFERROR(VLOOKUP(Opv.kohd.[[#This Row],[Y-tunnus]],#REF!,7,FALSE),0)</f>
        <v>0</v>
      </c>
      <c r="AG143" s="207">
        <f>IFERROR(VLOOKUP(Opv.kohd.[[#This Row],[Y-tunnus]],#REF!,8,FALSE),0)</f>
        <v>0</v>
      </c>
      <c r="AH143" s="207">
        <f>IFERROR(VLOOKUP(Opv.kohd.[[#This Row],[Y-tunnus]],#REF!,9,FALSE),0)</f>
        <v>0</v>
      </c>
      <c r="AI143" s="207">
        <f>IFERROR(VLOOKUP(Opv.kohd.[[#This Row],[Y-tunnus]],#REF!,10,FALSE),0)</f>
        <v>0</v>
      </c>
      <c r="AJ143" s="204">
        <f>Opv.kohd.[[#This Row],[Järjestämisluvan mukaiset 4]]-Opv.kohd.[[#This Row],[Järjestämisluvan mukaiset 1]]</f>
        <v>0</v>
      </c>
      <c r="AK143" s="204">
        <f>Opv.kohd.[[#This Row],[Kohdentamat-tomat 4]]-Opv.kohd.[[#This Row],[Kohdentamat-tomat 1]]</f>
        <v>0</v>
      </c>
      <c r="AL143" s="204">
        <f>Opv.kohd.[[#This Row],[Työvoima-koulutus 4]]-Opv.kohd.[[#This Row],[Työvoima-koulutus 1]]</f>
        <v>0</v>
      </c>
      <c r="AM143" s="204">
        <f>Opv.kohd.[[#This Row],[Maahan-muuttajien koulutus 4]]-Opv.kohd.[[#This Row],[Maahan-muuttajien koulutus 1]]</f>
        <v>0</v>
      </c>
      <c r="AN143" s="204">
        <f>Opv.kohd.[[#This Row],[Nuorisotyöt. väh. ja osaamistarp. vast., muu kuin työvoima-koulutus 4]]-Opv.kohd.[[#This Row],[Nuorisotyöt. väh. ja osaamistarp. vast., muu kuin työvoima-koulutus 1]]</f>
        <v>0</v>
      </c>
      <c r="AO143" s="204">
        <f>Opv.kohd.[[#This Row],[Nuorisotyöt. väh. ja osaamistarp. vast., työvoima-koulutus 4]]-Opv.kohd.[[#This Row],[Nuorisotyöt. väh. ja osaamistarp. vast., työvoima-koulutus 1]]</f>
        <v>0</v>
      </c>
      <c r="AP143" s="204">
        <f>Opv.kohd.[[#This Row],[Yhteensä 4]]-Opv.kohd.[[#This Row],[Yhteensä  1]]</f>
        <v>0</v>
      </c>
      <c r="AQ143" s="204">
        <f>Opv.kohd.[[#This Row],[Ensikertaisella suoritepäätöksellä jaetut tavoitteelliset opiskelijavuodet yhteensä 4]]-Opv.kohd.[[#This Row],[Ensikertaisella suoritepäätöksellä jaetut tavoitteelliset opiskelijavuodet yhteensä 1]]</f>
        <v>0</v>
      </c>
      <c r="AR143" s="208">
        <f>IFERROR(Opv.kohd.[[#This Row],[Järjestämisluvan mukaiset 5]]/Opv.kohd.[[#This Row],[Järjestämisluvan mukaiset 4]],0)</f>
        <v>0</v>
      </c>
      <c r="AS143" s="208">
        <f>IFERROR(Opv.kohd.[[#This Row],[Kohdentamat-tomat 5]]/Opv.kohd.[[#This Row],[Kohdentamat-tomat 4]],0)</f>
        <v>0</v>
      </c>
      <c r="AT143" s="208">
        <f>IFERROR(Opv.kohd.[[#This Row],[Työvoima-koulutus 5]]/Opv.kohd.[[#This Row],[Työvoima-koulutus 4]],0)</f>
        <v>0</v>
      </c>
      <c r="AU143" s="208">
        <f>IFERROR(Opv.kohd.[[#This Row],[Maahan-muuttajien koulutus 5]]/Opv.kohd.[[#This Row],[Maahan-muuttajien koulutus 4]],0)</f>
        <v>0</v>
      </c>
      <c r="AV143" s="208">
        <f>IFERROR(Opv.kohd.[[#This Row],[Nuorisotyöt. väh. ja osaamistarp. vast., muu kuin työvoima-koulutus 5]]/Opv.kohd.[[#This Row],[Nuorisotyöt. väh. ja osaamistarp. vast., muu kuin työvoima-koulutus 4]],0)</f>
        <v>0</v>
      </c>
      <c r="AW143" s="208">
        <f>IFERROR(Opv.kohd.[[#This Row],[Nuorisotyöt. väh. ja osaamistarp. vast., työvoima-koulutus 5]]/Opv.kohd.[[#This Row],[Nuorisotyöt. väh. ja osaamistarp. vast., työvoima-koulutus 4]],0)</f>
        <v>0</v>
      </c>
      <c r="AX143" s="208">
        <f>IFERROR(Opv.kohd.[[#This Row],[Yhteensä 5]]/Opv.kohd.[[#This Row],[Yhteensä 4]],0)</f>
        <v>0</v>
      </c>
      <c r="AY143" s="208">
        <f>IFERROR(Opv.kohd.[[#This Row],[Ensikertaisella suoritepäätöksellä jaetut tavoitteelliset opiskelijavuodet yhteensä 5]]/Opv.kohd.[[#This Row],[Ensikertaisella suoritepäätöksellä jaetut tavoitteelliset opiskelijavuodet yhteensä 4]],0)</f>
        <v>0</v>
      </c>
      <c r="AZ143" s="207">
        <f>Opv.kohd.[[#This Row],[Yhteensä 7a]]-Opv.kohd.[[#This Row],[Työvoima-koulutus 7a]]</f>
        <v>0</v>
      </c>
      <c r="BA143" s="207">
        <f>IFERROR(VLOOKUP(Opv.kohd.[[#This Row],[Y-tunnus]],#REF!,COLUMN(#REF!),FALSE),0)</f>
        <v>0</v>
      </c>
      <c r="BB143" s="207">
        <f>IFERROR(VLOOKUP(Opv.kohd.[[#This Row],[Y-tunnus]],#REF!,COLUMN(#REF!),FALSE),0)</f>
        <v>0</v>
      </c>
      <c r="BC143" s="207">
        <f>Opv.kohd.[[#This Row],[Muu kuin työvoima-koulutus 7c]]-Opv.kohd.[[#This Row],[Muu kuin työvoima-koulutus 7a]]</f>
        <v>0</v>
      </c>
      <c r="BD143" s="207">
        <f>Opv.kohd.[[#This Row],[Työvoima-koulutus 7c]]-Opv.kohd.[[#This Row],[Työvoima-koulutus 7a]]</f>
        <v>0</v>
      </c>
      <c r="BE143" s="207">
        <f>Opv.kohd.[[#This Row],[Yhteensä 7c]]-Opv.kohd.[[#This Row],[Yhteensä 7a]]</f>
        <v>0</v>
      </c>
      <c r="BF143" s="207">
        <f>Opv.kohd.[[#This Row],[Yhteensä 7c]]-Opv.kohd.[[#This Row],[Työvoima-koulutus 7c]]</f>
        <v>0</v>
      </c>
      <c r="BG143" s="207">
        <f>IFERROR(VLOOKUP(Opv.kohd.[[#This Row],[Y-tunnus]],#REF!,COLUMN(#REF!),FALSE),0)</f>
        <v>0</v>
      </c>
      <c r="BH143" s="207">
        <f>IFERROR(VLOOKUP(Opv.kohd.[[#This Row],[Y-tunnus]],#REF!,COLUMN(#REF!),FALSE),0)</f>
        <v>0</v>
      </c>
      <c r="BI143" s="207">
        <f>IFERROR(VLOOKUP(Opv.kohd.[[#This Row],[Y-tunnus]],#REF!,COLUMN(#REF!),FALSE),0)</f>
        <v>0</v>
      </c>
      <c r="BJ143" s="207">
        <f>IFERROR(VLOOKUP(Opv.kohd.[[#This Row],[Y-tunnus]],#REF!,COLUMN(#REF!),FALSE),0)</f>
        <v>0</v>
      </c>
      <c r="BK143" s="207">
        <f>Opv.kohd.[[#This Row],[Muu kuin työvoima-koulutus 7d]]+Opv.kohd.[[#This Row],[Työvoima-koulutus 7d]]</f>
        <v>0</v>
      </c>
      <c r="BL143" s="207">
        <f>Opv.kohd.[[#This Row],[Muu kuin työvoima-koulutus 7c]]-Opv.kohd.[[#This Row],[Muu kuin työvoima-koulutus 7d]]</f>
        <v>0</v>
      </c>
      <c r="BM143" s="207">
        <f>Opv.kohd.[[#This Row],[Työvoima-koulutus 7c]]-Opv.kohd.[[#This Row],[Työvoima-koulutus 7d]]</f>
        <v>0</v>
      </c>
      <c r="BN143" s="207">
        <f>Opv.kohd.[[#This Row],[Yhteensä 7c]]-Opv.kohd.[[#This Row],[Yhteensä 7d]]</f>
        <v>0</v>
      </c>
      <c r="BO143" s="207">
        <f>Opv.kohd.[[#This Row],[Muu kuin työvoima-koulutus 7e]]-(Opv.kohd.[[#This Row],[Järjestämisluvan mukaiset 4]]+Opv.kohd.[[#This Row],[Kohdentamat-tomat 4]]+Opv.kohd.[[#This Row],[Maahan-muuttajien koulutus 4]]+Opv.kohd.[[#This Row],[Nuorisotyöt. väh. ja osaamistarp. vast., muu kuin työvoima-koulutus 4]])</f>
        <v>0</v>
      </c>
      <c r="BP143" s="207">
        <f>Opv.kohd.[[#This Row],[Työvoima-koulutus 7e]]-(Opv.kohd.[[#This Row],[Työvoima-koulutus 4]]+Opv.kohd.[[#This Row],[Nuorisotyöt. väh. ja osaamistarp. vast., työvoima-koulutus 4]])</f>
        <v>0</v>
      </c>
      <c r="BQ143" s="207">
        <f>Opv.kohd.[[#This Row],[Yhteensä 7e]]-Opv.kohd.[[#This Row],[Ensikertaisella suoritepäätöksellä jaetut tavoitteelliset opiskelijavuodet yhteensä 4]]</f>
        <v>0</v>
      </c>
      <c r="BR143" s="263">
        <v>35</v>
      </c>
      <c r="BS143" s="263">
        <v>0</v>
      </c>
      <c r="BT143" s="263">
        <v>0</v>
      </c>
      <c r="BU143" s="263">
        <v>0</v>
      </c>
      <c r="BV143" s="263">
        <v>0</v>
      </c>
      <c r="BW143" s="263">
        <v>0</v>
      </c>
      <c r="BX143" s="263">
        <v>35</v>
      </c>
      <c r="BY143" s="263">
        <v>35</v>
      </c>
      <c r="BZ143" s="207">
        <f t="shared" si="32"/>
        <v>35</v>
      </c>
      <c r="CA143" s="207">
        <f t="shared" si="33"/>
        <v>0</v>
      </c>
      <c r="CB143" s="207">
        <f t="shared" si="34"/>
        <v>0</v>
      </c>
      <c r="CC143" s="207">
        <f t="shared" si="35"/>
        <v>0</v>
      </c>
      <c r="CD143" s="207">
        <f t="shared" si="36"/>
        <v>0</v>
      </c>
      <c r="CE143" s="207">
        <f t="shared" si="37"/>
        <v>0</v>
      </c>
      <c r="CF143" s="207">
        <f t="shared" si="38"/>
        <v>35</v>
      </c>
      <c r="CG143" s="207">
        <f t="shared" si="39"/>
        <v>35</v>
      </c>
      <c r="CH143" s="207">
        <f>Opv.kohd.[[#This Row],[Tavoitteelliset opiskelijavuodet yhteensä 9]]-Opv.kohd.[[#This Row],[Työvoima-koulutus 9]]-Opv.kohd.[[#This Row],[Nuorisotyöt. väh. ja osaamistarp. vast., työvoima-koulutus 9]]-Opv.kohd.[[#This Row],[Muu kuin työvoima-koulutus 7e]]</f>
        <v>35</v>
      </c>
      <c r="CI143" s="207">
        <f>(Opv.kohd.[[#This Row],[Työvoima-koulutus 9]]+Opv.kohd.[[#This Row],[Nuorisotyöt. väh. ja osaamistarp. vast., työvoima-koulutus 9]])-Opv.kohd.[[#This Row],[Työvoima-koulutus 7e]]</f>
        <v>0</v>
      </c>
      <c r="CJ143" s="207">
        <f>Opv.kohd.[[#This Row],[Tavoitteelliset opiskelijavuodet yhteensä 9]]-Opv.kohd.[[#This Row],[Yhteensä 7e]]</f>
        <v>35</v>
      </c>
      <c r="CK143" s="207">
        <f>Opv.kohd.[[#This Row],[Järjestämisluvan mukaiset 4]]+Opv.kohd.[[#This Row],[Järjestämisluvan mukaiset 13]]</f>
        <v>0</v>
      </c>
      <c r="CL143" s="207">
        <f>Opv.kohd.[[#This Row],[Kohdentamat-tomat 4]]+Opv.kohd.[[#This Row],[Kohdentamat-tomat 13]]</f>
        <v>0</v>
      </c>
      <c r="CM143" s="207">
        <f>Opv.kohd.[[#This Row],[Työvoima-koulutus 4]]+Opv.kohd.[[#This Row],[Työvoima-koulutus 13]]</f>
        <v>0</v>
      </c>
      <c r="CN143" s="207">
        <f>Opv.kohd.[[#This Row],[Maahan-muuttajien koulutus 4]]+Opv.kohd.[[#This Row],[Maahan-muuttajien koulutus 13]]</f>
        <v>0</v>
      </c>
      <c r="CO143" s="207">
        <f>Opv.kohd.[[#This Row],[Nuorisotyöt. väh. ja osaamistarp. vast., muu kuin työvoima-koulutus 4]]+Opv.kohd.[[#This Row],[Nuorisotyöt. väh. ja osaamistarp. vast., muu kuin työvoima-koulutus 13]]</f>
        <v>0</v>
      </c>
      <c r="CP143" s="207">
        <f>Opv.kohd.[[#This Row],[Nuorisotyöt. väh. ja osaamistarp. vast., työvoima-koulutus 4]]+Opv.kohd.[[#This Row],[Nuorisotyöt. väh. ja osaamistarp. vast., työvoima-koulutus 13]]</f>
        <v>0</v>
      </c>
      <c r="CQ143" s="207">
        <f>Opv.kohd.[[#This Row],[Yhteensä 4]]+Opv.kohd.[[#This Row],[Yhteensä 13]]</f>
        <v>0</v>
      </c>
      <c r="CR143" s="207">
        <f>Opv.kohd.[[#This Row],[Ensikertaisella suoritepäätöksellä jaetut tavoitteelliset opiskelijavuodet yhteensä 4]]+Opv.kohd.[[#This Row],[Tavoitteelliset opiskelijavuodet yhteensä 13]]</f>
        <v>0</v>
      </c>
      <c r="CS143" s="120">
        <v>0</v>
      </c>
      <c r="CT143" s="120">
        <v>0</v>
      </c>
      <c r="CU143" s="120">
        <v>0</v>
      </c>
      <c r="CV143" s="120">
        <v>0</v>
      </c>
      <c r="CW143" s="120">
        <v>0</v>
      </c>
      <c r="CX143" s="120">
        <v>0</v>
      </c>
      <c r="CY143" s="120">
        <v>0</v>
      </c>
      <c r="CZ143" s="120">
        <v>0</v>
      </c>
      <c r="DA143" s="209">
        <f>IFERROR(Opv.kohd.[[#This Row],[Järjestämisluvan mukaiset 13]]/Opv.kohd.[[#This Row],[Järjestämisluvan mukaiset 12]],0)</f>
        <v>0</v>
      </c>
      <c r="DB143" s="209">
        <f>IFERROR(Opv.kohd.[[#This Row],[Kohdentamat-tomat 13]]/Opv.kohd.[[#This Row],[Kohdentamat-tomat 12]],0)</f>
        <v>0</v>
      </c>
      <c r="DC143" s="209">
        <f>IFERROR(Opv.kohd.[[#This Row],[Työvoima-koulutus 13]]/Opv.kohd.[[#This Row],[Työvoima-koulutus 12]],0)</f>
        <v>0</v>
      </c>
      <c r="DD143" s="209">
        <f>IFERROR(Opv.kohd.[[#This Row],[Maahan-muuttajien koulutus 13]]/Opv.kohd.[[#This Row],[Maahan-muuttajien koulutus 12]],0)</f>
        <v>0</v>
      </c>
      <c r="DE143" s="209">
        <f>IFERROR(Opv.kohd.[[#This Row],[Nuorisotyöt. väh. ja osaamistarp. vast., muu kuin työvoima-koulutus 13]]/Opv.kohd.[[#This Row],[Nuorisotyöt. väh. ja osaamistarp. vast., muu kuin työvoima-koulutus 12]],0)</f>
        <v>0</v>
      </c>
      <c r="DF143" s="209">
        <f>IFERROR(Opv.kohd.[[#This Row],[Nuorisotyöt. väh. ja osaamistarp. vast., työvoima-koulutus 13]]/Opv.kohd.[[#This Row],[Nuorisotyöt. väh. ja osaamistarp. vast., työvoima-koulutus 12]],0)</f>
        <v>0</v>
      </c>
      <c r="DG143" s="209">
        <f>IFERROR(Opv.kohd.[[#This Row],[Yhteensä 13]]/Opv.kohd.[[#This Row],[Yhteensä 12]],0)</f>
        <v>0</v>
      </c>
      <c r="DH143" s="209">
        <f>IFERROR(Opv.kohd.[[#This Row],[Tavoitteelliset opiskelijavuodet yhteensä 13]]/Opv.kohd.[[#This Row],[Tavoitteelliset opiskelijavuodet yhteensä 12]],0)</f>
        <v>0</v>
      </c>
      <c r="DI143" s="207">
        <f>Opv.kohd.[[#This Row],[Järjestämisluvan mukaiset 12]]-Opv.kohd.[[#This Row],[Järjestämisluvan mukaiset 9]]</f>
        <v>-35</v>
      </c>
      <c r="DJ143" s="207">
        <f>Opv.kohd.[[#This Row],[Kohdentamat-tomat 12]]-Opv.kohd.[[#This Row],[Kohdentamat-tomat 9]]</f>
        <v>0</v>
      </c>
      <c r="DK143" s="207">
        <f>Opv.kohd.[[#This Row],[Työvoima-koulutus 12]]-Opv.kohd.[[#This Row],[Työvoima-koulutus 9]]</f>
        <v>0</v>
      </c>
      <c r="DL143" s="207">
        <f>Opv.kohd.[[#This Row],[Maahan-muuttajien koulutus 12]]-Opv.kohd.[[#This Row],[Maahan-muuttajien koulutus 9]]</f>
        <v>0</v>
      </c>
      <c r="DM143" s="207">
        <f>Opv.kohd.[[#This Row],[Nuorisotyöt. väh. ja osaamistarp. vast., muu kuin työvoima-koulutus 12]]-Opv.kohd.[[#This Row],[Nuorisotyöt. väh. ja osaamistarp. vast., muu kuin työvoima-koulutus 9]]</f>
        <v>0</v>
      </c>
      <c r="DN143" s="207">
        <f>Opv.kohd.[[#This Row],[Nuorisotyöt. väh. ja osaamistarp. vast., työvoima-koulutus 12]]-Opv.kohd.[[#This Row],[Nuorisotyöt. väh. ja osaamistarp. vast., työvoima-koulutus 9]]</f>
        <v>0</v>
      </c>
      <c r="DO143" s="207">
        <f>Opv.kohd.[[#This Row],[Yhteensä 12]]-Opv.kohd.[[#This Row],[Yhteensä 9]]</f>
        <v>-35</v>
      </c>
      <c r="DP143" s="207">
        <f>Opv.kohd.[[#This Row],[Tavoitteelliset opiskelijavuodet yhteensä 12]]-Opv.kohd.[[#This Row],[Tavoitteelliset opiskelijavuodet yhteensä 9]]</f>
        <v>-35</v>
      </c>
      <c r="DQ143" s="209">
        <f>IFERROR(Opv.kohd.[[#This Row],[Järjestämisluvan mukaiset 15]]/Opv.kohd.[[#This Row],[Järjestämisluvan mukaiset 9]],0)</f>
        <v>-1</v>
      </c>
      <c r="DR143" s="209">
        <f t="shared" si="40"/>
        <v>0</v>
      </c>
      <c r="DS143" s="209">
        <f t="shared" si="41"/>
        <v>0</v>
      </c>
      <c r="DT143" s="209">
        <f t="shared" si="42"/>
        <v>0</v>
      </c>
      <c r="DU143" s="209">
        <f t="shared" si="43"/>
        <v>0</v>
      </c>
      <c r="DV143" s="209">
        <f t="shared" si="44"/>
        <v>0</v>
      </c>
      <c r="DW143" s="209">
        <f t="shared" si="45"/>
        <v>0</v>
      </c>
      <c r="DX143" s="209">
        <f t="shared" si="46"/>
        <v>0</v>
      </c>
    </row>
    <row r="144" spans="1:128" x14ac:dyDescent="0.25">
      <c r="A144" s="204" t="e">
        <f>IF(INDEX(#REF!,ROW(144:144)-1,1)=0,"",INDEX(#REF!,ROW(144:144)-1,1))</f>
        <v>#REF!</v>
      </c>
      <c r="B144" s="205" t="str">
        <f>IFERROR(VLOOKUP(Opv.kohd.[[#This Row],[Y-tunnus]],'0 Järjestäjätiedot'!$A:$H,2,FALSE),"")</f>
        <v/>
      </c>
      <c r="C144" s="204" t="str">
        <f>IFERROR(VLOOKUP(Opv.kohd.[[#This Row],[Y-tunnus]],'0 Järjestäjätiedot'!$A:$H,COLUMN('0 Järjestäjätiedot'!D:D),FALSE),"")</f>
        <v/>
      </c>
      <c r="D144" s="204" t="str">
        <f>IFERROR(VLOOKUP(Opv.kohd.[[#This Row],[Y-tunnus]],'0 Järjestäjätiedot'!$A:$H,COLUMN('0 Järjestäjätiedot'!H:H),FALSE),"")</f>
        <v/>
      </c>
      <c r="E144" s="204">
        <f>IFERROR(VLOOKUP(Opv.kohd.[[#This Row],[Y-tunnus]],#REF!,COLUMN(#REF!),FALSE),0)</f>
        <v>0</v>
      </c>
      <c r="F144" s="204">
        <f>IFERROR(VLOOKUP(Opv.kohd.[[#This Row],[Y-tunnus]],#REF!,COLUMN(#REF!),FALSE),0)</f>
        <v>0</v>
      </c>
      <c r="G144" s="204">
        <f>IFERROR(VLOOKUP(Opv.kohd.[[#This Row],[Y-tunnus]],#REF!,COLUMN(#REF!),FALSE),0)</f>
        <v>0</v>
      </c>
      <c r="H144" s="204">
        <f>IFERROR(VLOOKUP(Opv.kohd.[[#This Row],[Y-tunnus]],#REF!,COLUMN(#REF!),FALSE),0)</f>
        <v>0</v>
      </c>
      <c r="I144" s="204">
        <f>IFERROR(VLOOKUP(Opv.kohd.[[#This Row],[Y-tunnus]],#REF!,COLUMN(#REF!),FALSE),0)</f>
        <v>0</v>
      </c>
      <c r="J144" s="204">
        <f>IFERROR(VLOOKUP(Opv.kohd.[[#This Row],[Y-tunnus]],#REF!,COLUMN(#REF!),FALSE),0)</f>
        <v>0</v>
      </c>
      <c r="K14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44" s="204">
        <f>Opv.kohd.[[#This Row],[Järjestämisluvan mukaiset 1]]+Opv.kohd.[[#This Row],[Yhteensä  1]]</f>
        <v>0</v>
      </c>
      <c r="M144" s="204">
        <f>IFERROR(VLOOKUP(Opv.kohd.[[#This Row],[Y-tunnus]],#REF!,COLUMN(#REF!),FALSE),0)</f>
        <v>0</v>
      </c>
      <c r="N144" s="204">
        <f>IFERROR(VLOOKUP(Opv.kohd.[[#This Row],[Y-tunnus]],#REF!,COLUMN(#REF!),FALSE),0)</f>
        <v>0</v>
      </c>
      <c r="O144" s="204">
        <f>IFERROR(VLOOKUP(Opv.kohd.[[#This Row],[Y-tunnus]],#REF!,COLUMN(#REF!),FALSE)+VLOOKUP(Opv.kohd.[[#This Row],[Y-tunnus]],#REF!,COLUMN(#REF!),FALSE),0)</f>
        <v>0</v>
      </c>
      <c r="P144" s="204">
        <f>Opv.kohd.[[#This Row],[Talousarvion perusteella kohdentamattomat]]+Opv.kohd.[[#This Row],[Talousarvion perusteella työvoimakoulutus 1]]+Opv.kohd.[[#This Row],[Lisätalousarvioiden perusteella]]</f>
        <v>0</v>
      </c>
      <c r="Q144" s="204">
        <f>IFERROR(VLOOKUP(Opv.kohd.[[#This Row],[Y-tunnus]],#REF!,COLUMN(#REF!),FALSE),0)</f>
        <v>0</v>
      </c>
      <c r="R144" s="210">
        <f>IFERROR(VLOOKUP(Opv.kohd.[[#This Row],[Y-tunnus]],#REF!,COLUMN(#REF!),FALSE)-(Opv.kohd.[[#This Row],[Kohdentamaton työvoima-koulutus 2]]+Opv.kohd.[[#This Row],[Maahan-muuttajien koulutus 2]]+Opv.kohd.[[#This Row],[Lisätalousarvioiden perusteella jaetut 2]]),0)</f>
        <v>0</v>
      </c>
      <c r="S144" s="210">
        <f>IFERROR(VLOOKUP(Opv.kohd.[[#This Row],[Y-tunnus]],#REF!,COLUMN(#REF!),FALSE)+VLOOKUP(Opv.kohd.[[#This Row],[Y-tunnus]],#REF!,COLUMN(#REF!),FALSE),0)</f>
        <v>0</v>
      </c>
      <c r="T144" s="210">
        <f>IFERROR(VLOOKUP(Opv.kohd.[[#This Row],[Y-tunnus]],#REF!,COLUMN(#REF!),FALSE)+VLOOKUP(Opv.kohd.[[#This Row],[Y-tunnus]],#REF!,COLUMN(#REF!),FALSE),0)</f>
        <v>0</v>
      </c>
      <c r="U14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44" s="210">
        <f>Opv.kohd.[[#This Row],[Kohdentamat-tomat 2]]+Opv.kohd.[[#This Row],[Kohdentamaton työvoima-koulutus 2]]+Opv.kohd.[[#This Row],[Maahan-muuttajien koulutus 2]]+Opv.kohd.[[#This Row],[Lisätalousarvioiden perusteella jaetut 2]]</f>
        <v>0</v>
      </c>
      <c r="W144" s="210">
        <f>Opv.kohd.[[#This Row],[Kohdentamat-tomat 2]]-(Opv.kohd.[[#This Row],[Järjestämisluvan mukaiset 1]]+Opv.kohd.[[#This Row],[Kohdentamat-tomat 1]]+Opv.kohd.[[#This Row],[Nuorisotyöt. väh. ja osaamistarp. vast., muu kuin työvoima-koulutus 1]]+Opv.kohd.[[#This Row],[Talousarvion perusteella kohdentamattomat]])</f>
        <v>0</v>
      </c>
      <c r="X144" s="210">
        <f>Opv.kohd.[[#This Row],[Kohdentamaton työvoima-koulutus 2]]-(Opv.kohd.[[#This Row],[Työvoima-koulutus 1]]+Opv.kohd.[[#This Row],[Nuorisotyöt. väh. ja osaamistarp. vast., työvoima-koulutus 1]]+Opv.kohd.[[#This Row],[Talousarvion perusteella työvoimakoulutus 1]])</f>
        <v>0</v>
      </c>
      <c r="Y144" s="210">
        <f>Opv.kohd.[[#This Row],[Maahan-muuttajien koulutus 2]]-Opv.kohd.[[#This Row],[Maahan-muuttajien koulutus 1]]</f>
        <v>0</v>
      </c>
      <c r="Z144" s="210">
        <f>Opv.kohd.[[#This Row],[Lisätalousarvioiden perusteella jaetut 2]]-Opv.kohd.[[#This Row],[Lisätalousarvioiden perusteella]]</f>
        <v>0</v>
      </c>
      <c r="AA144" s="210">
        <f>Opv.kohd.[[#This Row],[Toteutuneet opiskelijavuodet yhteensä 2]]-Opv.kohd.[[#This Row],[Vuoden 2018 tavoitteelliset opiskelijavuodet yhteensä 1]]</f>
        <v>0</v>
      </c>
      <c r="AB144" s="207">
        <f>IFERROR(VLOOKUP(Opv.kohd.[[#This Row],[Y-tunnus]],#REF!,3,FALSE),0)</f>
        <v>0</v>
      </c>
      <c r="AC144" s="207">
        <f>IFERROR(VLOOKUP(Opv.kohd.[[#This Row],[Y-tunnus]],#REF!,4,FALSE),0)</f>
        <v>0</v>
      </c>
      <c r="AD144" s="207">
        <f>IFERROR(VLOOKUP(Opv.kohd.[[#This Row],[Y-tunnus]],#REF!,5,FALSE),0)</f>
        <v>0</v>
      </c>
      <c r="AE144" s="207">
        <f>IFERROR(VLOOKUP(Opv.kohd.[[#This Row],[Y-tunnus]],#REF!,6,FALSE),0)</f>
        <v>0</v>
      </c>
      <c r="AF144" s="207">
        <f>IFERROR(VLOOKUP(Opv.kohd.[[#This Row],[Y-tunnus]],#REF!,7,FALSE),0)</f>
        <v>0</v>
      </c>
      <c r="AG144" s="207">
        <f>IFERROR(VLOOKUP(Opv.kohd.[[#This Row],[Y-tunnus]],#REF!,8,FALSE),0)</f>
        <v>0</v>
      </c>
      <c r="AH144" s="207">
        <f>IFERROR(VLOOKUP(Opv.kohd.[[#This Row],[Y-tunnus]],#REF!,9,FALSE),0)</f>
        <v>0</v>
      </c>
      <c r="AI144" s="207">
        <f>IFERROR(VLOOKUP(Opv.kohd.[[#This Row],[Y-tunnus]],#REF!,10,FALSE),0)</f>
        <v>0</v>
      </c>
      <c r="AJ144" s="204">
        <f>Opv.kohd.[[#This Row],[Järjestämisluvan mukaiset 4]]-Opv.kohd.[[#This Row],[Järjestämisluvan mukaiset 1]]</f>
        <v>0</v>
      </c>
      <c r="AK144" s="204">
        <f>Opv.kohd.[[#This Row],[Kohdentamat-tomat 4]]-Opv.kohd.[[#This Row],[Kohdentamat-tomat 1]]</f>
        <v>0</v>
      </c>
      <c r="AL144" s="204">
        <f>Opv.kohd.[[#This Row],[Työvoima-koulutus 4]]-Opv.kohd.[[#This Row],[Työvoima-koulutus 1]]</f>
        <v>0</v>
      </c>
      <c r="AM144" s="204">
        <f>Opv.kohd.[[#This Row],[Maahan-muuttajien koulutus 4]]-Opv.kohd.[[#This Row],[Maahan-muuttajien koulutus 1]]</f>
        <v>0</v>
      </c>
      <c r="AN144" s="204">
        <f>Opv.kohd.[[#This Row],[Nuorisotyöt. väh. ja osaamistarp. vast., muu kuin työvoima-koulutus 4]]-Opv.kohd.[[#This Row],[Nuorisotyöt. väh. ja osaamistarp. vast., muu kuin työvoima-koulutus 1]]</f>
        <v>0</v>
      </c>
      <c r="AO144" s="204">
        <f>Opv.kohd.[[#This Row],[Nuorisotyöt. väh. ja osaamistarp. vast., työvoima-koulutus 4]]-Opv.kohd.[[#This Row],[Nuorisotyöt. väh. ja osaamistarp. vast., työvoima-koulutus 1]]</f>
        <v>0</v>
      </c>
      <c r="AP144" s="204">
        <f>Opv.kohd.[[#This Row],[Yhteensä 4]]-Opv.kohd.[[#This Row],[Yhteensä  1]]</f>
        <v>0</v>
      </c>
      <c r="AQ144" s="204">
        <f>Opv.kohd.[[#This Row],[Ensikertaisella suoritepäätöksellä jaetut tavoitteelliset opiskelijavuodet yhteensä 4]]-Opv.kohd.[[#This Row],[Ensikertaisella suoritepäätöksellä jaetut tavoitteelliset opiskelijavuodet yhteensä 1]]</f>
        <v>0</v>
      </c>
      <c r="AR144" s="208">
        <f>IFERROR(Opv.kohd.[[#This Row],[Järjestämisluvan mukaiset 5]]/Opv.kohd.[[#This Row],[Järjestämisluvan mukaiset 4]],0)</f>
        <v>0</v>
      </c>
      <c r="AS144" s="208">
        <f>IFERROR(Opv.kohd.[[#This Row],[Kohdentamat-tomat 5]]/Opv.kohd.[[#This Row],[Kohdentamat-tomat 4]],0)</f>
        <v>0</v>
      </c>
      <c r="AT144" s="208">
        <f>IFERROR(Opv.kohd.[[#This Row],[Työvoima-koulutus 5]]/Opv.kohd.[[#This Row],[Työvoima-koulutus 4]],0)</f>
        <v>0</v>
      </c>
      <c r="AU144" s="208">
        <f>IFERROR(Opv.kohd.[[#This Row],[Maahan-muuttajien koulutus 5]]/Opv.kohd.[[#This Row],[Maahan-muuttajien koulutus 4]],0)</f>
        <v>0</v>
      </c>
      <c r="AV144" s="208">
        <f>IFERROR(Opv.kohd.[[#This Row],[Nuorisotyöt. väh. ja osaamistarp. vast., muu kuin työvoima-koulutus 5]]/Opv.kohd.[[#This Row],[Nuorisotyöt. väh. ja osaamistarp. vast., muu kuin työvoima-koulutus 4]],0)</f>
        <v>0</v>
      </c>
      <c r="AW144" s="208">
        <f>IFERROR(Opv.kohd.[[#This Row],[Nuorisotyöt. väh. ja osaamistarp. vast., työvoima-koulutus 5]]/Opv.kohd.[[#This Row],[Nuorisotyöt. väh. ja osaamistarp. vast., työvoima-koulutus 4]],0)</f>
        <v>0</v>
      </c>
      <c r="AX144" s="208">
        <f>IFERROR(Opv.kohd.[[#This Row],[Yhteensä 5]]/Opv.kohd.[[#This Row],[Yhteensä 4]],0)</f>
        <v>0</v>
      </c>
      <c r="AY144" s="208">
        <f>IFERROR(Opv.kohd.[[#This Row],[Ensikertaisella suoritepäätöksellä jaetut tavoitteelliset opiskelijavuodet yhteensä 5]]/Opv.kohd.[[#This Row],[Ensikertaisella suoritepäätöksellä jaetut tavoitteelliset opiskelijavuodet yhteensä 4]],0)</f>
        <v>0</v>
      </c>
      <c r="AZ144" s="207">
        <f>Opv.kohd.[[#This Row],[Yhteensä 7a]]-Opv.kohd.[[#This Row],[Työvoima-koulutus 7a]]</f>
        <v>0</v>
      </c>
      <c r="BA144" s="207">
        <f>IFERROR(VLOOKUP(Opv.kohd.[[#This Row],[Y-tunnus]],#REF!,COLUMN(#REF!),FALSE),0)</f>
        <v>0</v>
      </c>
      <c r="BB144" s="207">
        <f>IFERROR(VLOOKUP(Opv.kohd.[[#This Row],[Y-tunnus]],#REF!,COLUMN(#REF!),FALSE),0)</f>
        <v>0</v>
      </c>
      <c r="BC144" s="207">
        <f>Opv.kohd.[[#This Row],[Muu kuin työvoima-koulutus 7c]]-Opv.kohd.[[#This Row],[Muu kuin työvoima-koulutus 7a]]</f>
        <v>0</v>
      </c>
      <c r="BD144" s="207">
        <f>Opv.kohd.[[#This Row],[Työvoima-koulutus 7c]]-Opv.kohd.[[#This Row],[Työvoima-koulutus 7a]]</f>
        <v>0</v>
      </c>
      <c r="BE144" s="207">
        <f>Opv.kohd.[[#This Row],[Yhteensä 7c]]-Opv.kohd.[[#This Row],[Yhteensä 7a]]</f>
        <v>0</v>
      </c>
      <c r="BF144" s="207">
        <f>Opv.kohd.[[#This Row],[Yhteensä 7c]]-Opv.kohd.[[#This Row],[Työvoima-koulutus 7c]]</f>
        <v>0</v>
      </c>
      <c r="BG144" s="207">
        <f>IFERROR(VLOOKUP(Opv.kohd.[[#This Row],[Y-tunnus]],#REF!,COLUMN(#REF!),FALSE),0)</f>
        <v>0</v>
      </c>
      <c r="BH144" s="207">
        <f>IFERROR(VLOOKUP(Opv.kohd.[[#This Row],[Y-tunnus]],#REF!,COLUMN(#REF!),FALSE),0)</f>
        <v>0</v>
      </c>
      <c r="BI144" s="207">
        <f>IFERROR(VLOOKUP(Opv.kohd.[[#This Row],[Y-tunnus]],#REF!,COLUMN(#REF!),FALSE),0)</f>
        <v>0</v>
      </c>
      <c r="BJ144" s="207">
        <f>IFERROR(VLOOKUP(Opv.kohd.[[#This Row],[Y-tunnus]],#REF!,COLUMN(#REF!),FALSE),0)</f>
        <v>0</v>
      </c>
      <c r="BK144" s="207">
        <f>Opv.kohd.[[#This Row],[Muu kuin työvoima-koulutus 7d]]+Opv.kohd.[[#This Row],[Työvoima-koulutus 7d]]</f>
        <v>0</v>
      </c>
      <c r="BL144" s="207">
        <f>Opv.kohd.[[#This Row],[Muu kuin työvoima-koulutus 7c]]-Opv.kohd.[[#This Row],[Muu kuin työvoima-koulutus 7d]]</f>
        <v>0</v>
      </c>
      <c r="BM144" s="207">
        <f>Opv.kohd.[[#This Row],[Työvoima-koulutus 7c]]-Opv.kohd.[[#This Row],[Työvoima-koulutus 7d]]</f>
        <v>0</v>
      </c>
      <c r="BN144" s="207">
        <f>Opv.kohd.[[#This Row],[Yhteensä 7c]]-Opv.kohd.[[#This Row],[Yhteensä 7d]]</f>
        <v>0</v>
      </c>
      <c r="BO144" s="207">
        <f>Opv.kohd.[[#This Row],[Muu kuin työvoima-koulutus 7e]]-(Opv.kohd.[[#This Row],[Järjestämisluvan mukaiset 4]]+Opv.kohd.[[#This Row],[Kohdentamat-tomat 4]]+Opv.kohd.[[#This Row],[Maahan-muuttajien koulutus 4]]+Opv.kohd.[[#This Row],[Nuorisotyöt. väh. ja osaamistarp. vast., muu kuin työvoima-koulutus 4]])</f>
        <v>0</v>
      </c>
      <c r="BP144" s="207">
        <f>Opv.kohd.[[#This Row],[Työvoima-koulutus 7e]]-(Opv.kohd.[[#This Row],[Työvoima-koulutus 4]]+Opv.kohd.[[#This Row],[Nuorisotyöt. väh. ja osaamistarp. vast., työvoima-koulutus 4]])</f>
        <v>0</v>
      </c>
      <c r="BQ144" s="207">
        <f>Opv.kohd.[[#This Row],[Yhteensä 7e]]-Opv.kohd.[[#This Row],[Ensikertaisella suoritepäätöksellä jaetut tavoitteelliset opiskelijavuodet yhteensä 4]]</f>
        <v>0</v>
      </c>
      <c r="BR144" s="263">
        <v>0</v>
      </c>
      <c r="BS144" s="263">
        <v>0</v>
      </c>
      <c r="BT144" s="263">
        <v>44</v>
      </c>
      <c r="BU144" s="263">
        <v>0</v>
      </c>
      <c r="BV144" s="263">
        <v>0</v>
      </c>
      <c r="BW144" s="263">
        <v>0</v>
      </c>
      <c r="BX144" s="263">
        <v>44</v>
      </c>
      <c r="BY144" s="263">
        <v>44</v>
      </c>
      <c r="BZ144" s="207">
        <f t="shared" si="32"/>
        <v>0</v>
      </c>
      <c r="CA144" s="207">
        <f t="shared" si="33"/>
        <v>0</v>
      </c>
      <c r="CB144" s="207">
        <f t="shared" si="34"/>
        <v>44</v>
      </c>
      <c r="CC144" s="207">
        <f t="shared" si="35"/>
        <v>0</v>
      </c>
      <c r="CD144" s="207">
        <f t="shared" si="36"/>
        <v>0</v>
      </c>
      <c r="CE144" s="207">
        <f t="shared" si="37"/>
        <v>0</v>
      </c>
      <c r="CF144" s="207">
        <f t="shared" si="38"/>
        <v>44</v>
      </c>
      <c r="CG144" s="207">
        <f t="shared" si="39"/>
        <v>44</v>
      </c>
      <c r="CH144" s="207">
        <f>Opv.kohd.[[#This Row],[Tavoitteelliset opiskelijavuodet yhteensä 9]]-Opv.kohd.[[#This Row],[Työvoima-koulutus 9]]-Opv.kohd.[[#This Row],[Nuorisotyöt. väh. ja osaamistarp. vast., työvoima-koulutus 9]]-Opv.kohd.[[#This Row],[Muu kuin työvoima-koulutus 7e]]</f>
        <v>0</v>
      </c>
      <c r="CI144" s="207">
        <f>(Opv.kohd.[[#This Row],[Työvoima-koulutus 9]]+Opv.kohd.[[#This Row],[Nuorisotyöt. väh. ja osaamistarp. vast., työvoima-koulutus 9]])-Opv.kohd.[[#This Row],[Työvoima-koulutus 7e]]</f>
        <v>44</v>
      </c>
      <c r="CJ144" s="207">
        <f>Opv.kohd.[[#This Row],[Tavoitteelliset opiskelijavuodet yhteensä 9]]-Opv.kohd.[[#This Row],[Yhteensä 7e]]</f>
        <v>44</v>
      </c>
      <c r="CK144" s="207">
        <f>Opv.kohd.[[#This Row],[Järjestämisluvan mukaiset 4]]+Opv.kohd.[[#This Row],[Järjestämisluvan mukaiset 13]]</f>
        <v>0</v>
      </c>
      <c r="CL144" s="207">
        <f>Opv.kohd.[[#This Row],[Kohdentamat-tomat 4]]+Opv.kohd.[[#This Row],[Kohdentamat-tomat 13]]</f>
        <v>0</v>
      </c>
      <c r="CM144" s="207">
        <f>Opv.kohd.[[#This Row],[Työvoima-koulutus 4]]+Opv.kohd.[[#This Row],[Työvoima-koulutus 13]]</f>
        <v>0</v>
      </c>
      <c r="CN144" s="207">
        <f>Opv.kohd.[[#This Row],[Maahan-muuttajien koulutus 4]]+Opv.kohd.[[#This Row],[Maahan-muuttajien koulutus 13]]</f>
        <v>0</v>
      </c>
      <c r="CO144" s="207">
        <f>Opv.kohd.[[#This Row],[Nuorisotyöt. väh. ja osaamistarp. vast., muu kuin työvoima-koulutus 4]]+Opv.kohd.[[#This Row],[Nuorisotyöt. väh. ja osaamistarp. vast., muu kuin työvoima-koulutus 13]]</f>
        <v>0</v>
      </c>
      <c r="CP144" s="207">
        <f>Opv.kohd.[[#This Row],[Nuorisotyöt. väh. ja osaamistarp. vast., työvoima-koulutus 4]]+Opv.kohd.[[#This Row],[Nuorisotyöt. väh. ja osaamistarp. vast., työvoima-koulutus 13]]</f>
        <v>0</v>
      </c>
      <c r="CQ144" s="207">
        <f>Opv.kohd.[[#This Row],[Yhteensä 4]]+Opv.kohd.[[#This Row],[Yhteensä 13]]</f>
        <v>0</v>
      </c>
      <c r="CR144" s="207">
        <f>Opv.kohd.[[#This Row],[Ensikertaisella suoritepäätöksellä jaetut tavoitteelliset opiskelijavuodet yhteensä 4]]+Opv.kohd.[[#This Row],[Tavoitteelliset opiskelijavuodet yhteensä 13]]</f>
        <v>0</v>
      </c>
      <c r="CS144" s="120">
        <v>0</v>
      </c>
      <c r="CT144" s="120">
        <v>0</v>
      </c>
      <c r="CU144" s="120">
        <v>0</v>
      </c>
      <c r="CV144" s="120">
        <v>0</v>
      </c>
      <c r="CW144" s="120">
        <v>0</v>
      </c>
      <c r="CX144" s="120">
        <v>0</v>
      </c>
      <c r="CY144" s="120">
        <v>0</v>
      </c>
      <c r="CZ144" s="120">
        <v>0</v>
      </c>
      <c r="DA144" s="209">
        <f>IFERROR(Opv.kohd.[[#This Row],[Järjestämisluvan mukaiset 13]]/Opv.kohd.[[#This Row],[Järjestämisluvan mukaiset 12]],0)</f>
        <v>0</v>
      </c>
      <c r="DB144" s="209">
        <f>IFERROR(Opv.kohd.[[#This Row],[Kohdentamat-tomat 13]]/Opv.kohd.[[#This Row],[Kohdentamat-tomat 12]],0)</f>
        <v>0</v>
      </c>
      <c r="DC144" s="209">
        <f>IFERROR(Opv.kohd.[[#This Row],[Työvoima-koulutus 13]]/Opv.kohd.[[#This Row],[Työvoima-koulutus 12]],0)</f>
        <v>0</v>
      </c>
      <c r="DD144" s="209">
        <f>IFERROR(Opv.kohd.[[#This Row],[Maahan-muuttajien koulutus 13]]/Opv.kohd.[[#This Row],[Maahan-muuttajien koulutus 12]],0)</f>
        <v>0</v>
      </c>
      <c r="DE144" s="209">
        <f>IFERROR(Opv.kohd.[[#This Row],[Nuorisotyöt. väh. ja osaamistarp. vast., muu kuin työvoima-koulutus 13]]/Opv.kohd.[[#This Row],[Nuorisotyöt. väh. ja osaamistarp. vast., muu kuin työvoima-koulutus 12]],0)</f>
        <v>0</v>
      </c>
      <c r="DF144" s="209">
        <f>IFERROR(Opv.kohd.[[#This Row],[Nuorisotyöt. väh. ja osaamistarp. vast., työvoima-koulutus 13]]/Opv.kohd.[[#This Row],[Nuorisotyöt. väh. ja osaamistarp. vast., työvoima-koulutus 12]],0)</f>
        <v>0</v>
      </c>
      <c r="DG144" s="209">
        <f>IFERROR(Opv.kohd.[[#This Row],[Yhteensä 13]]/Opv.kohd.[[#This Row],[Yhteensä 12]],0)</f>
        <v>0</v>
      </c>
      <c r="DH144" s="209">
        <f>IFERROR(Opv.kohd.[[#This Row],[Tavoitteelliset opiskelijavuodet yhteensä 13]]/Opv.kohd.[[#This Row],[Tavoitteelliset opiskelijavuodet yhteensä 12]],0)</f>
        <v>0</v>
      </c>
      <c r="DI144" s="207">
        <f>Opv.kohd.[[#This Row],[Järjestämisluvan mukaiset 12]]-Opv.kohd.[[#This Row],[Järjestämisluvan mukaiset 9]]</f>
        <v>0</v>
      </c>
      <c r="DJ144" s="207">
        <f>Opv.kohd.[[#This Row],[Kohdentamat-tomat 12]]-Opv.kohd.[[#This Row],[Kohdentamat-tomat 9]]</f>
        <v>0</v>
      </c>
      <c r="DK144" s="207">
        <f>Opv.kohd.[[#This Row],[Työvoima-koulutus 12]]-Opv.kohd.[[#This Row],[Työvoima-koulutus 9]]</f>
        <v>-44</v>
      </c>
      <c r="DL144" s="207">
        <f>Opv.kohd.[[#This Row],[Maahan-muuttajien koulutus 12]]-Opv.kohd.[[#This Row],[Maahan-muuttajien koulutus 9]]</f>
        <v>0</v>
      </c>
      <c r="DM144" s="207">
        <f>Opv.kohd.[[#This Row],[Nuorisotyöt. väh. ja osaamistarp. vast., muu kuin työvoima-koulutus 12]]-Opv.kohd.[[#This Row],[Nuorisotyöt. väh. ja osaamistarp. vast., muu kuin työvoima-koulutus 9]]</f>
        <v>0</v>
      </c>
      <c r="DN144" s="207">
        <f>Opv.kohd.[[#This Row],[Nuorisotyöt. väh. ja osaamistarp. vast., työvoima-koulutus 12]]-Opv.kohd.[[#This Row],[Nuorisotyöt. väh. ja osaamistarp. vast., työvoima-koulutus 9]]</f>
        <v>0</v>
      </c>
      <c r="DO144" s="207">
        <f>Opv.kohd.[[#This Row],[Yhteensä 12]]-Opv.kohd.[[#This Row],[Yhteensä 9]]</f>
        <v>-44</v>
      </c>
      <c r="DP144" s="207">
        <f>Opv.kohd.[[#This Row],[Tavoitteelliset opiskelijavuodet yhteensä 12]]-Opv.kohd.[[#This Row],[Tavoitteelliset opiskelijavuodet yhteensä 9]]</f>
        <v>-44</v>
      </c>
      <c r="DQ144" s="209">
        <f>IFERROR(Opv.kohd.[[#This Row],[Järjestämisluvan mukaiset 15]]/Opv.kohd.[[#This Row],[Järjestämisluvan mukaiset 9]],0)</f>
        <v>0</v>
      </c>
      <c r="DR144" s="209">
        <f t="shared" si="40"/>
        <v>0</v>
      </c>
      <c r="DS144" s="209">
        <f t="shared" si="41"/>
        <v>0</v>
      </c>
      <c r="DT144" s="209">
        <f t="shared" si="42"/>
        <v>0</v>
      </c>
      <c r="DU144" s="209">
        <f t="shared" si="43"/>
        <v>0</v>
      </c>
      <c r="DV144" s="209">
        <f t="shared" si="44"/>
        <v>0</v>
      </c>
      <c r="DW144" s="209">
        <f t="shared" si="45"/>
        <v>0</v>
      </c>
      <c r="DX144" s="209">
        <f t="shared" si="46"/>
        <v>0</v>
      </c>
    </row>
    <row r="145" spans="1:128" x14ac:dyDescent="0.25">
      <c r="A145" s="204" t="e">
        <f>IF(INDEX(#REF!,ROW(145:145)-1,1)=0,"",INDEX(#REF!,ROW(145:145)-1,1))</f>
        <v>#REF!</v>
      </c>
      <c r="B145" s="205" t="str">
        <f>IFERROR(VLOOKUP(Opv.kohd.[[#This Row],[Y-tunnus]],'0 Järjestäjätiedot'!$A:$H,2,FALSE),"")</f>
        <v/>
      </c>
      <c r="C145" s="204" t="str">
        <f>IFERROR(VLOOKUP(Opv.kohd.[[#This Row],[Y-tunnus]],'0 Järjestäjätiedot'!$A:$H,COLUMN('0 Järjestäjätiedot'!D:D),FALSE),"")</f>
        <v/>
      </c>
      <c r="D145" s="204" t="str">
        <f>IFERROR(VLOOKUP(Opv.kohd.[[#This Row],[Y-tunnus]],'0 Järjestäjätiedot'!$A:$H,COLUMN('0 Järjestäjätiedot'!H:H),FALSE),"")</f>
        <v/>
      </c>
      <c r="E145" s="204">
        <f>IFERROR(VLOOKUP(Opv.kohd.[[#This Row],[Y-tunnus]],#REF!,COLUMN(#REF!),FALSE),0)</f>
        <v>0</v>
      </c>
      <c r="F145" s="204">
        <f>IFERROR(VLOOKUP(Opv.kohd.[[#This Row],[Y-tunnus]],#REF!,COLUMN(#REF!),FALSE),0)</f>
        <v>0</v>
      </c>
      <c r="G145" s="204">
        <f>IFERROR(VLOOKUP(Opv.kohd.[[#This Row],[Y-tunnus]],#REF!,COLUMN(#REF!),FALSE),0)</f>
        <v>0</v>
      </c>
      <c r="H145" s="204">
        <f>IFERROR(VLOOKUP(Opv.kohd.[[#This Row],[Y-tunnus]],#REF!,COLUMN(#REF!),FALSE),0)</f>
        <v>0</v>
      </c>
      <c r="I145" s="204">
        <f>IFERROR(VLOOKUP(Opv.kohd.[[#This Row],[Y-tunnus]],#REF!,COLUMN(#REF!),FALSE),0)</f>
        <v>0</v>
      </c>
      <c r="J145" s="204">
        <f>IFERROR(VLOOKUP(Opv.kohd.[[#This Row],[Y-tunnus]],#REF!,COLUMN(#REF!),FALSE),0)</f>
        <v>0</v>
      </c>
      <c r="K14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45" s="204">
        <f>Opv.kohd.[[#This Row],[Järjestämisluvan mukaiset 1]]+Opv.kohd.[[#This Row],[Yhteensä  1]]</f>
        <v>0</v>
      </c>
      <c r="M145" s="204">
        <f>IFERROR(VLOOKUP(Opv.kohd.[[#This Row],[Y-tunnus]],#REF!,COLUMN(#REF!),FALSE),0)</f>
        <v>0</v>
      </c>
      <c r="N145" s="204">
        <f>IFERROR(VLOOKUP(Opv.kohd.[[#This Row],[Y-tunnus]],#REF!,COLUMN(#REF!),FALSE),0)</f>
        <v>0</v>
      </c>
      <c r="O145" s="204">
        <f>IFERROR(VLOOKUP(Opv.kohd.[[#This Row],[Y-tunnus]],#REF!,COLUMN(#REF!),FALSE)+VLOOKUP(Opv.kohd.[[#This Row],[Y-tunnus]],#REF!,COLUMN(#REF!),FALSE),0)</f>
        <v>0</v>
      </c>
      <c r="P145" s="204">
        <f>Opv.kohd.[[#This Row],[Talousarvion perusteella kohdentamattomat]]+Opv.kohd.[[#This Row],[Talousarvion perusteella työvoimakoulutus 1]]+Opv.kohd.[[#This Row],[Lisätalousarvioiden perusteella]]</f>
        <v>0</v>
      </c>
      <c r="Q145" s="204">
        <f>IFERROR(VLOOKUP(Opv.kohd.[[#This Row],[Y-tunnus]],#REF!,COLUMN(#REF!),FALSE),0)</f>
        <v>0</v>
      </c>
      <c r="R145" s="210">
        <f>IFERROR(VLOOKUP(Opv.kohd.[[#This Row],[Y-tunnus]],#REF!,COLUMN(#REF!),FALSE)-(Opv.kohd.[[#This Row],[Kohdentamaton työvoima-koulutus 2]]+Opv.kohd.[[#This Row],[Maahan-muuttajien koulutus 2]]+Opv.kohd.[[#This Row],[Lisätalousarvioiden perusteella jaetut 2]]),0)</f>
        <v>0</v>
      </c>
      <c r="S145" s="210">
        <f>IFERROR(VLOOKUP(Opv.kohd.[[#This Row],[Y-tunnus]],#REF!,COLUMN(#REF!),FALSE)+VLOOKUP(Opv.kohd.[[#This Row],[Y-tunnus]],#REF!,COLUMN(#REF!),FALSE),0)</f>
        <v>0</v>
      </c>
      <c r="T145" s="210">
        <f>IFERROR(VLOOKUP(Opv.kohd.[[#This Row],[Y-tunnus]],#REF!,COLUMN(#REF!),FALSE)+VLOOKUP(Opv.kohd.[[#This Row],[Y-tunnus]],#REF!,COLUMN(#REF!),FALSE),0)</f>
        <v>0</v>
      </c>
      <c r="U14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45" s="210">
        <f>Opv.kohd.[[#This Row],[Kohdentamat-tomat 2]]+Opv.kohd.[[#This Row],[Kohdentamaton työvoima-koulutus 2]]+Opv.kohd.[[#This Row],[Maahan-muuttajien koulutus 2]]+Opv.kohd.[[#This Row],[Lisätalousarvioiden perusteella jaetut 2]]</f>
        <v>0</v>
      </c>
      <c r="W145" s="210">
        <f>Opv.kohd.[[#This Row],[Kohdentamat-tomat 2]]-(Opv.kohd.[[#This Row],[Järjestämisluvan mukaiset 1]]+Opv.kohd.[[#This Row],[Kohdentamat-tomat 1]]+Opv.kohd.[[#This Row],[Nuorisotyöt. väh. ja osaamistarp. vast., muu kuin työvoima-koulutus 1]]+Opv.kohd.[[#This Row],[Talousarvion perusteella kohdentamattomat]])</f>
        <v>0</v>
      </c>
      <c r="X145" s="210">
        <f>Opv.kohd.[[#This Row],[Kohdentamaton työvoima-koulutus 2]]-(Opv.kohd.[[#This Row],[Työvoima-koulutus 1]]+Opv.kohd.[[#This Row],[Nuorisotyöt. väh. ja osaamistarp. vast., työvoima-koulutus 1]]+Opv.kohd.[[#This Row],[Talousarvion perusteella työvoimakoulutus 1]])</f>
        <v>0</v>
      </c>
      <c r="Y145" s="210">
        <f>Opv.kohd.[[#This Row],[Maahan-muuttajien koulutus 2]]-Opv.kohd.[[#This Row],[Maahan-muuttajien koulutus 1]]</f>
        <v>0</v>
      </c>
      <c r="Z145" s="210">
        <f>Opv.kohd.[[#This Row],[Lisätalousarvioiden perusteella jaetut 2]]-Opv.kohd.[[#This Row],[Lisätalousarvioiden perusteella]]</f>
        <v>0</v>
      </c>
      <c r="AA145" s="210">
        <f>Opv.kohd.[[#This Row],[Toteutuneet opiskelijavuodet yhteensä 2]]-Opv.kohd.[[#This Row],[Vuoden 2018 tavoitteelliset opiskelijavuodet yhteensä 1]]</f>
        <v>0</v>
      </c>
      <c r="AB145" s="207">
        <f>IFERROR(VLOOKUP(Opv.kohd.[[#This Row],[Y-tunnus]],#REF!,3,FALSE),0)</f>
        <v>0</v>
      </c>
      <c r="AC145" s="207">
        <f>IFERROR(VLOOKUP(Opv.kohd.[[#This Row],[Y-tunnus]],#REF!,4,FALSE),0)</f>
        <v>0</v>
      </c>
      <c r="AD145" s="207">
        <f>IFERROR(VLOOKUP(Opv.kohd.[[#This Row],[Y-tunnus]],#REF!,5,FALSE),0)</f>
        <v>0</v>
      </c>
      <c r="AE145" s="207">
        <f>IFERROR(VLOOKUP(Opv.kohd.[[#This Row],[Y-tunnus]],#REF!,6,FALSE),0)</f>
        <v>0</v>
      </c>
      <c r="AF145" s="207">
        <f>IFERROR(VLOOKUP(Opv.kohd.[[#This Row],[Y-tunnus]],#REF!,7,FALSE),0)</f>
        <v>0</v>
      </c>
      <c r="AG145" s="207">
        <f>IFERROR(VLOOKUP(Opv.kohd.[[#This Row],[Y-tunnus]],#REF!,8,FALSE),0)</f>
        <v>0</v>
      </c>
      <c r="AH145" s="207">
        <f>IFERROR(VLOOKUP(Opv.kohd.[[#This Row],[Y-tunnus]],#REF!,9,FALSE),0)</f>
        <v>0</v>
      </c>
      <c r="AI145" s="207">
        <f>IFERROR(VLOOKUP(Opv.kohd.[[#This Row],[Y-tunnus]],#REF!,10,FALSE),0)</f>
        <v>0</v>
      </c>
      <c r="AJ145" s="204">
        <f>Opv.kohd.[[#This Row],[Järjestämisluvan mukaiset 4]]-Opv.kohd.[[#This Row],[Järjestämisluvan mukaiset 1]]</f>
        <v>0</v>
      </c>
      <c r="AK145" s="204">
        <f>Opv.kohd.[[#This Row],[Kohdentamat-tomat 4]]-Opv.kohd.[[#This Row],[Kohdentamat-tomat 1]]</f>
        <v>0</v>
      </c>
      <c r="AL145" s="204">
        <f>Opv.kohd.[[#This Row],[Työvoima-koulutus 4]]-Opv.kohd.[[#This Row],[Työvoima-koulutus 1]]</f>
        <v>0</v>
      </c>
      <c r="AM145" s="204">
        <f>Opv.kohd.[[#This Row],[Maahan-muuttajien koulutus 4]]-Opv.kohd.[[#This Row],[Maahan-muuttajien koulutus 1]]</f>
        <v>0</v>
      </c>
      <c r="AN145" s="204">
        <f>Opv.kohd.[[#This Row],[Nuorisotyöt. väh. ja osaamistarp. vast., muu kuin työvoima-koulutus 4]]-Opv.kohd.[[#This Row],[Nuorisotyöt. väh. ja osaamistarp. vast., muu kuin työvoima-koulutus 1]]</f>
        <v>0</v>
      </c>
      <c r="AO145" s="204">
        <f>Opv.kohd.[[#This Row],[Nuorisotyöt. väh. ja osaamistarp. vast., työvoima-koulutus 4]]-Opv.kohd.[[#This Row],[Nuorisotyöt. väh. ja osaamistarp. vast., työvoima-koulutus 1]]</f>
        <v>0</v>
      </c>
      <c r="AP145" s="204">
        <f>Opv.kohd.[[#This Row],[Yhteensä 4]]-Opv.kohd.[[#This Row],[Yhteensä  1]]</f>
        <v>0</v>
      </c>
      <c r="AQ145" s="204">
        <f>Opv.kohd.[[#This Row],[Ensikertaisella suoritepäätöksellä jaetut tavoitteelliset opiskelijavuodet yhteensä 4]]-Opv.kohd.[[#This Row],[Ensikertaisella suoritepäätöksellä jaetut tavoitteelliset opiskelijavuodet yhteensä 1]]</f>
        <v>0</v>
      </c>
      <c r="AR145" s="208">
        <f>IFERROR(Opv.kohd.[[#This Row],[Järjestämisluvan mukaiset 5]]/Opv.kohd.[[#This Row],[Järjestämisluvan mukaiset 4]],0)</f>
        <v>0</v>
      </c>
      <c r="AS145" s="208">
        <f>IFERROR(Opv.kohd.[[#This Row],[Kohdentamat-tomat 5]]/Opv.kohd.[[#This Row],[Kohdentamat-tomat 4]],0)</f>
        <v>0</v>
      </c>
      <c r="AT145" s="208">
        <f>IFERROR(Opv.kohd.[[#This Row],[Työvoima-koulutus 5]]/Opv.kohd.[[#This Row],[Työvoima-koulutus 4]],0)</f>
        <v>0</v>
      </c>
      <c r="AU145" s="208">
        <f>IFERROR(Opv.kohd.[[#This Row],[Maahan-muuttajien koulutus 5]]/Opv.kohd.[[#This Row],[Maahan-muuttajien koulutus 4]],0)</f>
        <v>0</v>
      </c>
      <c r="AV145" s="208">
        <f>IFERROR(Opv.kohd.[[#This Row],[Nuorisotyöt. väh. ja osaamistarp. vast., muu kuin työvoima-koulutus 5]]/Opv.kohd.[[#This Row],[Nuorisotyöt. väh. ja osaamistarp. vast., muu kuin työvoima-koulutus 4]],0)</f>
        <v>0</v>
      </c>
      <c r="AW145" s="208">
        <f>IFERROR(Opv.kohd.[[#This Row],[Nuorisotyöt. väh. ja osaamistarp. vast., työvoima-koulutus 5]]/Opv.kohd.[[#This Row],[Nuorisotyöt. väh. ja osaamistarp. vast., työvoima-koulutus 4]],0)</f>
        <v>0</v>
      </c>
      <c r="AX145" s="208">
        <f>IFERROR(Opv.kohd.[[#This Row],[Yhteensä 5]]/Opv.kohd.[[#This Row],[Yhteensä 4]],0)</f>
        <v>0</v>
      </c>
      <c r="AY145" s="208">
        <f>IFERROR(Opv.kohd.[[#This Row],[Ensikertaisella suoritepäätöksellä jaetut tavoitteelliset opiskelijavuodet yhteensä 5]]/Opv.kohd.[[#This Row],[Ensikertaisella suoritepäätöksellä jaetut tavoitteelliset opiskelijavuodet yhteensä 4]],0)</f>
        <v>0</v>
      </c>
      <c r="AZ145" s="207">
        <f>Opv.kohd.[[#This Row],[Yhteensä 7a]]-Opv.kohd.[[#This Row],[Työvoima-koulutus 7a]]</f>
        <v>0</v>
      </c>
      <c r="BA145" s="207">
        <f>IFERROR(VLOOKUP(Opv.kohd.[[#This Row],[Y-tunnus]],#REF!,COLUMN(#REF!),FALSE),0)</f>
        <v>0</v>
      </c>
      <c r="BB145" s="207">
        <f>IFERROR(VLOOKUP(Opv.kohd.[[#This Row],[Y-tunnus]],#REF!,COLUMN(#REF!),FALSE),0)</f>
        <v>0</v>
      </c>
      <c r="BC145" s="207">
        <f>Opv.kohd.[[#This Row],[Muu kuin työvoima-koulutus 7c]]-Opv.kohd.[[#This Row],[Muu kuin työvoima-koulutus 7a]]</f>
        <v>0</v>
      </c>
      <c r="BD145" s="207">
        <f>Opv.kohd.[[#This Row],[Työvoima-koulutus 7c]]-Opv.kohd.[[#This Row],[Työvoima-koulutus 7a]]</f>
        <v>0</v>
      </c>
      <c r="BE145" s="207">
        <f>Opv.kohd.[[#This Row],[Yhteensä 7c]]-Opv.kohd.[[#This Row],[Yhteensä 7a]]</f>
        <v>0</v>
      </c>
      <c r="BF145" s="207">
        <f>Opv.kohd.[[#This Row],[Yhteensä 7c]]-Opv.kohd.[[#This Row],[Työvoima-koulutus 7c]]</f>
        <v>0</v>
      </c>
      <c r="BG145" s="207">
        <f>IFERROR(VLOOKUP(Opv.kohd.[[#This Row],[Y-tunnus]],#REF!,COLUMN(#REF!),FALSE),0)</f>
        <v>0</v>
      </c>
      <c r="BH145" s="207">
        <f>IFERROR(VLOOKUP(Opv.kohd.[[#This Row],[Y-tunnus]],#REF!,COLUMN(#REF!),FALSE),0)</f>
        <v>0</v>
      </c>
      <c r="BI145" s="207">
        <f>IFERROR(VLOOKUP(Opv.kohd.[[#This Row],[Y-tunnus]],#REF!,COLUMN(#REF!),FALSE),0)</f>
        <v>0</v>
      </c>
      <c r="BJ145" s="207">
        <f>IFERROR(VLOOKUP(Opv.kohd.[[#This Row],[Y-tunnus]],#REF!,COLUMN(#REF!),FALSE),0)</f>
        <v>0</v>
      </c>
      <c r="BK145" s="207">
        <f>Opv.kohd.[[#This Row],[Muu kuin työvoima-koulutus 7d]]+Opv.kohd.[[#This Row],[Työvoima-koulutus 7d]]</f>
        <v>0</v>
      </c>
      <c r="BL145" s="207">
        <f>Opv.kohd.[[#This Row],[Muu kuin työvoima-koulutus 7c]]-Opv.kohd.[[#This Row],[Muu kuin työvoima-koulutus 7d]]</f>
        <v>0</v>
      </c>
      <c r="BM145" s="207">
        <f>Opv.kohd.[[#This Row],[Työvoima-koulutus 7c]]-Opv.kohd.[[#This Row],[Työvoima-koulutus 7d]]</f>
        <v>0</v>
      </c>
      <c r="BN145" s="207">
        <f>Opv.kohd.[[#This Row],[Yhteensä 7c]]-Opv.kohd.[[#This Row],[Yhteensä 7d]]</f>
        <v>0</v>
      </c>
      <c r="BO145" s="207">
        <f>Opv.kohd.[[#This Row],[Muu kuin työvoima-koulutus 7e]]-(Opv.kohd.[[#This Row],[Järjestämisluvan mukaiset 4]]+Opv.kohd.[[#This Row],[Kohdentamat-tomat 4]]+Opv.kohd.[[#This Row],[Maahan-muuttajien koulutus 4]]+Opv.kohd.[[#This Row],[Nuorisotyöt. väh. ja osaamistarp. vast., muu kuin työvoima-koulutus 4]])</f>
        <v>0</v>
      </c>
      <c r="BP145" s="207">
        <f>Opv.kohd.[[#This Row],[Työvoima-koulutus 7e]]-(Opv.kohd.[[#This Row],[Työvoima-koulutus 4]]+Opv.kohd.[[#This Row],[Nuorisotyöt. väh. ja osaamistarp. vast., työvoima-koulutus 4]])</f>
        <v>0</v>
      </c>
      <c r="BQ145" s="207">
        <f>Opv.kohd.[[#This Row],[Yhteensä 7e]]-Opv.kohd.[[#This Row],[Ensikertaisella suoritepäätöksellä jaetut tavoitteelliset opiskelijavuodet yhteensä 4]]</f>
        <v>0</v>
      </c>
      <c r="BR145" s="263">
        <v>5</v>
      </c>
      <c r="BS145" s="263">
        <v>0</v>
      </c>
      <c r="BT145" s="263">
        <v>0</v>
      </c>
      <c r="BU145" s="263">
        <v>0</v>
      </c>
      <c r="BV145" s="263">
        <v>0</v>
      </c>
      <c r="BW145" s="263">
        <v>0</v>
      </c>
      <c r="BX145" s="263">
        <v>0</v>
      </c>
      <c r="BY145" s="263">
        <v>5</v>
      </c>
      <c r="BZ145" s="207">
        <f t="shared" si="32"/>
        <v>5</v>
      </c>
      <c r="CA145" s="207">
        <f t="shared" si="33"/>
        <v>0</v>
      </c>
      <c r="CB145" s="207">
        <f t="shared" si="34"/>
        <v>0</v>
      </c>
      <c r="CC145" s="207">
        <f t="shared" si="35"/>
        <v>0</v>
      </c>
      <c r="CD145" s="207">
        <f t="shared" si="36"/>
        <v>0</v>
      </c>
      <c r="CE145" s="207">
        <f t="shared" si="37"/>
        <v>0</v>
      </c>
      <c r="CF145" s="207">
        <f t="shared" si="38"/>
        <v>0</v>
      </c>
      <c r="CG145" s="207">
        <f t="shared" si="39"/>
        <v>5</v>
      </c>
      <c r="CH145" s="207">
        <f>Opv.kohd.[[#This Row],[Tavoitteelliset opiskelijavuodet yhteensä 9]]-Opv.kohd.[[#This Row],[Työvoima-koulutus 9]]-Opv.kohd.[[#This Row],[Nuorisotyöt. väh. ja osaamistarp. vast., työvoima-koulutus 9]]-Opv.kohd.[[#This Row],[Muu kuin työvoima-koulutus 7e]]</f>
        <v>5</v>
      </c>
      <c r="CI145" s="207">
        <f>(Opv.kohd.[[#This Row],[Työvoima-koulutus 9]]+Opv.kohd.[[#This Row],[Nuorisotyöt. väh. ja osaamistarp. vast., työvoima-koulutus 9]])-Opv.kohd.[[#This Row],[Työvoima-koulutus 7e]]</f>
        <v>0</v>
      </c>
      <c r="CJ145" s="207">
        <f>Opv.kohd.[[#This Row],[Tavoitteelliset opiskelijavuodet yhteensä 9]]-Opv.kohd.[[#This Row],[Yhteensä 7e]]</f>
        <v>5</v>
      </c>
      <c r="CK145" s="207">
        <f>Opv.kohd.[[#This Row],[Järjestämisluvan mukaiset 4]]+Opv.kohd.[[#This Row],[Järjestämisluvan mukaiset 13]]</f>
        <v>0</v>
      </c>
      <c r="CL145" s="207">
        <f>Opv.kohd.[[#This Row],[Kohdentamat-tomat 4]]+Opv.kohd.[[#This Row],[Kohdentamat-tomat 13]]</f>
        <v>0</v>
      </c>
      <c r="CM145" s="207">
        <f>Opv.kohd.[[#This Row],[Työvoima-koulutus 4]]+Opv.kohd.[[#This Row],[Työvoima-koulutus 13]]</f>
        <v>0</v>
      </c>
      <c r="CN145" s="207">
        <f>Opv.kohd.[[#This Row],[Maahan-muuttajien koulutus 4]]+Opv.kohd.[[#This Row],[Maahan-muuttajien koulutus 13]]</f>
        <v>0</v>
      </c>
      <c r="CO145" s="207">
        <f>Opv.kohd.[[#This Row],[Nuorisotyöt. väh. ja osaamistarp. vast., muu kuin työvoima-koulutus 4]]+Opv.kohd.[[#This Row],[Nuorisotyöt. väh. ja osaamistarp. vast., muu kuin työvoima-koulutus 13]]</f>
        <v>0</v>
      </c>
      <c r="CP145" s="207">
        <f>Opv.kohd.[[#This Row],[Nuorisotyöt. väh. ja osaamistarp. vast., työvoima-koulutus 4]]+Opv.kohd.[[#This Row],[Nuorisotyöt. väh. ja osaamistarp. vast., työvoima-koulutus 13]]</f>
        <v>0</v>
      </c>
      <c r="CQ145" s="207">
        <f>Opv.kohd.[[#This Row],[Yhteensä 4]]+Opv.kohd.[[#This Row],[Yhteensä 13]]</f>
        <v>0</v>
      </c>
      <c r="CR145" s="207">
        <f>Opv.kohd.[[#This Row],[Ensikertaisella suoritepäätöksellä jaetut tavoitteelliset opiskelijavuodet yhteensä 4]]+Opv.kohd.[[#This Row],[Tavoitteelliset opiskelijavuodet yhteensä 13]]</f>
        <v>0</v>
      </c>
      <c r="CS145" s="120">
        <v>0</v>
      </c>
      <c r="CT145" s="120">
        <v>0</v>
      </c>
      <c r="CU145" s="120">
        <v>0</v>
      </c>
      <c r="CV145" s="120">
        <v>0</v>
      </c>
      <c r="CW145" s="120">
        <v>0</v>
      </c>
      <c r="CX145" s="120">
        <v>0</v>
      </c>
      <c r="CY145" s="120">
        <v>0</v>
      </c>
      <c r="CZ145" s="120">
        <v>0</v>
      </c>
      <c r="DA145" s="209">
        <f>IFERROR(Opv.kohd.[[#This Row],[Järjestämisluvan mukaiset 13]]/Opv.kohd.[[#This Row],[Järjestämisluvan mukaiset 12]],0)</f>
        <v>0</v>
      </c>
      <c r="DB145" s="209">
        <f>IFERROR(Opv.kohd.[[#This Row],[Kohdentamat-tomat 13]]/Opv.kohd.[[#This Row],[Kohdentamat-tomat 12]],0)</f>
        <v>0</v>
      </c>
      <c r="DC145" s="209">
        <f>IFERROR(Opv.kohd.[[#This Row],[Työvoima-koulutus 13]]/Opv.kohd.[[#This Row],[Työvoima-koulutus 12]],0)</f>
        <v>0</v>
      </c>
      <c r="DD145" s="209">
        <f>IFERROR(Opv.kohd.[[#This Row],[Maahan-muuttajien koulutus 13]]/Opv.kohd.[[#This Row],[Maahan-muuttajien koulutus 12]],0)</f>
        <v>0</v>
      </c>
      <c r="DE145" s="209">
        <f>IFERROR(Opv.kohd.[[#This Row],[Nuorisotyöt. väh. ja osaamistarp. vast., muu kuin työvoima-koulutus 13]]/Opv.kohd.[[#This Row],[Nuorisotyöt. väh. ja osaamistarp. vast., muu kuin työvoima-koulutus 12]],0)</f>
        <v>0</v>
      </c>
      <c r="DF145" s="209">
        <f>IFERROR(Opv.kohd.[[#This Row],[Nuorisotyöt. väh. ja osaamistarp. vast., työvoima-koulutus 13]]/Opv.kohd.[[#This Row],[Nuorisotyöt. väh. ja osaamistarp. vast., työvoima-koulutus 12]],0)</f>
        <v>0</v>
      </c>
      <c r="DG145" s="209">
        <f>IFERROR(Opv.kohd.[[#This Row],[Yhteensä 13]]/Opv.kohd.[[#This Row],[Yhteensä 12]],0)</f>
        <v>0</v>
      </c>
      <c r="DH145" s="209">
        <f>IFERROR(Opv.kohd.[[#This Row],[Tavoitteelliset opiskelijavuodet yhteensä 13]]/Opv.kohd.[[#This Row],[Tavoitteelliset opiskelijavuodet yhteensä 12]],0)</f>
        <v>0</v>
      </c>
      <c r="DI145" s="207">
        <f>Opv.kohd.[[#This Row],[Järjestämisluvan mukaiset 12]]-Opv.kohd.[[#This Row],[Järjestämisluvan mukaiset 9]]</f>
        <v>-5</v>
      </c>
      <c r="DJ145" s="207">
        <f>Opv.kohd.[[#This Row],[Kohdentamat-tomat 12]]-Opv.kohd.[[#This Row],[Kohdentamat-tomat 9]]</f>
        <v>0</v>
      </c>
      <c r="DK145" s="207">
        <f>Opv.kohd.[[#This Row],[Työvoima-koulutus 12]]-Opv.kohd.[[#This Row],[Työvoima-koulutus 9]]</f>
        <v>0</v>
      </c>
      <c r="DL145" s="207">
        <f>Opv.kohd.[[#This Row],[Maahan-muuttajien koulutus 12]]-Opv.kohd.[[#This Row],[Maahan-muuttajien koulutus 9]]</f>
        <v>0</v>
      </c>
      <c r="DM145" s="207">
        <f>Opv.kohd.[[#This Row],[Nuorisotyöt. väh. ja osaamistarp. vast., muu kuin työvoima-koulutus 12]]-Opv.kohd.[[#This Row],[Nuorisotyöt. väh. ja osaamistarp. vast., muu kuin työvoima-koulutus 9]]</f>
        <v>0</v>
      </c>
      <c r="DN145" s="207">
        <f>Opv.kohd.[[#This Row],[Nuorisotyöt. väh. ja osaamistarp. vast., työvoima-koulutus 12]]-Opv.kohd.[[#This Row],[Nuorisotyöt. väh. ja osaamistarp. vast., työvoima-koulutus 9]]</f>
        <v>0</v>
      </c>
      <c r="DO145" s="207">
        <f>Opv.kohd.[[#This Row],[Yhteensä 12]]-Opv.kohd.[[#This Row],[Yhteensä 9]]</f>
        <v>0</v>
      </c>
      <c r="DP145" s="207">
        <f>Opv.kohd.[[#This Row],[Tavoitteelliset opiskelijavuodet yhteensä 12]]-Opv.kohd.[[#This Row],[Tavoitteelliset opiskelijavuodet yhteensä 9]]</f>
        <v>-5</v>
      </c>
      <c r="DQ145" s="209">
        <f>IFERROR(Opv.kohd.[[#This Row],[Järjestämisluvan mukaiset 15]]/Opv.kohd.[[#This Row],[Järjestämisluvan mukaiset 9]],0)</f>
        <v>-1</v>
      </c>
      <c r="DR145" s="209">
        <f t="shared" si="40"/>
        <v>0</v>
      </c>
      <c r="DS145" s="209">
        <f t="shared" si="41"/>
        <v>0</v>
      </c>
      <c r="DT145" s="209">
        <f t="shared" si="42"/>
        <v>0</v>
      </c>
      <c r="DU145" s="209">
        <f t="shared" si="43"/>
        <v>0</v>
      </c>
      <c r="DV145" s="209">
        <f t="shared" si="44"/>
        <v>0</v>
      </c>
      <c r="DW145" s="209">
        <f t="shared" si="45"/>
        <v>0</v>
      </c>
      <c r="DX145" s="209">
        <f t="shared" si="46"/>
        <v>0</v>
      </c>
    </row>
    <row r="146" spans="1:128" x14ac:dyDescent="0.25">
      <c r="A146" s="204" t="e">
        <f>IF(INDEX(#REF!,ROW(146:146)-1,1)=0,"",INDEX(#REF!,ROW(146:146)-1,1))</f>
        <v>#REF!</v>
      </c>
      <c r="B146" s="205" t="str">
        <f>IFERROR(VLOOKUP(Opv.kohd.[[#This Row],[Y-tunnus]],'0 Järjestäjätiedot'!$A:$H,2,FALSE),"")</f>
        <v/>
      </c>
      <c r="C146" s="204" t="str">
        <f>IFERROR(VLOOKUP(Opv.kohd.[[#This Row],[Y-tunnus]],'0 Järjestäjätiedot'!$A:$H,COLUMN('0 Järjestäjätiedot'!D:D),FALSE),"")</f>
        <v/>
      </c>
      <c r="D146" s="204" t="str">
        <f>IFERROR(VLOOKUP(Opv.kohd.[[#This Row],[Y-tunnus]],'0 Järjestäjätiedot'!$A:$H,COLUMN('0 Järjestäjätiedot'!H:H),FALSE),"")</f>
        <v/>
      </c>
      <c r="E146" s="204">
        <f>IFERROR(VLOOKUP(Opv.kohd.[[#This Row],[Y-tunnus]],#REF!,COLUMN(#REF!),FALSE),0)</f>
        <v>0</v>
      </c>
      <c r="F146" s="204">
        <f>IFERROR(VLOOKUP(Opv.kohd.[[#This Row],[Y-tunnus]],#REF!,COLUMN(#REF!),FALSE),0)</f>
        <v>0</v>
      </c>
      <c r="G146" s="204">
        <f>IFERROR(VLOOKUP(Opv.kohd.[[#This Row],[Y-tunnus]],#REF!,COLUMN(#REF!),FALSE),0)</f>
        <v>0</v>
      </c>
      <c r="H146" s="204">
        <f>IFERROR(VLOOKUP(Opv.kohd.[[#This Row],[Y-tunnus]],#REF!,COLUMN(#REF!),FALSE),0)</f>
        <v>0</v>
      </c>
      <c r="I146" s="204">
        <f>IFERROR(VLOOKUP(Opv.kohd.[[#This Row],[Y-tunnus]],#REF!,COLUMN(#REF!),FALSE),0)</f>
        <v>0</v>
      </c>
      <c r="J146" s="204">
        <f>IFERROR(VLOOKUP(Opv.kohd.[[#This Row],[Y-tunnus]],#REF!,COLUMN(#REF!),FALSE),0)</f>
        <v>0</v>
      </c>
      <c r="K14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46" s="204">
        <f>Opv.kohd.[[#This Row],[Järjestämisluvan mukaiset 1]]+Opv.kohd.[[#This Row],[Yhteensä  1]]</f>
        <v>0</v>
      </c>
      <c r="M146" s="204">
        <f>IFERROR(VLOOKUP(Opv.kohd.[[#This Row],[Y-tunnus]],#REF!,COLUMN(#REF!),FALSE),0)</f>
        <v>0</v>
      </c>
      <c r="N146" s="204">
        <f>IFERROR(VLOOKUP(Opv.kohd.[[#This Row],[Y-tunnus]],#REF!,COLUMN(#REF!),FALSE),0)</f>
        <v>0</v>
      </c>
      <c r="O146" s="204">
        <f>IFERROR(VLOOKUP(Opv.kohd.[[#This Row],[Y-tunnus]],#REF!,COLUMN(#REF!),FALSE)+VLOOKUP(Opv.kohd.[[#This Row],[Y-tunnus]],#REF!,COLUMN(#REF!),FALSE),0)</f>
        <v>0</v>
      </c>
      <c r="P146" s="204">
        <f>Opv.kohd.[[#This Row],[Talousarvion perusteella kohdentamattomat]]+Opv.kohd.[[#This Row],[Talousarvion perusteella työvoimakoulutus 1]]+Opv.kohd.[[#This Row],[Lisätalousarvioiden perusteella]]</f>
        <v>0</v>
      </c>
      <c r="Q146" s="204">
        <f>IFERROR(VLOOKUP(Opv.kohd.[[#This Row],[Y-tunnus]],#REF!,COLUMN(#REF!),FALSE),0)</f>
        <v>0</v>
      </c>
      <c r="R146" s="210">
        <f>IFERROR(VLOOKUP(Opv.kohd.[[#This Row],[Y-tunnus]],#REF!,COLUMN(#REF!),FALSE)-(Opv.kohd.[[#This Row],[Kohdentamaton työvoima-koulutus 2]]+Opv.kohd.[[#This Row],[Maahan-muuttajien koulutus 2]]+Opv.kohd.[[#This Row],[Lisätalousarvioiden perusteella jaetut 2]]),0)</f>
        <v>0</v>
      </c>
      <c r="S146" s="210">
        <f>IFERROR(VLOOKUP(Opv.kohd.[[#This Row],[Y-tunnus]],#REF!,COLUMN(#REF!),FALSE)+VLOOKUP(Opv.kohd.[[#This Row],[Y-tunnus]],#REF!,COLUMN(#REF!),FALSE),0)</f>
        <v>0</v>
      </c>
      <c r="T146" s="210">
        <f>IFERROR(VLOOKUP(Opv.kohd.[[#This Row],[Y-tunnus]],#REF!,COLUMN(#REF!),FALSE)+VLOOKUP(Opv.kohd.[[#This Row],[Y-tunnus]],#REF!,COLUMN(#REF!),FALSE),0)</f>
        <v>0</v>
      </c>
      <c r="U14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46" s="210">
        <f>Opv.kohd.[[#This Row],[Kohdentamat-tomat 2]]+Opv.kohd.[[#This Row],[Kohdentamaton työvoima-koulutus 2]]+Opv.kohd.[[#This Row],[Maahan-muuttajien koulutus 2]]+Opv.kohd.[[#This Row],[Lisätalousarvioiden perusteella jaetut 2]]</f>
        <v>0</v>
      </c>
      <c r="W146" s="210">
        <f>Opv.kohd.[[#This Row],[Kohdentamat-tomat 2]]-(Opv.kohd.[[#This Row],[Järjestämisluvan mukaiset 1]]+Opv.kohd.[[#This Row],[Kohdentamat-tomat 1]]+Opv.kohd.[[#This Row],[Nuorisotyöt. väh. ja osaamistarp. vast., muu kuin työvoima-koulutus 1]]+Opv.kohd.[[#This Row],[Talousarvion perusteella kohdentamattomat]])</f>
        <v>0</v>
      </c>
      <c r="X146" s="210">
        <f>Opv.kohd.[[#This Row],[Kohdentamaton työvoima-koulutus 2]]-(Opv.kohd.[[#This Row],[Työvoima-koulutus 1]]+Opv.kohd.[[#This Row],[Nuorisotyöt. väh. ja osaamistarp. vast., työvoima-koulutus 1]]+Opv.kohd.[[#This Row],[Talousarvion perusteella työvoimakoulutus 1]])</f>
        <v>0</v>
      </c>
      <c r="Y146" s="210">
        <f>Opv.kohd.[[#This Row],[Maahan-muuttajien koulutus 2]]-Opv.kohd.[[#This Row],[Maahan-muuttajien koulutus 1]]</f>
        <v>0</v>
      </c>
      <c r="Z146" s="210">
        <f>Opv.kohd.[[#This Row],[Lisätalousarvioiden perusteella jaetut 2]]-Opv.kohd.[[#This Row],[Lisätalousarvioiden perusteella]]</f>
        <v>0</v>
      </c>
      <c r="AA146" s="210">
        <f>Opv.kohd.[[#This Row],[Toteutuneet opiskelijavuodet yhteensä 2]]-Opv.kohd.[[#This Row],[Vuoden 2018 tavoitteelliset opiskelijavuodet yhteensä 1]]</f>
        <v>0</v>
      </c>
      <c r="AB146" s="207">
        <f>IFERROR(VLOOKUP(Opv.kohd.[[#This Row],[Y-tunnus]],#REF!,3,FALSE),0)</f>
        <v>0</v>
      </c>
      <c r="AC146" s="207">
        <f>IFERROR(VLOOKUP(Opv.kohd.[[#This Row],[Y-tunnus]],#REF!,4,FALSE),0)</f>
        <v>0</v>
      </c>
      <c r="AD146" s="207">
        <f>IFERROR(VLOOKUP(Opv.kohd.[[#This Row],[Y-tunnus]],#REF!,5,FALSE),0)</f>
        <v>0</v>
      </c>
      <c r="AE146" s="207">
        <f>IFERROR(VLOOKUP(Opv.kohd.[[#This Row],[Y-tunnus]],#REF!,6,FALSE),0)</f>
        <v>0</v>
      </c>
      <c r="AF146" s="207">
        <f>IFERROR(VLOOKUP(Opv.kohd.[[#This Row],[Y-tunnus]],#REF!,7,FALSE),0)</f>
        <v>0</v>
      </c>
      <c r="AG146" s="207">
        <f>IFERROR(VLOOKUP(Opv.kohd.[[#This Row],[Y-tunnus]],#REF!,8,FALSE),0)</f>
        <v>0</v>
      </c>
      <c r="AH146" s="207">
        <f>IFERROR(VLOOKUP(Opv.kohd.[[#This Row],[Y-tunnus]],#REF!,9,FALSE),0)</f>
        <v>0</v>
      </c>
      <c r="AI146" s="207">
        <f>IFERROR(VLOOKUP(Opv.kohd.[[#This Row],[Y-tunnus]],#REF!,10,FALSE),0)</f>
        <v>0</v>
      </c>
      <c r="AJ146" s="204">
        <f>Opv.kohd.[[#This Row],[Järjestämisluvan mukaiset 4]]-Opv.kohd.[[#This Row],[Järjestämisluvan mukaiset 1]]</f>
        <v>0</v>
      </c>
      <c r="AK146" s="204">
        <f>Opv.kohd.[[#This Row],[Kohdentamat-tomat 4]]-Opv.kohd.[[#This Row],[Kohdentamat-tomat 1]]</f>
        <v>0</v>
      </c>
      <c r="AL146" s="204">
        <f>Opv.kohd.[[#This Row],[Työvoima-koulutus 4]]-Opv.kohd.[[#This Row],[Työvoima-koulutus 1]]</f>
        <v>0</v>
      </c>
      <c r="AM146" s="204">
        <f>Opv.kohd.[[#This Row],[Maahan-muuttajien koulutus 4]]-Opv.kohd.[[#This Row],[Maahan-muuttajien koulutus 1]]</f>
        <v>0</v>
      </c>
      <c r="AN146" s="204">
        <f>Opv.kohd.[[#This Row],[Nuorisotyöt. väh. ja osaamistarp. vast., muu kuin työvoima-koulutus 4]]-Opv.kohd.[[#This Row],[Nuorisotyöt. väh. ja osaamistarp. vast., muu kuin työvoima-koulutus 1]]</f>
        <v>0</v>
      </c>
      <c r="AO146" s="204">
        <f>Opv.kohd.[[#This Row],[Nuorisotyöt. väh. ja osaamistarp. vast., työvoima-koulutus 4]]-Opv.kohd.[[#This Row],[Nuorisotyöt. väh. ja osaamistarp. vast., työvoima-koulutus 1]]</f>
        <v>0</v>
      </c>
      <c r="AP146" s="204">
        <f>Opv.kohd.[[#This Row],[Yhteensä 4]]-Opv.kohd.[[#This Row],[Yhteensä  1]]</f>
        <v>0</v>
      </c>
      <c r="AQ146" s="204">
        <f>Opv.kohd.[[#This Row],[Ensikertaisella suoritepäätöksellä jaetut tavoitteelliset opiskelijavuodet yhteensä 4]]-Opv.kohd.[[#This Row],[Ensikertaisella suoritepäätöksellä jaetut tavoitteelliset opiskelijavuodet yhteensä 1]]</f>
        <v>0</v>
      </c>
      <c r="AR146" s="208">
        <f>IFERROR(Opv.kohd.[[#This Row],[Järjestämisluvan mukaiset 5]]/Opv.kohd.[[#This Row],[Järjestämisluvan mukaiset 4]],0)</f>
        <v>0</v>
      </c>
      <c r="AS146" s="208">
        <f>IFERROR(Opv.kohd.[[#This Row],[Kohdentamat-tomat 5]]/Opv.kohd.[[#This Row],[Kohdentamat-tomat 4]],0)</f>
        <v>0</v>
      </c>
      <c r="AT146" s="208">
        <f>IFERROR(Opv.kohd.[[#This Row],[Työvoima-koulutus 5]]/Opv.kohd.[[#This Row],[Työvoima-koulutus 4]],0)</f>
        <v>0</v>
      </c>
      <c r="AU146" s="208">
        <f>IFERROR(Opv.kohd.[[#This Row],[Maahan-muuttajien koulutus 5]]/Opv.kohd.[[#This Row],[Maahan-muuttajien koulutus 4]],0)</f>
        <v>0</v>
      </c>
      <c r="AV146" s="208">
        <f>IFERROR(Opv.kohd.[[#This Row],[Nuorisotyöt. väh. ja osaamistarp. vast., muu kuin työvoima-koulutus 5]]/Opv.kohd.[[#This Row],[Nuorisotyöt. väh. ja osaamistarp. vast., muu kuin työvoima-koulutus 4]],0)</f>
        <v>0</v>
      </c>
      <c r="AW146" s="208">
        <f>IFERROR(Opv.kohd.[[#This Row],[Nuorisotyöt. väh. ja osaamistarp. vast., työvoima-koulutus 5]]/Opv.kohd.[[#This Row],[Nuorisotyöt. väh. ja osaamistarp. vast., työvoima-koulutus 4]],0)</f>
        <v>0</v>
      </c>
      <c r="AX146" s="208">
        <f>IFERROR(Opv.kohd.[[#This Row],[Yhteensä 5]]/Opv.kohd.[[#This Row],[Yhteensä 4]],0)</f>
        <v>0</v>
      </c>
      <c r="AY146" s="208">
        <f>IFERROR(Opv.kohd.[[#This Row],[Ensikertaisella suoritepäätöksellä jaetut tavoitteelliset opiskelijavuodet yhteensä 5]]/Opv.kohd.[[#This Row],[Ensikertaisella suoritepäätöksellä jaetut tavoitteelliset opiskelijavuodet yhteensä 4]],0)</f>
        <v>0</v>
      </c>
      <c r="AZ146" s="207">
        <f>Opv.kohd.[[#This Row],[Yhteensä 7a]]-Opv.kohd.[[#This Row],[Työvoima-koulutus 7a]]</f>
        <v>0</v>
      </c>
      <c r="BA146" s="207">
        <f>IFERROR(VLOOKUP(Opv.kohd.[[#This Row],[Y-tunnus]],#REF!,COLUMN(#REF!),FALSE),0)</f>
        <v>0</v>
      </c>
      <c r="BB146" s="207">
        <f>IFERROR(VLOOKUP(Opv.kohd.[[#This Row],[Y-tunnus]],#REF!,COLUMN(#REF!),FALSE),0)</f>
        <v>0</v>
      </c>
      <c r="BC146" s="207">
        <f>Opv.kohd.[[#This Row],[Muu kuin työvoima-koulutus 7c]]-Opv.kohd.[[#This Row],[Muu kuin työvoima-koulutus 7a]]</f>
        <v>0</v>
      </c>
      <c r="BD146" s="207">
        <f>Opv.kohd.[[#This Row],[Työvoima-koulutus 7c]]-Opv.kohd.[[#This Row],[Työvoima-koulutus 7a]]</f>
        <v>0</v>
      </c>
      <c r="BE146" s="207">
        <f>Opv.kohd.[[#This Row],[Yhteensä 7c]]-Opv.kohd.[[#This Row],[Yhteensä 7a]]</f>
        <v>0</v>
      </c>
      <c r="BF146" s="207">
        <f>Opv.kohd.[[#This Row],[Yhteensä 7c]]-Opv.kohd.[[#This Row],[Työvoima-koulutus 7c]]</f>
        <v>0</v>
      </c>
      <c r="BG146" s="207">
        <f>IFERROR(VLOOKUP(Opv.kohd.[[#This Row],[Y-tunnus]],#REF!,COLUMN(#REF!),FALSE),0)</f>
        <v>0</v>
      </c>
      <c r="BH146" s="207">
        <f>IFERROR(VLOOKUP(Opv.kohd.[[#This Row],[Y-tunnus]],#REF!,COLUMN(#REF!),FALSE),0)</f>
        <v>0</v>
      </c>
      <c r="BI146" s="207">
        <f>IFERROR(VLOOKUP(Opv.kohd.[[#This Row],[Y-tunnus]],#REF!,COLUMN(#REF!),FALSE),0)</f>
        <v>0</v>
      </c>
      <c r="BJ146" s="207">
        <f>IFERROR(VLOOKUP(Opv.kohd.[[#This Row],[Y-tunnus]],#REF!,COLUMN(#REF!),FALSE),0)</f>
        <v>0</v>
      </c>
      <c r="BK146" s="207">
        <f>Opv.kohd.[[#This Row],[Muu kuin työvoima-koulutus 7d]]+Opv.kohd.[[#This Row],[Työvoima-koulutus 7d]]</f>
        <v>0</v>
      </c>
      <c r="BL146" s="207">
        <f>Opv.kohd.[[#This Row],[Muu kuin työvoima-koulutus 7c]]-Opv.kohd.[[#This Row],[Muu kuin työvoima-koulutus 7d]]</f>
        <v>0</v>
      </c>
      <c r="BM146" s="207">
        <f>Opv.kohd.[[#This Row],[Työvoima-koulutus 7c]]-Opv.kohd.[[#This Row],[Työvoima-koulutus 7d]]</f>
        <v>0</v>
      </c>
      <c r="BN146" s="207">
        <f>Opv.kohd.[[#This Row],[Yhteensä 7c]]-Opv.kohd.[[#This Row],[Yhteensä 7d]]</f>
        <v>0</v>
      </c>
      <c r="BO146" s="207">
        <f>Opv.kohd.[[#This Row],[Muu kuin työvoima-koulutus 7e]]-(Opv.kohd.[[#This Row],[Järjestämisluvan mukaiset 4]]+Opv.kohd.[[#This Row],[Kohdentamat-tomat 4]]+Opv.kohd.[[#This Row],[Maahan-muuttajien koulutus 4]]+Opv.kohd.[[#This Row],[Nuorisotyöt. väh. ja osaamistarp. vast., muu kuin työvoima-koulutus 4]])</f>
        <v>0</v>
      </c>
      <c r="BP146" s="207">
        <f>Opv.kohd.[[#This Row],[Työvoima-koulutus 7e]]-(Opv.kohd.[[#This Row],[Työvoima-koulutus 4]]+Opv.kohd.[[#This Row],[Nuorisotyöt. väh. ja osaamistarp. vast., työvoima-koulutus 4]])</f>
        <v>0</v>
      </c>
      <c r="BQ146" s="207">
        <f>Opv.kohd.[[#This Row],[Yhteensä 7e]]-Opv.kohd.[[#This Row],[Ensikertaisella suoritepäätöksellä jaetut tavoitteelliset opiskelijavuodet yhteensä 4]]</f>
        <v>0</v>
      </c>
      <c r="BR146" s="263">
        <v>610</v>
      </c>
      <c r="BS146" s="263">
        <v>150</v>
      </c>
      <c r="BT146" s="263">
        <v>557</v>
      </c>
      <c r="BU146" s="263">
        <v>35</v>
      </c>
      <c r="BV146" s="263">
        <v>5</v>
      </c>
      <c r="BW146" s="263">
        <v>40</v>
      </c>
      <c r="BX146" s="263">
        <v>787</v>
      </c>
      <c r="BY146" s="263">
        <v>1397</v>
      </c>
      <c r="BZ146" s="207">
        <f t="shared" si="32"/>
        <v>610</v>
      </c>
      <c r="CA146" s="207">
        <f t="shared" si="33"/>
        <v>150</v>
      </c>
      <c r="CB146" s="207">
        <f t="shared" si="34"/>
        <v>557</v>
      </c>
      <c r="CC146" s="207">
        <f t="shared" si="35"/>
        <v>35</v>
      </c>
      <c r="CD146" s="207">
        <f t="shared" si="36"/>
        <v>5</v>
      </c>
      <c r="CE146" s="207">
        <f t="shared" si="37"/>
        <v>40</v>
      </c>
      <c r="CF146" s="207">
        <f t="shared" si="38"/>
        <v>787</v>
      </c>
      <c r="CG146" s="207">
        <f t="shared" si="39"/>
        <v>1397</v>
      </c>
      <c r="CH146" s="207">
        <f>Opv.kohd.[[#This Row],[Tavoitteelliset opiskelijavuodet yhteensä 9]]-Opv.kohd.[[#This Row],[Työvoima-koulutus 9]]-Opv.kohd.[[#This Row],[Nuorisotyöt. väh. ja osaamistarp. vast., työvoima-koulutus 9]]-Opv.kohd.[[#This Row],[Muu kuin työvoima-koulutus 7e]]</f>
        <v>800</v>
      </c>
      <c r="CI146" s="207">
        <f>(Opv.kohd.[[#This Row],[Työvoima-koulutus 9]]+Opv.kohd.[[#This Row],[Nuorisotyöt. väh. ja osaamistarp. vast., työvoima-koulutus 9]])-Opv.kohd.[[#This Row],[Työvoima-koulutus 7e]]</f>
        <v>597</v>
      </c>
      <c r="CJ146" s="207">
        <f>Opv.kohd.[[#This Row],[Tavoitteelliset opiskelijavuodet yhteensä 9]]-Opv.kohd.[[#This Row],[Yhteensä 7e]]</f>
        <v>1397</v>
      </c>
      <c r="CK146" s="207">
        <f>Opv.kohd.[[#This Row],[Järjestämisluvan mukaiset 4]]+Opv.kohd.[[#This Row],[Järjestämisluvan mukaiset 13]]</f>
        <v>0</v>
      </c>
      <c r="CL146" s="207">
        <f>Opv.kohd.[[#This Row],[Kohdentamat-tomat 4]]+Opv.kohd.[[#This Row],[Kohdentamat-tomat 13]]</f>
        <v>0</v>
      </c>
      <c r="CM146" s="207">
        <f>Opv.kohd.[[#This Row],[Työvoima-koulutus 4]]+Opv.kohd.[[#This Row],[Työvoima-koulutus 13]]</f>
        <v>0</v>
      </c>
      <c r="CN146" s="207">
        <f>Opv.kohd.[[#This Row],[Maahan-muuttajien koulutus 4]]+Opv.kohd.[[#This Row],[Maahan-muuttajien koulutus 13]]</f>
        <v>0</v>
      </c>
      <c r="CO146" s="207">
        <f>Opv.kohd.[[#This Row],[Nuorisotyöt. väh. ja osaamistarp. vast., muu kuin työvoima-koulutus 4]]+Opv.kohd.[[#This Row],[Nuorisotyöt. väh. ja osaamistarp. vast., muu kuin työvoima-koulutus 13]]</f>
        <v>0</v>
      </c>
      <c r="CP146" s="207">
        <f>Opv.kohd.[[#This Row],[Nuorisotyöt. väh. ja osaamistarp. vast., työvoima-koulutus 4]]+Opv.kohd.[[#This Row],[Nuorisotyöt. väh. ja osaamistarp. vast., työvoima-koulutus 13]]</f>
        <v>0</v>
      </c>
      <c r="CQ146" s="207">
        <f>Opv.kohd.[[#This Row],[Yhteensä 4]]+Opv.kohd.[[#This Row],[Yhteensä 13]]</f>
        <v>0</v>
      </c>
      <c r="CR146" s="207">
        <f>Opv.kohd.[[#This Row],[Ensikertaisella suoritepäätöksellä jaetut tavoitteelliset opiskelijavuodet yhteensä 4]]+Opv.kohd.[[#This Row],[Tavoitteelliset opiskelijavuodet yhteensä 13]]</f>
        <v>0</v>
      </c>
      <c r="CS146" s="120">
        <v>0</v>
      </c>
      <c r="CT146" s="120">
        <v>0</v>
      </c>
      <c r="CU146" s="120">
        <v>0</v>
      </c>
      <c r="CV146" s="120">
        <v>0</v>
      </c>
      <c r="CW146" s="120">
        <v>0</v>
      </c>
      <c r="CX146" s="120">
        <v>0</v>
      </c>
      <c r="CY146" s="120">
        <v>0</v>
      </c>
      <c r="CZ146" s="120">
        <v>0</v>
      </c>
      <c r="DA146" s="209">
        <f>IFERROR(Opv.kohd.[[#This Row],[Järjestämisluvan mukaiset 13]]/Opv.kohd.[[#This Row],[Järjestämisluvan mukaiset 12]],0)</f>
        <v>0</v>
      </c>
      <c r="DB146" s="209">
        <f>IFERROR(Opv.kohd.[[#This Row],[Kohdentamat-tomat 13]]/Opv.kohd.[[#This Row],[Kohdentamat-tomat 12]],0)</f>
        <v>0</v>
      </c>
      <c r="DC146" s="209">
        <f>IFERROR(Opv.kohd.[[#This Row],[Työvoima-koulutus 13]]/Opv.kohd.[[#This Row],[Työvoima-koulutus 12]],0)</f>
        <v>0</v>
      </c>
      <c r="DD146" s="209">
        <f>IFERROR(Opv.kohd.[[#This Row],[Maahan-muuttajien koulutus 13]]/Opv.kohd.[[#This Row],[Maahan-muuttajien koulutus 12]],0)</f>
        <v>0</v>
      </c>
      <c r="DE146" s="209">
        <f>IFERROR(Opv.kohd.[[#This Row],[Nuorisotyöt. väh. ja osaamistarp. vast., muu kuin työvoima-koulutus 13]]/Opv.kohd.[[#This Row],[Nuorisotyöt. väh. ja osaamistarp. vast., muu kuin työvoima-koulutus 12]],0)</f>
        <v>0</v>
      </c>
      <c r="DF146" s="209">
        <f>IFERROR(Opv.kohd.[[#This Row],[Nuorisotyöt. väh. ja osaamistarp. vast., työvoima-koulutus 13]]/Opv.kohd.[[#This Row],[Nuorisotyöt. väh. ja osaamistarp. vast., työvoima-koulutus 12]],0)</f>
        <v>0</v>
      </c>
      <c r="DG146" s="209">
        <f>IFERROR(Opv.kohd.[[#This Row],[Yhteensä 13]]/Opv.kohd.[[#This Row],[Yhteensä 12]],0)</f>
        <v>0</v>
      </c>
      <c r="DH146" s="209">
        <f>IFERROR(Opv.kohd.[[#This Row],[Tavoitteelliset opiskelijavuodet yhteensä 13]]/Opv.kohd.[[#This Row],[Tavoitteelliset opiskelijavuodet yhteensä 12]],0)</f>
        <v>0</v>
      </c>
      <c r="DI146" s="207">
        <f>Opv.kohd.[[#This Row],[Järjestämisluvan mukaiset 12]]-Opv.kohd.[[#This Row],[Järjestämisluvan mukaiset 9]]</f>
        <v>-610</v>
      </c>
      <c r="DJ146" s="207">
        <f>Opv.kohd.[[#This Row],[Kohdentamat-tomat 12]]-Opv.kohd.[[#This Row],[Kohdentamat-tomat 9]]</f>
        <v>-150</v>
      </c>
      <c r="DK146" s="207">
        <f>Opv.kohd.[[#This Row],[Työvoima-koulutus 12]]-Opv.kohd.[[#This Row],[Työvoima-koulutus 9]]</f>
        <v>-557</v>
      </c>
      <c r="DL146" s="207">
        <f>Opv.kohd.[[#This Row],[Maahan-muuttajien koulutus 12]]-Opv.kohd.[[#This Row],[Maahan-muuttajien koulutus 9]]</f>
        <v>-35</v>
      </c>
      <c r="DM146" s="207">
        <f>Opv.kohd.[[#This Row],[Nuorisotyöt. väh. ja osaamistarp. vast., muu kuin työvoima-koulutus 12]]-Opv.kohd.[[#This Row],[Nuorisotyöt. väh. ja osaamistarp. vast., muu kuin työvoima-koulutus 9]]</f>
        <v>-5</v>
      </c>
      <c r="DN146" s="207">
        <f>Opv.kohd.[[#This Row],[Nuorisotyöt. väh. ja osaamistarp. vast., työvoima-koulutus 12]]-Opv.kohd.[[#This Row],[Nuorisotyöt. väh. ja osaamistarp. vast., työvoima-koulutus 9]]</f>
        <v>-40</v>
      </c>
      <c r="DO146" s="207">
        <f>Opv.kohd.[[#This Row],[Yhteensä 12]]-Opv.kohd.[[#This Row],[Yhteensä 9]]</f>
        <v>-787</v>
      </c>
      <c r="DP146" s="207">
        <f>Opv.kohd.[[#This Row],[Tavoitteelliset opiskelijavuodet yhteensä 12]]-Opv.kohd.[[#This Row],[Tavoitteelliset opiskelijavuodet yhteensä 9]]</f>
        <v>-1397</v>
      </c>
      <c r="DQ146" s="209">
        <f>IFERROR(Opv.kohd.[[#This Row],[Järjestämisluvan mukaiset 15]]/Opv.kohd.[[#This Row],[Järjestämisluvan mukaiset 9]],0)</f>
        <v>-1</v>
      </c>
      <c r="DR146" s="209">
        <f t="shared" si="40"/>
        <v>0</v>
      </c>
      <c r="DS146" s="209">
        <f t="shared" si="41"/>
        <v>0</v>
      </c>
      <c r="DT146" s="209">
        <f t="shared" si="42"/>
        <v>0</v>
      </c>
      <c r="DU146" s="209">
        <f t="shared" si="43"/>
        <v>0</v>
      </c>
      <c r="DV146" s="209">
        <f t="shared" si="44"/>
        <v>0</v>
      </c>
      <c r="DW146" s="209">
        <f t="shared" si="45"/>
        <v>0</v>
      </c>
      <c r="DX146" s="209">
        <f t="shared" si="46"/>
        <v>0</v>
      </c>
    </row>
    <row r="147" spans="1:128" x14ac:dyDescent="0.25">
      <c r="A147" s="204" t="e">
        <f>IF(INDEX(#REF!,ROW(147:147)-1,1)=0,"",INDEX(#REF!,ROW(147:147)-1,1))</f>
        <v>#REF!</v>
      </c>
      <c r="B147" s="205" t="str">
        <f>IFERROR(VLOOKUP(Opv.kohd.[[#This Row],[Y-tunnus]],'0 Järjestäjätiedot'!$A:$H,2,FALSE),"")</f>
        <v/>
      </c>
      <c r="C147" s="204" t="str">
        <f>IFERROR(VLOOKUP(Opv.kohd.[[#This Row],[Y-tunnus]],'0 Järjestäjätiedot'!$A:$H,COLUMN('0 Järjestäjätiedot'!D:D),FALSE),"")</f>
        <v/>
      </c>
      <c r="D147" s="204" t="str">
        <f>IFERROR(VLOOKUP(Opv.kohd.[[#This Row],[Y-tunnus]],'0 Järjestäjätiedot'!$A:$H,COLUMN('0 Järjestäjätiedot'!H:H),FALSE),"")</f>
        <v/>
      </c>
      <c r="E147" s="204">
        <f>IFERROR(VLOOKUP(Opv.kohd.[[#This Row],[Y-tunnus]],#REF!,COLUMN(#REF!),FALSE),0)</f>
        <v>0</v>
      </c>
      <c r="F147" s="204">
        <f>IFERROR(VLOOKUP(Opv.kohd.[[#This Row],[Y-tunnus]],#REF!,COLUMN(#REF!),FALSE),0)</f>
        <v>0</v>
      </c>
      <c r="G147" s="204">
        <f>IFERROR(VLOOKUP(Opv.kohd.[[#This Row],[Y-tunnus]],#REF!,COLUMN(#REF!),FALSE),0)</f>
        <v>0</v>
      </c>
      <c r="H147" s="204">
        <f>IFERROR(VLOOKUP(Opv.kohd.[[#This Row],[Y-tunnus]],#REF!,COLUMN(#REF!),FALSE),0)</f>
        <v>0</v>
      </c>
      <c r="I147" s="204">
        <f>IFERROR(VLOOKUP(Opv.kohd.[[#This Row],[Y-tunnus]],#REF!,COLUMN(#REF!),FALSE),0)</f>
        <v>0</v>
      </c>
      <c r="J147" s="204">
        <f>IFERROR(VLOOKUP(Opv.kohd.[[#This Row],[Y-tunnus]],#REF!,COLUMN(#REF!),FALSE),0)</f>
        <v>0</v>
      </c>
      <c r="K14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47" s="204">
        <f>Opv.kohd.[[#This Row],[Järjestämisluvan mukaiset 1]]+Opv.kohd.[[#This Row],[Yhteensä  1]]</f>
        <v>0</v>
      </c>
      <c r="M147" s="204">
        <f>IFERROR(VLOOKUP(Opv.kohd.[[#This Row],[Y-tunnus]],#REF!,COLUMN(#REF!),FALSE),0)</f>
        <v>0</v>
      </c>
      <c r="N147" s="204">
        <f>IFERROR(VLOOKUP(Opv.kohd.[[#This Row],[Y-tunnus]],#REF!,COLUMN(#REF!),FALSE),0)</f>
        <v>0</v>
      </c>
      <c r="O147" s="204">
        <f>IFERROR(VLOOKUP(Opv.kohd.[[#This Row],[Y-tunnus]],#REF!,COLUMN(#REF!),FALSE)+VLOOKUP(Opv.kohd.[[#This Row],[Y-tunnus]],#REF!,COLUMN(#REF!),FALSE),0)</f>
        <v>0</v>
      </c>
      <c r="P147" s="204">
        <f>Opv.kohd.[[#This Row],[Talousarvion perusteella kohdentamattomat]]+Opv.kohd.[[#This Row],[Talousarvion perusteella työvoimakoulutus 1]]+Opv.kohd.[[#This Row],[Lisätalousarvioiden perusteella]]</f>
        <v>0</v>
      </c>
      <c r="Q147" s="204">
        <f>IFERROR(VLOOKUP(Opv.kohd.[[#This Row],[Y-tunnus]],#REF!,COLUMN(#REF!),FALSE),0)</f>
        <v>0</v>
      </c>
      <c r="R147" s="210">
        <f>IFERROR(VLOOKUP(Opv.kohd.[[#This Row],[Y-tunnus]],#REF!,COLUMN(#REF!),FALSE)-(Opv.kohd.[[#This Row],[Kohdentamaton työvoima-koulutus 2]]+Opv.kohd.[[#This Row],[Maahan-muuttajien koulutus 2]]+Opv.kohd.[[#This Row],[Lisätalousarvioiden perusteella jaetut 2]]),0)</f>
        <v>0</v>
      </c>
      <c r="S147" s="210">
        <f>IFERROR(VLOOKUP(Opv.kohd.[[#This Row],[Y-tunnus]],#REF!,COLUMN(#REF!),FALSE)+VLOOKUP(Opv.kohd.[[#This Row],[Y-tunnus]],#REF!,COLUMN(#REF!),FALSE),0)</f>
        <v>0</v>
      </c>
      <c r="T147" s="210">
        <f>IFERROR(VLOOKUP(Opv.kohd.[[#This Row],[Y-tunnus]],#REF!,COLUMN(#REF!),FALSE)+VLOOKUP(Opv.kohd.[[#This Row],[Y-tunnus]],#REF!,COLUMN(#REF!),FALSE),0)</f>
        <v>0</v>
      </c>
      <c r="U14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47" s="210">
        <f>Opv.kohd.[[#This Row],[Kohdentamat-tomat 2]]+Opv.kohd.[[#This Row],[Kohdentamaton työvoima-koulutus 2]]+Opv.kohd.[[#This Row],[Maahan-muuttajien koulutus 2]]+Opv.kohd.[[#This Row],[Lisätalousarvioiden perusteella jaetut 2]]</f>
        <v>0</v>
      </c>
      <c r="W147" s="210">
        <f>Opv.kohd.[[#This Row],[Kohdentamat-tomat 2]]-(Opv.kohd.[[#This Row],[Järjestämisluvan mukaiset 1]]+Opv.kohd.[[#This Row],[Kohdentamat-tomat 1]]+Opv.kohd.[[#This Row],[Nuorisotyöt. väh. ja osaamistarp. vast., muu kuin työvoima-koulutus 1]]+Opv.kohd.[[#This Row],[Talousarvion perusteella kohdentamattomat]])</f>
        <v>0</v>
      </c>
      <c r="X147" s="210">
        <f>Opv.kohd.[[#This Row],[Kohdentamaton työvoima-koulutus 2]]-(Opv.kohd.[[#This Row],[Työvoima-koulutus 1]]+Opv.kohd.[[#This Row],[Nuorisotyöt. väh. ja osaamistarp. vast., työvoima-koulutus 1]]+Opv.kohd.[[#This Row],[Talousarvion perusteella työvoimakoulutus 1]])</f>
        <v>0</v>
      </c>
      <c r="Y147" s="210">
        <f>Opv.kohd.[[#This Row],[Maahan-muuttajien koulutus 2]]-Opv.kohd.[[#This Row],[Maahan-muuttajien koulutus 1]]</f>
        <v>0</v>
      </c>
      <c r="Z147" s="210">
        <f>Opv.kohd.[[#This Row],[Lisätalousarvioiden perusteella jaetut 2]]-Opv.kohd.[[#This Row],[Lisätalousarvioiden perusteella]]</f>
        <v>0</v>
      </c>
      <c r="AA147" s="210">
        <f>Opv.kohd.[[#This Row],[Toteutuneet opiskelijavuodet yhteensä 2]]-Opv.kohd.[[#This Row],[Vuoden 2018 tavoitteelliset opiskelijavuodet yhteensä 1]]</f>
        <v>0</v>
      </c>
      <c r="AB147" s="207">
        <f>IFERROR(VLOOKUP(Opv.kohd.[[#This Row],[Y-tunnus]],#REF!,3,FALSE),0)</f>
        <v>0</v>
      </c>
      <c r="AC147" s="207">
        <f>IFERROR(VLOOKUP(Opv.kohd.[[#This Row],[Y-tunnus]],#REF!,4,FALSE),0)</f>
        <v>0</v>
      </c>
      <c r="AD147" s="207">
        <f>IFERROR(VLOOKUP(Opv.kohd.[[#This Row],[Y-tunnus]],#REF!,5,FALSE),0)</f>
        <v>0</v>
      </c>
      <c r="AE147" s="207">
        <f>IFERROR(VLOOKUP(Opv.kohd.[[#This Row],[Y-tunnus]],#REF!,6,FALSE),0)</f>
        <v>0</v>
      </c>
      <c r="AF147" s="207">
        <f>IFERROR(VLOOKUP(Opv.kohd.[[#This Row],[Y-tunnus]],#REF!,7,FALSE),0)</f>
        <v>0</v>
      </c>
      <c r="AG147" s="207">
        <f>IFERROR(VLOOKUP(Opv.kohd.[[#This Row],[Y-tunnus]],#REF!,8,FALSE),0)</f>
        <v>0</v>
      </c>
      <c r="AH147" s="207">
        <f>IFERROR(VLOOKUP(Opv.kohd.[[#This Row],[Y-tunnus]],#REF!,9,FALSE),0)</f>
        <v>0</v>
      </c>
      <c r="AI147" s="207">
        <f>IFERROR(VLOOKUP(Opv.kohd.[[#This Row],[Y-tunnus]],#REF!,10,FALSE),0)</f>
        <v>0</v>
      </c>
      <c r="AJ147" s="204">
        <f>Opv.kohd.[[#This Row],[Järjestämisluvan mukaiset 4]]-Opv.kohd.[[#This Row],[Järjestämisluvan mukaiset 1]]</f>
        <v>0</v>
      </c>
      <c r="AK147" s="204">
        <f>Opv.kohd.[[#This Row],[Kohdentamat-tomat 4]]-Opv.kohd.[[#This Row],[Kohdentamat-tomat 1]]</f>
        <v>0</v>
      </c>
      <c r="AL147" s="204">
        <f>Opv.kohd.[[#This Row],[Työvoima-koulutus 4]]-Opv.kohd.[[#This Row],[Työvoima-koulutus 1]]</f>
        <v>0</v>
      </c>
      <c r="AM147" s="204">
        <f>Opv.kohd.[[#This Row],[Maahan-muuttajien koulutus 4]]-Opv.kohd.[[#This Row],[Maahan-muuttajien koulutus 1]]</f>
        <v>0</v>
      </c>
      <c r="AN147" s="204">
        <f>Opv.kohd.[[#This Row],[Nuorisotyöt. väh. ja osaamistarp. vast., muu kuin työvoima-koulutus 4]]-Opv.kohd.[[#This Row],[Nuorisotyöt. väh. ja osaamistarp. vast., muu kuin työvoima-koulutus 1]]</f>
        <v>0</v>
      </c>
      <c r="AO147" s="204">
        <f>Opv.kohd.[[#This Row],[Nuorisotyöt. väh. ja osaamistarp. vast., työvoima-koulutus 4]]-Opv.kohd.[[#This Row],[Nuorisotyöt. väh. ja osaamistarp. vast., työvoima-koulutus 1]]</f>
        <v>0</v>
      </c>
      <c r="AP147" s="204">
        <f>Opv.kohd.[[#This Row],[Yhteensä 4]]-Opv.kohd.[[#This Row],[Yhteensä  1]]</f>
        <v>0</v>
      </c>
      <c r="AQ147" s="204">
        <f>Opv.kohd.[[#This Row],[Ensikertaisella suoritepäätöksellä jaetut tavoitteelliset opiskelijavuodet yhteensä 4]]-Opv.kohd.[[#This Row],[Ensikertaisella suoritepäätöksellä jaetut tavoitteelliset opiskelijavuodet yhteensä 1]]</f>
        <v>0</v>
      </c>
      <c r="AR147" s="208">
        <f>IFERROR(Opv.kohd.[[#This Row],[Järjestämisluvan mukaiset 5]]/Opv.kohd.[[#This Row],[Järjestämisluvan mukaiset 4]],0)</f>
        <v>0</v>
      </c>
      <c r="AS147" s="208">
        <f>IFERROR(Opv.kohd.[[#This Row],[Kohdentamat-tomat 5]]/Opv.kohd.[[#This Row],[Kohdentamat-tomat 4]],0)</f>
        <v>0</v>
      </c>
      <c r="AT147" s="208">
        <f>IFERROR(Opv.kohd.[[#This Row],[Työvoima-koulutus 5]]/Opv.kohd.[[#This Row],[Työvoima-koulutus 4]],0)</f>
        <v>0</v>
      </c>
      <c r="AU147" s="208">
        <f>IFERROR(Opv.kohd.[[#This Row],[Maahan-muuttajien koulutus 5]]/Opv.kohd.[[#This Row],[Maahan-muuttajien koulutus 4]],0)</f>
        <v>0</v>
      </c>
      <c r="AV147" s="208">
        <f>IFERROR(Opv.kohd.[[#This Row],[Nuorisotyöt. väh. ja osaamistarp. vast., muu kuin työvoima-koulutus 5]]/Opv.kohd.[[#This Row],[Nuorisotyöt. väh. ja osaamistarp. vast., muu kuin työvoima-koulutus 4]],0)</f>
        <v>0</v>
      </c>
      <c r="AW147" s="208">
        <f>IFERROR(Opv.kohd.[[#This Row],[Nuorisotyöt. väh. ja osaamistarp. vast., työvoima-koulutus 5]]/Opv.kohd.[[#This Row],[Nuorisotyöt. väh. ja osaamistarp. vast., työvoima-koulutus 4]],0)</f>
        <v>0</v>
      </c>
      <c r="AX147" s="208">
        <f>IFERROR(Opv.kohd.[[#This Row],[Yhteensä 5]]/Opv.kohd.[[#This Row],[Yhteensä 4]],0)</f>
        <v>0</v>
      </c>
      <c r="AY147" s="208">
        <f>IFERROR(Opv.kohd.[[#This Row],[Ensikertaisella suoritepäätöksellä jaetut tavoitteelliset opiskelijavuodet yhteensä 5]]/Opv.kohd.[[#This Row],[Ensikertaisella suoritepäätöksellä jaetut tavoitteelliset opiskelijavuodet yhteensä 4]],0)</f>
        <v>0</v>
      </c>
      <c r="AZ147" s="207">
        <f>Opv.kohd.[[#This Row],[Yhteensä 7a]]-Opv.kohd.[[#This Row],[Työvoima-koulutus 7a]]</f>
        <v>0</v>
      </c>
      <c r="BA147" s="207">
        <f>IFERROR(VLOOKUP(Opv.kohd.[[#This Row],[Y-tunnus]],#REF!,COLUMN(#REF!),FALSE),0)</f>
        <v>0</v>
      </c>
      <c r="BB147" s="207">
        <f>IFERROR(VLOOKUP(Opv.kohd.[[#This Row],[Y-tunnus]],#REF!,COLUMN(#REF!),FALSE),0)</f>
        <v>0</v>
      </c>
      <c r="BC147" s="207">
        <f>Opv.kohd.[[#This Row],[Muu kuin työvoima-koulutus 7c]]-Opv.kohd.[[#This Row],[Muu kuin työvoima-koulutus 7a]]</f>
        <v>0</v>
      </c>
      <c r="BD147" s="207">
        <f>Opv.kohd.[[#This Row],[Työvoima-koulutus 7c]]-Opv.kohd.[[#This Row],[Työvoima-koulutus 7a]]</f>
        <v>0</v>
      </c>
      <c r="BE147" s="207">
        <f>Opv.kohd.[[#This Row],[Yhteensä 7c]]-Opv.kohd.[[#This Row],[Yhteensä 7a]]</f>
        <v>0</v>
      </c>
      <c r="BF147" s="207">
        <f>Opv.kohd.[[#This Row],[Yhteensä 7c]]-Opv.kohd.[[#This Row],[Työvoima-koulutus 7c]]</f>
        <v>0</v>
      </c>
      <c r="BG147" s="207">
        <f>IFERROR(VLOOKUP(Opv.kohd.[[#This Row],[Y-tunnus]],#REF!,COLUMN(#REF!),FALSE),0)</f>
        <v>0</v>
      </c>
      <c r="BH147" s="207">
        <f>IFERROR(VLOOKUP(Opv.kohd.[[#This Row],[Y-tunnus]],#REF!,COLUMN(#REF!),FALSE),0)</f>
        <v>0</v>
      </c>
      <c r="BI147" s="207">
        <f>IFERROR(VLOOKUP(Opv.kohd.[[#This Row],[Y-tunnus]],#REF!,COLUMN(#REF!),FALSE),0)</f>
        <v>0</v>
      </c>
      <c r="BJ147" s="207">
        <f>IFERROR(VLOOKUP(Opv.kohd.[[#This Row],[Y-tunnus]],#REF!,COLUMN(#REF!),FALSE),0)</f>
        <v>0</v>
      </c>
      <c r="BK147" s="207">
        <f>Opv.kohd.[[#This Row],[Muu kuin työvoima-koulutus 7d]]+Opv.kohd.[[#This Row],[Työvoima-koulutus 7d]]</f>
        <v>0</v>
      </c>
      <c r="BL147" s="207">
        <f>Opv.kohd.[[#This Row],[Muu kuin työvoima-koulutus 7c]]-Opv.kohd.[[#This Row],[Muu kuin työvoima-koulutus 7d]]</f>
        <v>0</v>
      </c>
      <c r="BM147" s="207">
        <f>Opv.kohd.[[#This Row],[Työvoima-koulutus 7c]]-Opv.kohd.[[#This Row],[Työvoima-koulutus 7d]]</f>
        <v>0</v>
      </c>
      <c r="BN147" s="207">
        <f>Opv.kohd.[[#This Row],[Yhteensä 7c]]-Opv.kohd.[[#This Row],[Yhteensä 7d]]</f>
        <v>0</v>
      </c>
      <c r="BO147" s="207">
        <f>Opv.kohd.[[#This Row],[Muu kuin työvoima-koulutus 7e]]-(Opv.kohd.[[#This Row],[Järjestämisluvan mukaiset 4]]+Opv.kohd.[[#This Row],[Kohdentamat-tomat 4]]+Opv.kohd.[[#This Row],[Maahan-muuttajien koulutus 4]]+Opv.kohd.[[#This Row],[Nuorisotyöt. väh. ja osaamistarp. vast., muu kuin työvoima-koulutus 4]])</f>
        <v>0</v>
      </c>
      <c r="BP147" s="207">
        <f>Opv.kohd.[[#This Row],[Työvoima-koulutus 7e]]-(Opv.kohd.[[#This Row],[Työvoima-koulutus 4]]+Opv.kohd.[[#This Row],[Nuorisotyöt. väh. ja osaamistarp. vast., työvoima-koulutus 4]])</f>
        <v>0</v>
      </c>
      <c r="BQ147" s="207">
        <f>Opv.kohd.[[#This Row],[Yhteensä 7e]]-Opv.kohd.[[#This Row],[Ensikertaisella suoritepäätöksellä jaetut tavoitteelliset opiskelijavuodet yhteensä 4]]</f>
        <v>0</v>
      </c>
      <c r="BR147" s="263">
        <v>302</v>
      </c>
      <c r="BS147" s="263">
        <v>10</v>
      </c>
      <c r="BT147" s="263">
        <v>35</v>
      </c>
      <c r="BU147" s="263">
        <v>0</v>
      </c>
      <c r="BV147" s="263">
        <v>0</v>
      </c>
      <c r="BW147" s="263">
        <v>5</v>
      </c>
      <c r="BX147" s="263">
        <v>50</v>
      </c>
      <c r="BY147" s="263">
        <v>352</v>
      </c>
      <c r="BZ147" s="207">
        <f t="shared" si="32"/>
        <v>302</v>
      </c>
      <c r="CA147" s="207">
        <f t="shared" si="33"/>
        <v>10</v>
      </c>
      <c r="CB147" s="207">
        <f t="shared" si="34"/>
        <v>35</v>
      </c>
      <c r="CC147" s="207">
        <f t="shared" si="35"/>
        <v>0</v>
      </c>
      <c r="CD147" s="207">
        <f t="shared" si="36"/>
        <v>0</v>
      </c>
      <c r="CE147" s="207">
        <f t="shared" si="37"/>
        <v>5</v>
      </c>
      <c r="CF147" s="207">
        <f t="shared" si="38"/>
        <v>50</v>
      </c>
      <c r="CG147" s="207">
        <f t="shared" si="39"/>
        <v>352</v>
      </c>
      <c r="CH147" s="207">
        <f>Opv.kohd.[[#This Row],[Tavoitteelliset opiskelijavuodet yhteensä 9]]-Opv.kohd.[[#This Row],[Työvoima-koulutus 9]]-Opv.kohd.[[#This Row],[Nuorisotyöt. väh. ja osaamistarp. vast., työvoima-koulutus 9]]-Opv.kohd.[[#This Row],[Muu kuin työvoima-koulutus 7e]]</f>
        <v>312</v>
      </c>
      <c r="CI147" s="207">
        <f>(Opv.kohd.[[#This Row],[Työvoima-koulutus 9]]+Opv.kohd.[[#This Row],[Nuorisotyöt. väh. ja osaamistarp. vast., työvoima-koulutus 9]])-Opv.kohd.[[#This Row],[Työvoima-koulutus 7e]]</f>
        <v>40</v>
      </c>
      <c r="CJ147" s="207">
        <f>Opv.kohd.[[#This Row],[Tavoitteelliset opiskelijavuodet yhteensä 9]]-Opv.kohd.[[#This Row],[Yhteensä 7e]]</f>
        <v>352</v>
      </c>
      <c r="CK147" s="207">
        <f>Opv.kohd.[[#This Row],[Järjestämisluvan mukaiset 4]]+Opv.kohd.[[#This Row],[Järjestämisluvan mukaiset 13]]</f>
        <v>0</v>
      </c>
      <c r="CL147" s="207">
        <f>Opv.kohd.[[#This Row],[Kohdentamat-tomat 4]]+Opv.kohd.[[#This Row],[Kohdentamat-tomat 13]]</f>
        <v>0</v>
      </c>
      <c r="CM147" s="207">
        <f>Opv.kohd.[[#This Row],[Työvoima-koulutus 4]]+Opv.kohd.[[#This Row],[Työvoima-koulutus 13]]</f>
        <v>0</v>
      </c>
      <c r="CN147" s="207">
        <f>Opv.kohd.[[#This Row],[Maahan-muuttajien koulutus 4]]+Opv.kohd.[[#This Row],[Maahan-muuttajien koulutus 13]]</f>
        <v>0</v>
      </c>
      <c r="CO147" s="207">
        <f>Opv.kohd.[[#This Row],[Nuorisotyöt. väh. ja osaamistarp. vast., muu kuin työvoima-koulutus 4]]+Opv.kohd.[[#This Row],[Nuorisotyöt. väh. ja osaamistarp. vast., muu kuin työvoima-koulutus 13]]</f>
        <v>0</v>
      </c>
      <c r="CP147" s="207">
        <f>Opv.kohd.[[#This Row],[Nuorisotyöt. väh. ja osaamistarp. vast., työvoima-koulutus 4]]+Opv.kohd.[[#This Row],[Nuorisotyöt. väh. ja osaamistarp. vast., työvoima-koulutus 13]]</f>
        <v>0</v>
      </c>
      <c r="CQ147" s="207">
        <f>Opv.kohd.[[#This Row],[Yhteensä 4]]+Opv.kohd.[[#This Row],[Yhteensä 13]]</f>
        <v>0</v>
      </c>
      <c r="CR147" s="207">
        <f>Opv.kohd.[[#This Row],[Ensikertaisella suoritepäätöksellä jaetut tavoitteelliset opiskelijavuodet yhteensä 4]]+Opv.kohd.[[#This Row],[Tavoitteelliset opiskelijavuodet yhteensä 13]]</f>
        <v>0</v>
      </c>
      <c r="CS147" s="120">
        <v>0</v>
      </c>
      <c r="CT147" s="120">
        <v>0</v>
      </c>
      <c r="CU147" s="120">
        <v>0</v>
      </c>
      <c r="CV147" s="120">
        <v>0</v>
      </c>
      <c r="CW147" s="120">
        <v>0</v>
      </c>
      <c r="CX147" s="120">
        <v>0</v>
      </c>
      <c r="CY147" s="120">
        <v>0</v>
      </c>
      <c r="CZ147" s="120">
        <v>0</v>
      </c>
      <c r="DA147" s="209">
        <f>IFERROR(Opv.kohd.[[#This Row],[Järjestämisluvan mukaiset 13]]/Opv.kohd.[[#This Row],[Järjestämisluvan mukaiset 12]],0)</f>
        <v>0</v>
      </c>
      <c r="DB147" s="209">
        <f>IFERROR(Opv.kohd.[[#This Row],[Kohdentamat-tomat 13]]/Opv.kohd.[[#This Row],[Kohdentamat-tomat 12]],0)</f>
        <v>0</v>
      </c>
      <c r="DC147" s="209">
        <f>IFERROR(Opv.kohd.[[#This Row],[Työvoima-koulutus 13]]/Opv.kohd.[[#This Row],[Työvoima-koulutus 12]],0)</f>
        <v>0</v>
      </c>
      <c r="DD147" s="209">
        <f>IFERROR(Opv.kohd.[[#This Row],[Maahan-muuttajien koulutus 13]]/Opv.kohd.[[#This Row],[Maahan-muuttajien koulutus 12]],0)</f>
        <v>0</v>
      </c>
      <c r="DE147" s="209">
        <f>IFERROR(Opv.kohd.[[#This Row],[Nuorisotyöt. väh. ja osaamistarp. vast., muu kuin työvoima-koulutus 13]]/Opv.kohd.[[#This Row],[Nuorisotyöt. väh. ja osaamistarp. vast., muu kuin työvoima-koulutus 12]],0)</f>
        <v>0</v>
      </c>
      <c r="DF147" s="209">
        <f>IFERROR(Opv.kohd.[[#This Row],[Nuorisotyöt. väh. ja osaamistarp. vast., työvoima-koulutus 13]]/Opv.kohd.[[#This Row],[Nuorisotyöt. väh. ja osaamistarp. vast., työvoima-koulutus 12]],0)</f>
        <v>0</v>
      </c>
      <c r="DG147" s="209">
        <f>IFERROR(Opv.kohd.[[#This Row],[Yhteensä 13]]/Opv.kohd.[[#This Row],[Yhteensä 12]],0)</f>
        <v>0</v>
      </c>
      <c r="DH147" s="209">
        <f>IFERROR(Opv.kohd.[[#This Row],[Tavoitteelliset opiskelijavuodet yhteensä 13]]/Opv.kohd.[[#This Row],[Tavoitteelliset opiskelijavuodet yhteensä 12]],0)</f>
        <v>0</v>
      </c>
      <c r="DI147" s="207">
        <f>Opv.kohd.[[#This Row],[Järjestämisluvan mukaiset 12]]-Opv.kohd.[[#This Row],[Järjestämisluvan mukaiset 9]]</f>
        <v>-302</v>
      </c>
      <c r="DJ147" s="207">
        <f>Opv.kohd.[[#This Row],[Kohdentamat-tomat 12]]-Opv.kohd.[[#This Row],[Kohdentamat-tomat 9]]</f>
        <v>-10</v>
      </c>
      <c r="DK147" s="207">
        <f>Opv.kohd.[[#This Row],[Työvoima-koulutus 12]]-Opv.kohd.[[#This Row],[Työvoima-koulutus 9]]</f>
        <v>-35</v>
      </c>
      <c r="DL147" s="207">
        <f>Opv.kohd.[[#This Row],[Maahan-muuttajien koulutus 12]]-Opv.kohd.[[#This Row],[Maahan-muuttajien koulutus 9]]</f>
        <v>0</v>
      </c>
      <c r="DM147" s="207">
        <f>Opv.kohd.[[#This Row],[Nuorisotyöt. väh. ja osaamistarp. vast., muu kuin työvoima-koulutus 12]]-Opv.kohd.[[#This Row],[Nuorisotyöt. väh. ja osaamistarp. vast., muu kuin työvoima-koulutus 9]]</f>
        <v>0</v>
      </c>
      <c r="DN147" s="207">
        <f>Opv.kohd.[[#This Row],[Nuorisotyöt. väh. ja osaamistarp. vast., työvoima-koulutus 12]]-Opv.kohd.[[#This Row],[Nuorisotyöt. väh. ja osaamistarp. vast., työvoima-koulutus 9]]</f>
        <v>-5</v>
      </c>
      <c r="DO147" s="207">
        <f>Opv.kohd.[[#This Row],[Yhteensä 12]]-Opv.kohd.[[#This Row],[Yhteensä 9]]</f>
        <v>-50</v>
      </c>
      <c r="DP147" s="207">
        <f>Opv.kohd.[[#This Row],[Tavoitteelliset opiskelijavuodet yhteensä 12]]-Opv.kohd.[[#This Row],[Tavoitteelliset opiskelijavuodet yhteensä 9]]</f>
        <v>-352</v>
      </c>
      <c r="DQ147" s="209">
        <f>IFERROR(Opv.kohd.[[#This Row],[Järjestämisluvan mukaiset 15]]/Opv.kohd.[[#This Row],[Järjestämisluvan mukaiset 9]],0)</f>
        <v>-1</v>
      </c>
      <c r="DR147" s="209">
        <f t="shared" si="40"/>
        <v>0</v>
      </c>
      <c r="DS147" s="209">
        <f t="shared" si="41"/>
        <v>0</v>
      </c>
      <c r="DT147" s="209">
        <f t="shared" si="42"/>
        <v>0</v>
      </c>
      <c r="DU147" s="209">
        <f t="shared" si="43"/>
        <v>0</v>
      </c>
      <c r="DV147" s="209">
        <f t="shared" si="44"/>
        <v>0</v>
      </c>
      <c r="DW147" s="209">
        <f t="shared" si="45"/>
        <v>0</v>
      </c>
      <c r="DX147" s="209">
        <f t="shared" si="46"/>
        <v>0</v>
      </c>
    </row>
    <row r="148" spans="1:128" x14ac:dyDescent="0.25">
      <c r="A148" s="204" t="e">
        <f>IF(INDEX(#REF!,ROW(148:148)-1,1)=0,"",INDEX(#REF!,ROW(148:148)-1,1))</f>
        <v>#REF!</v>
      </c>
      <c r="B148" s="205" t="str">
        <f>IFERROR(VLOOKUP(Opv.kohd.[[#This Row],[Y-tunnus]],'0 Järjestäjätiedot'!$A:$H,2,FALSE),"")</f>
        <v/>
      </c>
      <c r="C148" s="204" t="str">
        <f>IFERROR(VLOOKUP(Opv.kohd.[[#This Row],[Y-tunnus]],'0 Järjestäjätiedot'!$A:$H,COLUMN('0 Järjestäjätiedot'!D:D),FALSE),"")</f>
        <v/>
      </c>
      <c r="D148" s="204" t="str">
        <f>IFERROR(VLOOKUP(Opv.kohd.[[#This Row],[Y-tunnus]],'0 Järjestäjätiedot'!$A:$H,COLUMN('0 Järjestäjätiedot'!H:H),FALSE),"")</f>
        <v/>
      </c>
      <c r="E148" s="204">
        <f>IFERROR(VLOOKUP(Opv.kohd.[[#This Row],[Y-tunnus]],#REF!,COLUMN(#REF!),FALSE),0)</f>
        <v>0</v>
      </c>
      <c r="F148" s="204">
        <f>IFERROR(VLOOKUP(Opv.kohd.[[#This Row],[Y-tunnus]],#REF!,COLUMN(#REF!),FALSE),0)</f>
        <v>0</v>
      </c>
      <c r="G148" s="204">
        <f>IFERROR(VLOOKUP(Opv.kohd.[[#This Row],[Y-tunnus]],#REF!,COLUMN(#REF!),FALSE),0)</f>
        <v>0</v>
      </c>
      <c r="H148" s="204">
        <f>IFERROR(VLOOKUP(Opv.kohd.[[#This Row],[Y-tunnus]],#REF!,COLUMN(#REF!),FALSE),0)</f>
        <v>0</v>
      </c>
      <c r="I148" s="204">
        <f>IFERROR(VLOOKUP(Opv.kohd.[[#This Row],[Y-tunnus]],#REF!,COLUMN(#REF!),FALSE),0)</f>
        <v>0</v>
      </c>
      <c r="J148" s="204">
        <f>IFERROR(VLOOKUP(Opv.kohd.[[#This Row],[Y-tunnus]],#REF!,COLUMN(#REF!),FALSE),0)</f>
        <v>0</v>
      </c>
      <c r="K14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48" s="204">
        <f>Opv.kohd.[[#This Row],[Järjestämisluvan mukaiset 1]]+Opv.kohd.[[#This Row],[Yhteensä  1]]</f>
        <v>0</v>
      </c>
      <c r="M148" s="204">
        <f>IFERROR(VLOOKUP(Opv.kohd.[[#This Row],[Y-tunnus]],#REF!,COLUMN(#REF!),FALSE),0)</f>
        <v>0</v>
      </c>
      <c r="N148" s="204">
        <f>IFERROR(VLOOKUP(Opv.kohd.[[#This Row],[Y-tunnus]],#REF!,COLUMN(#REF!),FALSE),0)</f>
        <v>0</v>
      </c>
      <c r="O148" s="204">
        <f>IFERROR(VLOOKUP(Opv.kohd.[[#This Row],[Y-tunnus]],#REF!,COLUMN(#REF!),FALSE)+VLOOKUP(Opv.kohd.[[#This Row],[Y-tunnus]],#REF!,COLUMN(#REF!),FALSE),0)</f>
        <v>0</v>
      </c>
      <c r="P148" s="204">
        <f>Opv.kohd.[[#This Row],[Talousarvion perusteella kohdentamattomat]]+Opv.kohd.[[#This Row],[Talousarvion perusteella työvoimakoulutus 1]]+Opv.kohd.[[#This Row],[Lisätalousarvioiden perusteella]]</f>
        <v>0</v>
      </c>
      <c r="Q148" s="204">
        <f>IFERROR(VLOOKUP(Opv.kohd.[[#This Row],[Y-tunnus]],#REF!,COLUMN(#REF!),FALSE),0)</f>
        <v>0</v>
      </c>
      <c r="R148" s="210">
        <f>IFERROR(VLOOKUP(Opv.kohd.[[#This Row],[Y-tunnus]],#REF!,COLUMN(#REF!),FALSE)-(Opv.kohd.[[#This Row],[Kohdentamaton työvoima-koulutus 2]]+Opv.kohd.[[#This Row],[Maahan-muuttajien koulutus 2]]+Opv.kohd.[[#This Row],[Lisätalousarvioiden perusteella jaetut 2]]),0)</f>
        <v>0</v>
      </c>
      <c r="S148" s="210">
        <f>IFERROR(VLOOKUP(Opv.kohd.[[#This Row],[Y-tunnus]],#REF!,COLUMN(#REF!),FALSE)+VLOOKUP(Opv.kohd.[[#This Row],[Y-tunnus]],#REF!,COLUMN(#REF!),FALSE),0)</f>
        <v>0</v>
      </c>
      <c r="T148" s="210">
        <f>IFERROR(VLOOKUP(Opv.kohd.[[#This Row],[Y-tunnus]],#REF!,COLUMN(#REF!),FALSE)+VLOOKUP(Opv.kohd.[[#This Row],[Y-tunnus]],#REF!,COLUMN(#REF!),FALSE),0)</f>
        <v>0</v>
      </c>
      <c r="U14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48" s="210">
        <f>Opv.kohd.[[#This Row],[Kohdentamat-tomat 2]]+Opv.kohd.[[#This Row],[Kohdentamaton työvoima-koulutus 2]]+Opv.kohd.[[#This Row],[Maahan-muuttajien koulutus 2]]+Opv.kohd.[[#This Row],[Lisätalousarvioiden perusteella jaetut 2]]</f>
        <v>0</v>
      </c>
      <c r="W148" s="210">
        <f>Opv.kohd.[[#This Row],[Kohdentamat-tomat 2]]-(Opv.kohd.[[#This Row],[Järjestämisluvan mukaiset 1]]+Opv.kohd.[[#This Row],[Kohdentamat-tomat 1]]+Opv.kohd.[[#This Row],[Nuorisotyöt. väh. ja osaamistarp. vast., muu kuin työvoima-koulutus 1]]+Opv.kohd.[[#This Row],[Talousarvion perusteella kohdentamattomat]])</f>
        <v>0</v>
      </c>
      <c r="X148" s="210">
        <f>Opv.kohd.[[#This Row],[Kohdentamaton työvoima-koulutus 2]]-(Opv.kohd.[[#This Row],[Työvoima-koulutus 1]]+Opv.kohd.[[#This Row],[Nuorisotyöt. väh. ja osaamistarp. vast., työvoima-koulutus 1]]+Opv.kohd.[[#This Row],[Talousarvion perusteella työvoimakoulutus 1]])</f>
        <v>0</v>
      </c>
      <c r="Y148" s="210">
        <f>Opv.kohd.[[#This Row],[Maahan-muuttajien koulutus 2]]-Opv.kohd.[[#This Row],[Maahan-muuttajien koulutus 1]]</f>
        <v>0</v>
      </c>
      <c r="Z148" s="210">
        <f>Opv.kohd.[[#This Row],[Lisätalousarvioiden perusteella jaetut 2]]-Opv.kohd.[[#This Row],[Lisätalousarvioiden perusteella]]</f>
        <v>0</v>
      </c>
      <c r="AA148" s="210">
        <f>Opv.kohd.[[#This Row],[Toteutuneet opiskelijavuodet yhteensä 2]]-Opv.kohd.[[#This Row],[Vuoden 2018 tavoitteelliset opiskelijavuodet yhteensä 1]]</f>
        <v>0</v>
      </c>
      <c r="AB148" s="207">
        <f>IFERROR(VLOOKUP(Opv.kohd.[[#This Row],[Y-tunnus]],#REF!,3,FALSE),0)</f>
        <v>0</v>
      </c>
      <c r="AC148" s="207">
        <f>IFERROR(VLOOKUP(Opv.kohd.[[#This Row],[Y-tunnus]],#REF!,4,FALSE),0)</f>
        <v>0</v>
      </c>
      <c r="AD148" s="207">
        <f>IFERROR(VLOOKUP(Opv.kohd.[[#This Row],[Y-tunnus]],#REF!,5,FALSE),0)</f>
        <v>0</v>
      </c>
      <c r="AE148" s="207">
        <f>IFERROR(VLOOKUP(Opv.kohd.[[#This Row],[Y-tunnus]],#REF!,6,FALSE),0)</f>
        <v>0</v>
      </c>
      <c r="AF148" s="207">
        <f>IFERROR(VLOOKUP(Opv.kohd.[[#This Row],[Y-tunnus]],#REF!,7,FALSE),0)</f>
        <v>0</v>
      </c>
      <c r="AG148" s="207">
        <f>IFERROR(VLOOKUP(Opv.kohd.[[#This Row],[Y-tunnus]],#REF!,8,FALSE),0)</f>
        <v>0</v>
      </c>
      <c r="AH148" s="207">
        <f>IFERROR(VLOOKUP(Opv.kohd.[[#This Row],[Y-tunnus]],#REF!,9,FALSE),0)</f>
        <v>0</v>
      </c>
      <c r="AI148" s="207">
        <f>IFERROR(VLOOKUP(Opv.kohd.[[#This Row],[Y-tunnus]],#REF!,10,FALSE),0)</f>
        <v>0</v>
      </c>
      <c r="AJ148" s="204">
        <f>Opv.kohd.[[#This Row],[Järjestämisluvan mukaiset 4]]-Opv.kohd.[[#This Row],[Järjestämisluvan mukaiset 1]]</f>
        <v>0</v>
      </c>
      <c r="AK148" s="204">
        <f>Opv.kohd.[[#This Row],[Kohdentamat-tomat 4]]-Opv.kohd.[[#This Row],[Kohdentamat-tomat 1]]</f>
        <v>0</v>
      </c>
      <c r="AL148" s="204">
        <f>Opv.kohd.[[#This Row],[Työvoima-koulutus 4]]-Opv.kohd.[[#This Row],[Työvoima-koulutus 1]]</f>
        <v>0</v>
      </c>
      <c r="AM148" s="204">
        <f>Opv.kohd.[[#This Row],[Maahan-muuttajien koulutus 4]]-Opv.kohd.[[#This Row],[Maahan-muuttajien koulutus 1]]</f>
        <v>0</v>
      </c>
      <c r="AN148" s="204">
        <f>Opv.kohd.[[#This Row],[Nuorisotyöt. väh. ja osaamistarp. vast., muu kuin työvoima-koulutus 4]]-Opv.kohd.[[#This Row],[Nuorisotyöt. väh. ja osaamistarp. vast., muu kuin työvoima-koulutus 1]]</f>
        <v>0</v>
      </c>
      <c r="AO148" s="204">
        <f>Opv.kohd.[[#This Row],[Nuorisotyöt. väh. ja osaamistarp. vast., työvoima-koulutus 4]]-Opv.kohd.[[#This Row],[Nuorisotyöt. väh. ja osaamistarp. vast., työvoima-koulutus 1]]</f>
        <v>0</v>
      </c>
      <c r="AP148" s="204">
        <f>Opv.kohd.[[#This Row],[Yhteensä 4]]-Opv.kohd.[[#This Row],[Yhteensä  1]]</f>
        <v>0</v>
      </c>
      <c r="AQ148" s="204">
        <f>Opv.kohd.[[#This Row],[Ensikertaisella suoritepäätöksellä jaetut tavoitteelliset opiskelijavuodet yhteensä 4]]-Opv.kohd.[[#This Row],[Ensikertaisella suoritepäätöksellä jaetut tavoitteelliset opiskelijavuodet yhteensä 1]]</f>
        <v>0</v>
      </c>
      <c r="AR148" s="208">
        <f>IFERROR(Opv.kohd.[[#This Row],[Järjestämisluvan mukaiset 5]]/Opv.kohd.[[#This Row],[Järjestämisluvan mukaiset 4]],0)</f>
        <v>0</v>
      </c>
      <c r="AS148" s="208">
        <f>IFERROR(Opv.kohd.[[#This Row],[Kohdentamat-tomat 5]]/Opv.kohd.[[#This Row],[Kohdentamat-tomat 4]],0)</f>
        <v>0</v>
      </c>
      <c r="AT148" s="208">
        <f>IFERROR(Opv.kohd.[[#This Row],[Työvoima-koulutus 5]]/Opv.kohd.[[#This Row],[Työvoima-koulutus 4]],0)</f>
        <v>0</v>
      </c>
      <c r="AU148" s="208">
        <f>IFERROR(Opv.kohd.[[#This Row],[Maahan-muuttajien koulutus 5]]/Opv.kohd.[[#This Row],[Maahan-muuttajien koulutus 4]],0)</f>
        <v>0</v>
      </c>
      <c r="AV148" s="208">
        <f>IFERROR(Opv.kohd.[[#This Row],[Nuorisotyöt. väh. ja osaamistarp. vast., muu kuin työvoima-koulutus 5]]/Opv.kohd.[[#This Row],[Nuorisotyöt. väh. ja osaamistarp. vast., muu kuin työvoima-koulutus 4]],0)</f>
        <v>0</v>
      </c>
      <c r="AW148" s="208">
        <f>IFERROR(Opv.kohd.[[#This Row],[Nuorisotyöt. väh. ja osaamistarp. vast., työvoima-koulutus 5]]/Opv.kohd.[[#This Row],[Nuorisotyöt. väh. ja osaamistarp. vast., työvoima-koulutus 4]],0)</f>
        <v>0</v>
      </c>
      <c r="AX148" s="208">
        <f>IFERROR(Opv.kohd.[[#This Row],[Yhteensä 5]]/Opv.kohd.[[#This Row],[Yhteensä 4]],0)</f>
        <v>0</v>
      </c>
      <c r="AY148" s="208">
        <f>IFERROR(Opv.kohd.[[#This Row],[Ensikertaisella suoritepäätöksellä jaetut tavoitteelliset opiskelijavuodet yhteensä 5]]/Opv.kohd.[[#This Row],[Ensikertaisella suoritepäätöksellä jaetut tavoitteelliset opiskelijavuodet yhteensä 4]],0)</f>
        <v>0</v>
      </c>
      <c r="AZ148" s="207">
        <f>Opv.kohd.[[#This Row],[Yhteensä 7a]]-Opv.kohd.[[#This Row],[Työvoima-koulutus 7a]]</f>
        <v>0</v>
      </c>
      <c r="BA148" s="207">
        <f>IFERROR(VLOOKUP(Opv.kohd.[[#This Row],[Y-tunnus]],#REF!,COLUMN(#REF!),FALSE),0)</f>
        <v>0</v>
      </c>
      <c r="BB148" s="207">
        <f>IFERROR(VLOOKUP(Opv.kohd.[[#This Row],[Y-tunnus]],#REF!,COLUMN(#REF!),FALSE),0)</f>
        <v>0</v>
      </c>
      <c r="BC148" s="207">
        <f>Opv.kohd.[[#This Row],[Muu kuin työvoima-koulutus 7c]]-Opv.kohd.[[#This Row],[Muu kuin työvoima-koulutus 7a]]</f>
        <v>0</v>
      </c>
      <c r="BD148" s="207">
        <f>Opv.kohd.[[#This Row],[Työvoima-koulutus 7c]]-Opv.kohd.[[#This Row],[Työvoima-koulutus 7a]]</f>
        <v>0</v>
      </c>
      <c r="BE148" s="207">
        <f>Opv.kohd.[[#This Row],[Yhteensä 7c]]-Opv.kohd.[[#This Row],[Yhteensä 7a]]</f>
        <v>0</v>
      </c>
      <c r="BF148" s="207">
        <f>Opv.kohd.[[#This Row],[Yhteensä 7c]]-Opv.kohd.[[#This Row],[Työvoima-koulutus 7c]]</f>
        <v>0</v>
      </c>
      <c r="BG148" s="207">
        <f>IFERROR(VLOOKUP(Opv.kohd.[[#This Row],[Y-tunnus]],#REF!,COLUMN(#REF!),FALSE),0)</f>
        <v>0</v>
      </c>
      <c r="BH148" s="207">
        <f>IFERROR(VLOOKUP(Opv.kohd.[[#This Row],[Y-tunnus]],#REF!,COLUMN(#REF!),FALSE),0)</f>
        <v>0</v>
      </c>
      <c r="BI148" s="207">
        <f>IFERROR(VLOOKUP(Opv.kohd.[[#This Row],[Y-tunnus]],#REF!,COLUMN(#REF!),FALSE),0)</f>
        <v>0</v>
      </c>
      <c r="BJ148" s="207">
        <f>IFERROR(VLOOKUP(Opv.kohd.[[#This Row],[Y-tunnus]],#REF!,COLUMN(#REF!),FALSE),0)</f>
        <v>0</v>
      </c>
      <c r="BK148" s="207">
        <f>Opv.kohd.[[#This Row],[Muu kuin työvoima-koulutus 7d]]+Opv.kohd.[[#This Row],[Työvoima-koulutus 7d]]</f>
        <v>0</v>
      </c>
      <c r="BL148" s="207">
        <f>Opv.kohd.[[#This Row],[Muu kuin työvoima-koulutus 7c]]-Opv.kohd.[[#This Row],[Muu kuin työvoima-koulutus 7d]]</f>
        <v>0</v>
      </c>
      <c r="BM148" s="207">
        <f>Opv.kohd.[[#This Row],[Työvoima-koulutus 7c]]-Opv.kohd.[[#This Row],[Työvoima-koulutus 7d]]</f>
        <v>0</v>
      </c>
      <c r="BN148" s="207">
        <f>Opv.kohd.[[#This Row],[Yhteensä 7c]]-Opv.kohd.[[#This Row],[Yhteensä 7d]]</f>
        <v>0</v>
      </c>
      <c r="BO148" s="207">
        <f>Opv.kohd.[[#This Row],[Muu kuin työvoima-koulutus 7e]]-(Opv.kohd.[[#This Row],[Järjestämisluvan mukaiset 4]]+Opv.kohd.[[#This Row],[Kohdentamat-tomat 4]]+Opv.kohd.[[#This Row],[Maahan-muuttajien koulutus 4]]+Opv.kohd.[[#This Row],[Nuorisotyöt. väh. ja osaamistarp. vast., muu kuin työvoima-koulutus 4]])</f>
        <v>0</v>
      </c>
      <c r="BP148" s="207">
        <f>Opv.kohd.[[#This Row],[Työvoima-koulutus 7e]]-(Opv.kohd.[[#This Row],[Työvoima-koulutus 4]]+Opv.kohd.[[#This Row],[Nuorisotyöt. väh. ja osaamistarp. vast., työvoima-koulutus 4]])</f>
        <v>0</v>
      </c>
      <c r="BQ148" s="207">
        <f>Opv.kohd.[[#This Row],[Yhteensä 7e]]-Opv.kohd.[[#This Row],[Ensikertaisella suoritepäätöksellä jaetut tavoitteelliset opiskelijavuodet yhteensä 4]]</f>
        <v>0</v>
      </c>
      <c r="BR148" s="263">
        <v>4466</v>
      </c>
      <c r="BS148" s="263">
        <v>292</v>
      </c>
      <c r="BT148" s="263">
        <v>200</v>
      </c>
      <c r="BU148" s="263">
        <v>70</v>
      </c>
      <c r="BV148" s="263">
        <v>61</v>
      </c>
      <c r="BW148" s="263">
        <v>100</v>
      </c>
      <c r="BX148" s="263">
        <v>723</v>
      </c>
      <c r="BY148" s="263">
        <v>5189</v>
      </c>
      <c r="BZ148" s="207">
        <f t="shared" si="32"/>
        <v>4466</v>
      </c>
      <c r="CA148" s="207">
        <f t="shared" si="33"/>
        <v>292</v>
      </c>
      <c r="CB148" s="207">
        <f t="shared" si="34"/>
        <v>200</v>
      </c>
      <c r="CC148" s="207">
        <f t="shared" si="35"/>
        <v>70</v>
      </c>
      <c r="CD148" s="207">
        <f t="shared" si="36"/>
        <v>61</v>
      </c>
      <c r="CE148" s="207">
        <f t="shared" si="37"/>
        <v>100</v>
      </c>
      <c r="CF148" s="207">
        <f t="shared" si="38"/>
        <v>723</v>
      </c>
      <c r="CG148" s="207">
        <f t="shared" si="39"/>
        <v>5189</v>
      </c>
      <c r="CH148" s="207">
        <f>Opv.kohd.[[#This Row],[Tavoitteelliset opiskelijavuodet yhteensä 9]]-Opv.kohd.[[#This Row],[Työvoima-koulutus 9]]-Opv.kohd.[[#This Row],[Nuorisotyöt. väh. ja osaamistarp. vast., työvoima-koulutus 9]]-Opv.kohd.[[#This Row],[Muu kuin työvoima-koulutus 7e]]</f>
        <v>4889</v>
      </c>
      <c r="CI148" s="207">
        <f>(Opv.kohd.[[#This Row],[Työvoima-koulutus 9]]+Opv.kohd.[[#This Row],[Nuorisotyöt. väh. ja osaamistarp. vast., työvoima-koulutus 9]])-Opv.kohd.[[#This Row],[Työvoima-koulutus 7e]]</f>
        <v>300</v>
      </c>
      <c r="CJ148" s="207">
        <f>Opv.kohd.[[#This Row],[Tavoitteelliset opiskelijavuodet yhteensä 9]]-Opv.kohd.[[#This Row],[Yhteensä 7e]]</f>
        <v>5189</v>
      </c>
      <c r="CK148" s="207">
        <f>Opv.kohd.[[#This Row],[Järjestämisluvan mukaiset 4]]+Opv.kohd.[[#This Row],[Järjestämisluvan mukaiset 13]]</f>
        <v>0</v>
      </c>
      <c r="CL148" s="207">
        <f>Opv.kohd.[[#This Row],[Kohdentamat-tomat 4]]+Opv.kohd.[[#This Row],[Kohdentamat-tomat 13]]</f>
        <v>0</v>
      </c>
      <c r="CM148" s="207">
        <f>Opv.kohd.[[#This Row],[Työvoima-koulutus 4]]+Opv.kohd.[[#This Row],[Työvoima-koulutus 13]]</f>
        <v>0</v>
      </c>
      <c r="CN148" s="207">
        <f>Opv.kohd.[[#This Row],[Maahan-muuttajien koulutus 4]]+Opv.kohd.[[#This Row],[Maahan-muuttajien koulutus 13]]</f>
        <v>0</v>
      </c>
      <c r="CO148" s="207">
        <f>Opv.kohd.[[#This Row],[Nuorisotyöt. väh. ja osaamistarp. vast., muu kuin työvoima-koulutus 4]]+Opv.kohd.[[#This Row],[Nuorisotyöt. väh. ja osaamistarp. vast., muu kuin työvoima-koulutus 13]]</f>
        <v>0</v>
      </c>
      <c r="CP148" s="207">
        <f>Opv.kohd.[[#This Row],[Nuorisotyöt. väh. ja osaamistarp. vast., työvoima-koulutus 4]]+Opv.kohd.[[#This Row],[Nuorisotyöt. väh. ja osaamistarp. vast., työvoima-koulutus 13]]</f>
        <v>0</v>
      </c>
      <c r="CQ148" s="207">
        <f>Opv.kohd.[[#This Row],[Yhteensä 4]]+Opv.kohd.[[#This Row],[Yhteensä 13]]</f>
        <v>0</v>
      </c>
      <c r="CR148" s="207">
        <f>Opv.kohd.[[#This Row],[Ensikertaisella suoritepäätöksellä jaetut tavoitteelliset opiskelijavuodet yhteensä 4]]+Opv.kohd.[[#This Row],[Tavoitteelliset opiskelijavuodet yhteensä 13]]</f>
        <v>0</v>
      </c>
      <c r="CS148" s="120">
        <v>0</v>
      </c>
      <c r="CT148" s="120">
        <v>0</v>
      </c>
      <c r="CU148" s="120">
        <v>0</v>
      </c>
      <c r="CV148" s="120">
        <v>0</v>
      </c>
      <c r="CW148" s="120">
        <v>0</v>
      </c>
      <c r="CX148" s="120">
        <v>0</v>
      </c>
      <c r="CY148" s="120">
        <v>0</v>
      </c>
      <c r="CZ148" s="120">
        <v>0</v>
      </c>
      <c r="DA148" s="209">
        <f>IFERROR(Opv.kohd.[[#This Row],[Järjestämisluvan mukaiset 13]]/Opv.kohd.[[#This Row],[Järjestämisluvan mukaiset 12]],0)</f>
        <v>0</v>
      </c>
      <c r="DB148" s="209">
        <f>IFERROR(Opv.kohd.[[#This Row],[Kohdentamat-tomat 13]]/Opv.kohd.[[#This Row],[Kohdentamat-tomat 12]],0)</f>
        <v>0</v>
      </c>
      <c r="DC148" s="209">
        <f>IFERROR(Opv.kohd.[[#This Row],[Työvoima-koulutus 13]]/Opv.kohd.[[#This Row],[Työvoima-koulutus 12]],0)</f>
        <v>0</v>
      </c>
      <c r="DD148" s="209">
        <f>IFERROR(Opv.kohd.[[#This Row],[Maahan-muuttajien koulutus 13]]/Opv.kohd.[[#This Row],[Maahan-muuttajien koulutus 12]],0)</f>
        <v>0</v>
      </c>
      <c r="DE148" s="209">
        <f>IFERROR(Opv.kohd.[[#This Row],[Nuorisotyöt. väh. ja osaamistarp. vast., muu kuin työvoima-koulutus 13]]/Opv.kohd.[[#This Row],[Nuorisotyöt. väh. ja osaamistarp. vast., muu kuin työvoima-koulutus 12]],0)</f>
        <v>0</v>
      </c>
      <c r="DF148" s="209">
        <f>IFERROR(Opv.kohd.[[#This Row],[Nuorisotyöt. väh. ja osaamistarp. vast., työvoima-koulutus 13]]/Opv.kohd.[[#This Row],[Nuorisotyöt. väh. ja osaamistarp. vast., työvoima-koulutus 12]],0)</f>
        <v>0</v>
      </c>
      <c r="DG148" s="209">
        <f>IFERROR(Opv.kohd.[[#This Row],[Yhteensä 13]]/Opv.kohd.[[#This Row],[Yhteensä 12]],0)</f>
        <v>0</v>
      </c>
      <c r="DH148" s="209">
        <f>IFERROR(Opv.kohd.[[#This Row],[Tavoitteelliset opiskelijavuodet yhteensä 13]]/Opv.kohd.[[#This Row],[Tavoitteelliset opiskelijavuodet yhteensä 12]],0)</f>
        <v>0</v>
      </c>
      <c r="DI148" s="207">
        <f>Opv.kohd.[[#This Row],[Järjestämisluvan mukaiset 12]]-Opv.kohd.[[#This Row],[Järjestämisluvan mukaiset 9]]</f>
        <v>-4466</v>
      </c>
      <c r="DJ148" s="207">
        <f>Opv.kohd.[[#This Row],[Kohdentamat-tomat 12]]-Opv.kohd.[[#This Row],[Kohdentamat-tomat 9]]</f>
        <v>-292</v>
      </c>
      <c r="DK148" s="207">
        <f>Opv.kohd.[[#This Row],[Työvoima-koulutus 12]]-Opv.kohd.[[#This Row],[Työvoima-koulutus 9]]</f>
        <v>-200</v>
      </c>
      <c r="DL148" s="207">
        <f>Opv.kohd.[[#This Row],[Maahan-muuttajien koulutus 12]]-Opv.kohd.[[#This Row],[Maahan-muuttajien koulutus 9]]</f>
        <v>-70</v>
      </c>
      <c r="DM148" s="207">
        <f>Opv.kohd.[[#This Row],[Nuorisotyöt. väh. ja osaamistarp. vast., muu kuin työvoima-koulutus 12]]-Opv.kohd.[[#This Row],[Nuorisotyöt. väh. ja osaamistarp. vast., muu kuin työvoima-koulutus 9]]</f>
        <v>-61</v>
      </c>
      <c r="DN148" s="207">
        <f>Opv.kohd.[[#This Row],[Nuorisotyöt. väh. ja osaamistarp. vast., työvoima-koulutus 12]]-Opv.kohd.[[#This Row],[Nuorisotyöt. väh. ja osaamistarp. vast., työvoima-koulutus 9]]</f>
        <v>-100</v>
      </c>
      <c r="DO148" s="207">
        <f>Opv.kohd.[[#This Row],[Yhteensä 12]]-Opv.kohd.[[#This Row],[Yhteensä 9]]</f>
        <v>-723</v>
      </c>
      <c r="DP148" s="207">
        <f>Opv.kohd.[[#This Row],[Tavoitteelliset opiskelijavuodet yhteensä 12]]-Opv.kohd.[[#This Row],[Tavoitteelliset opiskelijavuodet yhteensä 9]]</f>
        <v>-5189</v>
      </c>
      <c r="DQ148" s="209">
        <f>IFERROR(Opv.kohd.[[#This Row],[Järjestämisluvan mukaiset 15]]/Opv.kohd.[[#This Row],[Järjestämisluvan mukaiset 9]],0)</f>
        <v>-1</v>
      </c>
      <c r="DR148" s="209">
        <f t="shared" si="40"/>
        <v>0</v>
      </c>
      <c r="DS148" s="209">
        <f t="shared" si="41"/>
        <v>0</v>
      </c>
      <c r="DT148" s="209">
        <f t="shared" si="42"/>
        <v>0</v>
      </c>
      <c r="DU148" s="209">
        <f t="shared" si="43"/>
        <v>0</v>
      </c>
      <c r="DV148" s="209">
        <f t="shared" si="44"/>
        <v>0</v>
      </c>
      <c r="DW148" s="209">
        <f t="shared" si="45"/>
        <v>0</v>
      </c>
      <c r="DX148" s="209">
        <f t="shared" si="46"/>
        <v>0</v>
      </c>
    </row>
    <row r="149" spans="1:128" x14ac:dyDescent="0.25">
      <c r="A149" s="204" t="e">
        <f>IF(INDEX(#REF!,ROW(149:149)-1,1)=0,"",INDEX(#REF!,ROW(149:149)-1,1))</f>
        <v>#REF!</v>
      </c>
      <c r="B149" s="205" t="str">
        <f>IFERROR(VLOOKUP(Opv.kohd.[[#This Row],[Y-tunnus]],'0 Järjestäjätiedot'!$A:$H,2,FALSE),"")</f>
        <v/>
      </c>
      <c r="C149" s="204" t="str">
        <f>IFERROR(VLOOKUP(Opv.kohd.[[#This Row],[Y-tunnus]],'0 Järjestäjätiedot'!$A:$H,COLUMN('0 Järjestäjätiedot'!D:D),FALSE),"")</f>
        <v/>
      </c>
      <c r="D149" s="204" t="str">
        <f>IFERROR(VLOOKUP(Opv.kohd.[[#This Row],[Y-tunnus]],'0 Järjestäjätiedot'!$A:$H,COLUMN('0 Järjestäjätiedot'!H:H),FALSE),"")</f>
        <v/>
      </c>
      <c r="E149" s="204">
        <f>IFERROR(VLOOKUP(Opv.kohd.[[#This Row],[Y-tunnus]],#REF!,COLUMN(#REF!),FALSE),0)</f>
        <v>0</v>
      </c>
      <c r="F149" s="204">
        <f>IFERROR(VLOOKUP(Opv.kohd.[[#This Row],[Y-tunnus]],#REF!,COLUMN(#REF!),FALSE),0)</f>
        <v>0</v>
      </c>
      <c r="G149" s="204">
        <f>IFERROR(VLOOKUP(Opv.kohd.[[#This Row],[Y-tunnus]],#REF!,COLUMN(#REF!),FALSE),0)</f>
        <v>0</v>
      </c>
      <c r="H149" s="204">
        <f>IFERROR(VLOOKUP(Opv.kohd.[[#This Row],[Y-tunnus]],#REF!,COLUMN(#REF!),FALSE),0)</f>
        <v>0</v>
      </c>
      <c r="I149" s="204">
        <f>IFERROR(VLOOKUP(Opv.kohd.[[#This Row],[Y-tunnus]],#REF!,COLUMN(#REF!),FALSE),0)</f>
        <v>0</v>
      </c>
      <c r="J149" s="204">
        <f>IFERROR(VLOOKUP(Opv.kohd.[[#This Row],[Y-tunnus]],#REF!,COLUMN(#REF!),FALSE),0)</f>
        <v>0</v>
      </c>
      <c r="K14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49" s="204">
        <f>Opv.kohd.[[#This Row],[Järjestämisluvan mukaiset 1]]+Opv.kohd.[[#This Row],[Yhteensä  1]]</f>
        <v>0</v>
      </c>
      <c r="M149" s="204">
        <f>IFERROR(VLOOKUP(Opv.kohd.[[#This Row],[Y-tunnus]],#REF!,COLUMN(#REF!),FALSE),0)</f>
        <v>0</v>
      </c>
      <c r="N149" s="204">
        <f>IFERROR(VLOOKUP(Opv.kohd.[[#This Row],[Y-tunnus]],#REF!,COLUMN(#REF!),FALSE),0)</f>
        <v>0</v>
      </c>
      <c r="O149" s="204">
        <f>IFERROR(VLOOKUP(Opv.kohd.[[#This Row],[Y-tunnus]],#REF!,COLUMN(#REF!),FALSE)+VLOOKUP(Opv.kohd.[[#This Row],[Y-tunnus]],#REF!,COLUMN(#REF!),FALSE),0)</f>
        <v>0</v>
      </c>
      <c r="P149" s="204">
        <f>Opv.kohd.[[#This Row],[Talousarvion perusteella kohdentamattomat]]+Opv.kohd.[[#This Row],[Talousarvion perusteella työvoimakoulutus 1]]+Opv.kohd.[[#This Row],[Lisätalousarvioiden perusteella]]</f>
        <v>0</v>
      </c>
      <c r="Q149" s="204">
        <f>IFERROR(VLOOKUP(Opv.kohd.[[#This Row],[Y-tunnus]],#REF!,COLUMN(#REF!),FALSE),0)</f>
        <v>0</v>
      </c>
      <c r="R149" s="210">
        <f>IFERROR(VLOOKUP(Opv.kohd.[[#This Row],[Y-tunnus]],#REF!,COLUMN(#REF!),FALSE)-(Opv.kohd.[[#This Row],[Kohdentamaton työvoima-koulutus 2]]+Opv.kohd.[[#This Row],[Maahan-muuttajien koulutus 2]]+Opv.kohd.[[#This Row],[Lisätalousarvioiden perusteella jaetut 2]]),0)</f>
        <v>0</v>
      </c>
      <c r="S149" s="210">
        <f>IFERROR(VLOOKUP(Opv.kohd.[[#This Row],[Y-tunnus]],#REF!,COLUMN(#REF!),FALSE)+VLOOKUP(Opv.kohd.[[#This Row],[Y-tunnus]],#REF!,COLUMN(#REF!),FALSE),0)</f>
        <v>0</v>
      </c>
      <c r="T149" s="210">
        <f>IFERROR(VLOOKUP(Opv.kohd.[[#This Row],[Y-tunnus]],#REF!,COLUMN(#REF!),FALSE)+VLOOKUP(Opv.kohd.[[#This Row],[Y-tunnus]],#REF!,COLUMN(#REF!),FALSE),0)</f>
        <v>0</v>
      </c>
      <c r="U14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49" s="210">
        <f>Opv.kohd.[[#This Row],[Kohdentamat-tomat 2]]+Opv.kohd.[[#This Row],[Kohdentamaton työvoima-koulutus 2]]+Opv.kohd.[[#This Row],[Maahan-muuttajien koulutus 2]]+Opv.kohd.[[#This Row],[Lisätalousarvioiden perusteella jaetut 2]]</f>
        <v>0</v>
      </c>
      <c r="W149" s="210">
        <f>Opv.kohd.[[#This Row],[Kohdentamat-tomat 2]]-(Opv.kohd.[[#This Row],[Järjestämisluvan mukaiset 1]]+Opv.kohd.[[#This Row],[Kohdentamat-tomat 1]]+Opv.kohd.[[#This Row],[Nuorisotyöt. väh. ja osaamistarp. vast., muu kuin työvoima-koulutus 1]]+Opv.kohd.[[#This Row],[Talousarvion perusteella kohdentamattomat]])</f>
        <v>0</v>
      </c>
      <c r="X149" s="210">
        <f>Opv.kohd.[[#This Row],[Kohdentamaton työvoima-koulutus 2]]-(Opv.kohd.[[#This Row],[Työvoima-koulutus 1]]+Opv.kohd.[[#This Row],[Nuorisotyöt. väh. ja osaamistarp. vast., työvoima-koulutus 1]]+Opv.kohd.[[#This Row],[Talousarvion perusteella työvoimakoulutus 1]])</f>
        <v>0</v>
      </c>
      <c r="Y149" s="210">
        <f>Opv.kohd.[[#This Row],[Maahan-muuttajien koulutus 2]]-Opv.kohd.[[#This Row],[Maahan-muuttajien koulutus 1]]</f>
        <v>0</v>
      </c>
      <c r="Z149" s="210">
        <f>Opv.kohd.[[#This Row],[Lisätalousarvioiden perusteella jaetut 2]]-Opv.kohd.[[#This Row],[Lisätalousarvioiden perusteella]]</f>
        <v>0</v>
      </c>
      <c r="AA149" s="210">
        <f>Opv.kohd.[[#This Row],[Toteutuneet opiskelijavuodet yhteensä 2]]-Opv.kohd.[[#This Row],[Vuoden 2018 tavoitteelliset opiskelijavuodet yhteensä 1]]</f>
        <v>0</v>
      </c>
      <c r="AB149" s="207">
        <f>IFERROR(VLOOKUP(Opv.kohd.[[#This Row],[Y-tunnus]],#REF!,3,FALSE),0)</f>
        <v>0</v>
      </c>
      <c r="AC149" s="207">
        <f>IFERROR(VLOOKUP(Opv.kohd.[[#This Row],[Y-tunnus]],#REF!,4,FALSE),0)</f>
        <v>0</v>
      </c>
      <c r="AD149" s="207">
        <f>IFERROR(VLOOKUP(Opv.kohd.[[#This Row],[Y-tunnus]],#REF!,5,FALSE),0)</f>
        <v>0</v>
      </c>
      <c r="AE149" s="207">
        <f>IFERROR(VLOOKUP(Opv.kohd.[[#This Row],[Y-tunnus]],#REF!,6,FALSE),0)</f>
        <v>0</v>
      </c>
      <c r="AF149" s="207">
        <f>IFERROR(VLOOKUP(Opv.kohd.[[#This Row],[Y-tunnus]],#REF!,7,FALSE),0)</f>
        <v>0</v>
      </c>
      <c r="AG149" s="207">
        <f>IFERROR(VLOOKUP(Opv.kohd.[[#This Row],[Y-tunnus]],#REF!,8,FALSE),0)</f>
        <v>0</v>
      </c>
      <c r="AH149" s="207">
        <f>IFERROR(VLOOKUP(Opv.kohd.[[#This Row],[Y-tunnus]],#REF!,9,FALSE),0)</f>
        <v>0</v>
      </c>
      <c r="AI149" s="207">
        <f>IFERROR(VLOOKUP(Opv.kohd.[[#This Row],[Y-tunnus]],#REF!,10,FALSE),0)</f>
        <v>0</v>
      </c>
      <c r="AJ149" s="204">
        <f>Opv.kohd.[[#This Row],[Järjestämisluvan mukaiset 4]]-Opv.kohd.[[#This Row],[Järjestämisluvan mukaiset 1]]</f>
        <v>0</v>
      </c>
      <c r="AK149" s="204">
        <f>Opv.kohd.[[#This Row],[Kohdentamat-tomat 4]]-Opv.kohd.[[#This Row],[Kohdentamat-tomat 1]]</f>
        <v>0</v>
      </c>
      <c r="AL149" s="204">
        <f>Opv.kohd.[[#This Row],[Työvoima-koulutus 4]]-Opv.kohd.[[#This Row],[Työvoima-koulutus 1]]</f>
        <v>0</v>
      </c>
      <c r="AM149" s="204">
        <f>Opv.kohd.[[#This Row],[Maahan-muuttajien koulutus 4]]-Opv.kohd.[[#This Row],[Maahan-muuttajien koulutus 1]]</f>
        <v>0</v>
      </c>
      <c r="AN149" s="204">
        <f>Opv.kohd.[[#This Row],[Nuorisotyöt. väh. ja osaamistarp. vast., muu kuin työvoima-koulutus 4]]-Opv.kohd.[[#This Row],[Nuorisotyöt. väh. ja osaamistarp. vast., muu kuin työvoima-koulutus 1]]</f>
        <v>0</v>
      </c>
      <c r="AO149" s="204">
        <f>Opv.kohd.[[#This Row],[Nuorisotyöt. väh. ja osaamistarp. vast., työvoima-koulutus 4]]-Opv.kohd.[[#This Row],[Nuorisotyöt. väh. ja osaamistarp. vast., työvoima-koulutus 1]]</f>
        <v>0</v>
      </c>
      <c r="AP149" s="204">
        <f>Opv.kohd.[[#This Row],[Yhteensä 4]]-Opv.kohd.[[#This Row],[Yhteensä  1]]</f>
        <v>0</v>
      </c>
      <c r="AQ149" s="204">
        <f>Opv.kohd.[[#This Row],[Ensikertaisella suoritepäätöksellä jaetut tavoitteelliset opiskelijavuodet yhteensä 4]]-Opv.kohd.[[#This Row],[Ensikertaisella suoritepäätöksellä jaetut tavoitteelliset opiskelijavuodet yhteensä 1]]</f>
        <v>0</v>
      </c>
      <c r="AR149" s="208">
        <f>IFERROR(Opv.kohd.[[#This Row],[Järjestämisluvan mukaiset 5]]/Opv.kohd.[[#This Row],[Järjestämisluvan mukaiset 4]],0)</f>
        <v>0</v>
      </c>
      <c r="AS149" s="208">
        <f>IFERROR(Opv.kohd.[[#This Row],[Kohdentamat-tomat 5]]/Opv.kohd.[[#This Row],[Kohdentamat-tomat 4]],0)</f>
        <v>0</v>
      </c>
      <c r="AT149" s="208">
        <f>IFERROR(Opv.kohd.[[#This Row],[Työvoima-koulutus 5]]/Opv.kohd.[[#This Row],[Työvoima-koulutus 4]],0)</f>
        <v>0</v>
      </c>
      <c r="AU149" s="208">
        <f>IFERROR(Opv.kohd.[[#This Row],[Maahan-muuttajien koulutus 5]]/Opv.kohd.[[#This Row],[Maahan-muuttajien koulutus 4]],0)</f>
        <v>0</v>
      </c>
      <c r="AV149" s="208">
        <f>IFERROR(Opv.kohd.[[#This Row],[Nuorisotyöt. väh. ja osaamistarp. vast., muu kuin työvoima-koulutus 5]]/Opv.kohd.[[#This Row],[Nuorisotyöt. väh. ja osaamistarp. vast., muu kuin työvoima-koulutus 4]],0)</f>
        <v>0</v>
      </c>
      <c r="AW149" s="208">
        <f>IFERROR(Opv.kohd.[[#This Row],[Nuorisotyöt. väh. ja osaamistarp. vast., työvoima-koulutus 5]]/Opv.kohd.[[#This Row],[Nuorisotyöt. väh. ja osaamistarp. vast., työvoima-koulutus 4]],0)</f>
        <v>0</v>
      </c>
      <c r="AX149" s="208">
        <f>IFERROR(Opv.kohd.[[#This Row],[Yhteensä 5]]/Opv.kohd.[[#This Row],[Yhteensä 4]],0)</f>
        <v>0</v>
      </c>
      <c r="AY149" s="208">
        <f>IFERROR(Opv.kohd.[[#This Row],[Ensikertaisella suoritepäätöksellä jaetut tavoitteelliset opiskelijavuodet yhteensä 5]]/Opv.kohd.[[#This Row],[Ensikertaisella suoritepäätöksellä jaetut tavoitteelliset opiskelijavuodet yhteensä 4]],0)</f>
        <v>0</v>
      </c>
      <c r="AZ149" s="207">
        <f>Opv.kohd.[[#This Row],[Yhteensä 7a]]-Opv.kohd.[[#This Row],[Työvoima-koulutus 7a]]</f>
        <v>0</v>
      </c>
      <c r="BA149" s="207">
        <f>IFERROR(VLOOKUP(Opv.kohd.[[#This Row],[Y-tunnus]],#REF!,COLUMN(#REF!),FALSE),0)</f>
        <v>0</v>
      </c>
      <c r="BB149" s="207">
        <f>IFERROR(VLOOKUP(Opv.kohd.[[#This Row],[Y-tunnus]],#REF!,COLUMN(#REF!),FALSE),0)</f>
        <v>0</v>
      </c>
      <c r="BC149" s="207">
        <f>Opv.kohd.[[#This Row],[Muu kuin työvoima-koulutus 7c]]-Opv.kohd.[[#This Row],[Muu kuin työvoima-koulutus 7a]]</f>
        <v>0</v>
      </c>
      <c r="BD149" s="207">
        <f>Opv.kohd.[[#This Row],[Työvoima-koulutus 7c]]-Opv.kohd.[[#This Row],[Työvoima-koulutus 7a]]</f>
        <v>0</v>
      </c>
      <c r="BE149" s="207">
        <f>Opv.kohd.[[#This Row],[Yhteensä 7c]]-Opv.kohd.[[#This Row],[Yhteensä 7a]]</f>
        <v>0</v>
      </c>
      <c r="BF149" s="207">
        <f>Opv.kohd.[[#This Row],[Yhteensä 7c]]-Opv.kohd.[[#This Row],[Työvoima-koulutus 7c]]</f>
        <v>0</v>
      </c>
      <c r="BG149" s="207">
        <f>IFERROR(VLOOKUP(Opv.kohd.[[#This Row],[Y-tunnus]],#REF!,COLUMN(#REF!),FALSE),0)</f>
        <v>0</v>
      </c>
      <c r="BH149" s="207">
        <f>IFERROR(VLOOKUP(Opv.kohd.[[#This Row],[Y-tunnus]],#REF!,COLUMN(#REF!),FALSE),0)</f>
        <v>0</v>
      </c>
      <c r="BI149" s="207">
        <f>IFERROR(VLOOKUP(Opv.kohd.[[#This Row],[Y-tunnus]],#REF!,COLUMN(#REF!),FALSE),0)</f>
        <v>0</v>
      </c>
      <c r="BJ149" s="207">
        <f>IFERROR(VLOOKUP(Opv.kohd.[[#This Row],[Y-tunnus]],#REF!,COLUMN(#REF!),FALSE),0)</f>
        <v>0</v>
      </c>
      <c r="BK149" s="207">
        <f>Opv.kohd.[[#This Row],[Muu kuin työvoima-koulutus 7d]]+Opv.kohd.[[#This Row],[Työvoima-koulutus 7d]]</f>
        <v>0</v>
      </c>
      <c r="BL149" s="207">
        <f>Opv.kohd.[[#This Row],[Muu kuin työvoima-koulutus 7c]]-Opv.kohd.[[#This Row],[Muu kuin työvoima-koulutus 7d]]</f>
        <v>0</v>
      </c>
      <c r="BM149" s="207">
        <f>Opv.kohd.[[#This Row],[Työvoima-koulutus 7c]]-Opv.kohd.[[#This Row],[Työvoima-koulutus 7d]]</f>
        <v>0</v>
      </c>
      <c r="BN149" s="207">
        <f>Opv.kohd.[[#This Row],[Yhteensä 7c]]-Opv.kohd.[[#This Row],[Yhteensä 7d]]</f>
        <v>0</v>
      </c>
      <c r="BO149" s="207">
        <f>Opv.kohd.[[#This Row],[Muu kuin työvoima-koulutus 7e]]-(Opv.kohd.[[#This Row],[Järjestämisluvan mukaiset 4]]+Opv.kohd.[[#This Row],[Kohdentamat-tomat 4]]+Opv.kohd.[[#This Row],[Maahan-muuttajien koulutus 4]]+Opv.kohd.[[#This Row],[Nuorisotyöt. väh. ja osaamistarp. vast., muu kuin työvoima-koulutus 4]])</f>
        <v>0</v>
      </c>
      <c r="BP149" s="207">
        <f>Opv.kohd.[[#This Row],[Työvoima-koulutus 7e]]-(Opv.kohd.[[#This Row],[Työvoima-koulutus 4]]+Opv.kohd.[[#This Row],[Nuorisotyöt. väh. ja osaamistarp. vast., työvoima-koulutus 4]])</f>
        <v>0</v>
      </c>
      <c r="BQ149" s="207">
        <f>Opv.kohd.[[#This Row],[Yhteensä 7e]]-Opv.kohd.[[#This Row],[Ensikertaisella suoritepäätöksellä jaetut tavoitteelliset opiskelijavuodet yhteensä 4]]</f>
        <v>0</v>
      </c>
      <c r="BR149" s="263">
        <v>79</v>
      </c>
      <c r="BS149" s="263">
        <v>5</v>
      </c>
      <c r="BT149" s="263">
        <v>0</v>
      </c>
      <c r="BU149" s="263">
        <v>0</v>
      </c>
      <c r="BV149" s="263">
        <v>0</v>
      </c>
      <c r="BW149" s="263">
        <v>0</v>
      </c>
      <c r="BX149" s="263">
        <v>5</v>
      </c>
      <c r="BY149" s="263">
        <v>84</v>
      </c>
      <c r="BZ149" s="207">
        <f t="shared" si="32"/>
        <v>79</v>
      </c>
      <c r="CA149" s="207">
        <f t="shared" si="33"/>
        <v>5</v>
      </c>
      <c r="CB149" s="207">
        <f t="shared" si="34"/>
        <v>0</v>
      </c>
      <c r="CC149" s="207">
        <f t="shared" si="35"/>
        <v>0</v>
      </c>
      <c r="CD149" s="207">
        <f t="shared" si="36"/>
        <v>0</v>
      </c>
      <c r="CE149" s="207">
        <f t="shared" si="37"/>
        <v>0</v>
      </c>
      <c r="CF149" s="207">
        <f t="shared" si="38"/>
        <v>5</v>
      </c>
      <c r="CG149" s="207">
        <f t="shared" si="39"/>
        <v>84</v>
      </c>
      <c r="CH149" s="207">
        <f>Opv.kohd.[[#This Row],[Tavoitteelliset opiskelijavuodet yhteensä 9]]-Opv.kohd.[[#This Row],[Työvoima-koulutus 9]]-Opv.kohd.[[#This Row],[Nuorisotyöt. väh. ja osaamistarp. vast., työvoima-koulutus 9]]-Opv.kohd.[[#This Row],[Muu kuin työvoima-koulutus 7e]]</f>
        <v>84</v>
      </c>
      <c r="CI149" s="207">
        <f>(Opv.kohd.[[#This Row],[Työvoima-koulutus 9]]+Opv.kohd.[[#This Row],[Nuorisotyöt. väh. ja osaamistarp. vast., työvoima-koulutus 9]])-Opv.kohd.[[#This Row],[Työvoima-koulutus 7e]]</f>
        <v>0</v>
      </c>
      <c r="CJ149" s="207">
        <f>Opv.kohd.[[#This Row],[Tavoitteelliset opiskelijavuodet yhteensä 9]]-Opv.kohd.[[#This Row],[Yhteensä 7e]]</f>
        <v>84</v>
      </c>
      <c r="CK149" s="207">
        <f>Opv.kohd.[[#This Row],[Järjestämisluvan mukaiset 4]]+Opv.kohd.[[#This Row],[Järjestämisluvan mukaiset 13]]</f>
        <v>0</v>
      </c>
      <c r="CL149" s="207">
        <f>Opv.kohd.[[#This Row],[Kohdentamat-tomat 4]]+Opv.kohd.[[#This Row],[Kohdentamat-tomat 13]]</f>
        <v>0</v>
      </c>
      <c r="CM149" s="207">
        <f>Opv.kohd.[[#This Row],[Työvoima-koulutus 4]]+Opv.kohd.[[#This Row],[Työvoima-koulutus 13]]</f>
        <v>0</v>
      </c>
      <c r="CN149" s="207">
        <f>Opv.kohd.[[#This Row],[Maahan-muuttajien koulutus 4]]+Opv.kohd.[[#This Row],[Maahan-muuttajien koulutus 13]]</f>
        <v>0</v>
      </c>
      <c r="CO149" s="207">
        <f>Opv.kohd.[[#This Row],[Nuorisotyöt. väh. ja osaamistarp. vast., muu kuin työvoima-koulutus 4]]+Opv.kohd.[[#This Row],[Nuorisotyöt. väh. ja osaamistarp. vast., muu kuin työvoima-koulutus 13]]</f>
        <v>0</v>
      </c>
      <c r="CP149" s="207">
        <f>Opv.kohd.[[#This Row],[Nuorisotyöt. väh. ja osaamistarp. vast., työvoima-koulutus 4]]+Opv.kohd.[[#This Row],[Nuorisotyöt. väh. ja osaamistarp. vast., työvoima-koulutus 13]]</f>
        <v>0</v>
      </c>
      <c r="CQ149" s="207">
        <f>Opv.kohd.[[#This Row],[Yhteensä 4]]+Opv.kohd.[[#This Row],[Yhteensä 13]]</f>
        <v>0</v>
      </c>
      <c r="CR149" s="207">
        <f>Opv.kohd.[[#This Row],[Ensikertaisella suoritepäätöksellä jaetut tavoitteelliset opiskelijavuodet yhteensä 4]]+Opv.kohd.[[#This Row],[Tavoitteelliset opiskelijavuodet yhteensä 13]]</f>
        <v>0</v>
      </c>
      <c r="CS149" s="120">
        <v>0</v>
      </c>
      <c r="CT149" s="120">
        <v>0</v>
      </c>
      <c r="CU149" s="120">
        <v>0</v>
      </c>
      <c r="CV149" s="120">
        <v>0</v>
      </c>
      <c r="CW149" s="120">
        <v>0</v>
      </c>
      <c r="CX149" s="120">
        <v>0</v>
      </c>
      <c r="CY149" s="120">
        <v>0</v>
      </c>
      <c r="CZ149" s="120">
        <v>0</v>
      </c>
      <c r="DA149" s="209">
        <f>IFERROR(Opv.kohd.[[#This Row],[Järjestämisluvan mukaiset 13]]/Opv.kohd.[[#This Row],[Järjestämisluvan mukaiset 12]],0)</f>
        <v>0</v>
      </c>
      <c r="DB149" s="209">
        <f>IFERROR(Opv.kohd.[[#This Row],[Kohdentamat-tomat 13]]/Opv.kohd.[[#This Row],[Kohdentamat-tomat 12]],0)</f>
        <v>0</v>
      </c>
      <c r="DC149" s="209">
        <f>IFERROR(Opv.kohd.[[#This Row],[Työvoima-koulutus 13]]/Opv.kohd.[[#This Row],[Työvoima-koulutus 12]],0)</f>
        <v>0</v>
      </c>
      <c r="DD149" s="209">
        <f>IFERROR(Opv.kohd.[[#This Row],[Maahan-muuttajien koulutus 13]]/Opv.kohd.[[#This Row],[Maahan-muuttajien koulutus 12]],0)</f>
        <v>0</v>
      </c>
      <c r="DE149" s="209">
        <f>IFERROR(Opv.kohd.[[#This Row],[Nuorisotyöt. väh. ja osaamistarp. vast., muu kuin työvoima-koulutus 13]]/Opv.kohd.[[#This Row],[Nuorisotyöt. väh. ja osaamistarp. vast., muu kuin työvoima-koulutus 12]],0)</f>
        <v>0</v>
      </c>
      <c r="DF149" s="209">
        <f>IFERROR(Opv.kohd.[[#This Row],[Nuorisotyöt. väh. ja osaamistarp. vast., työvoima-koulutus 13]]/Opv.kohd.[[#This Row],[Nuorisotyöt. väh. ja osaamistarp. vast., työvoima-koulutus 12]],0)</f>
        <v>0</v>
      </c>
      <c r="DG149" s="209">
        <f>IFERROR(Opv.kohd.[[#This Row],[Yhteensä 13]]/Opv.kohd.[[#This Row],[Yhteensä 12]],0)</f>
        <v>0</v>
      </c>
      <c r="DH149" s="209">
        <f>IFERROR(Opv.kohd.[[#This Row],[Tavoitteelliset opiskelijavuodet yhteensä 13]]/Opv.kohd.[[#This Row],[Tavoitteelliset opiskelijavuodet yhteensä 12]],0)</f>
        <v>0</v>
      </c>
      <c r="DI149" s="207">
        <f>Opv.kohd.[[#This Row],[Järjestämisluvan mukaiset 12]]-Opv.kohd.[[#This Row],[Järjestämisluvan mukaiset 9]]</f>
        <v>-79</v>
      </c>
      <c r="DJ149" s="207">
        <f>Opv.kohd.[[#This Row],[Kohdentamat-tomat 12]]-Opv.kohd.[[#This Row],[Kohdentamat-tomat 9]]</f>
        <v>-5</v>
      </c>
      <c r="DK149" s="207">
        <f>Opv.kohd.[[#This Row],[Työvoima-koulutus 12]]-Opv.kohd.[[#This Row],[Työvoima-koulutus 9]]</f>
        <v>0</v>
      </c>
      <c r="DL149" s="207">
        <f>Opv.kohd.[[#This Row],[Maahan-muuttajien koulutus 12]]-Opv.kohd.[[#This Row],[Maahan-muuttajien koulutus 9]]</f>
        <v>0</v>
      </c>
      <c r="DM149" s="207">
        <f>Opv.kohd.[[#This Row],[Nuorisotyöt. väh. ja osaamistarp. vast., muu kuin työvoima-koulutus 12]]-Opv.kohd.[[#This Row],[Nuorisotyöt. väh. ja osaamistarp. vast., muu kuin työvoima-koulutus 9]]</f>
        <v>0</v>
      </c>
      <c r="DN149" s="207">
        <f>Opv.kohd.[[#This Row],[Nuorisotyöt. väh. ja osaamistarp. vast., työvoima-koulutus 12]]-Opv.kohd.[[#This Row],[Nuorisotyöt. väh. ja osaamistarp. vast., työvoima-koulutus 9]]</f>
        <v>0</v>
      </c>
      <c r="DO149" s="207">
        <f>Opv.kohd.[[#This Row],[Yhteensä 12]]-Opv.kohd.[[#This Row],[Yhteensä 9]]</f>
        <v>-5</v>
      </c>
      <c r="DP149" s="207">
        <f>Opv.kohd.[[#This Row],[Tavoitteelliset opiskelijavuodet yhteensä 12]]-Opv.kohd.[[#This Row],[Tavoitteelliset opiskelijavuodet yhteensä 9]]</f>
        <v>-84</v>
      </c>
      <c r="DQ149" s="209">
        <f>IFERROR(Opv.kohd.[[#This Row],[Järjestämisluvan mukaiset 15]]/Opv.kohd.[[#This Row],[Järjestämisluvan mukaiset 9]],0)</f>
        <v>-1</v>
      </c>
      <c r="DR149" s="209">
        <f t="shared" si="40"/>
        <v>0</v>
      </c>
      <c r="DS149" s="209">
        <f t="shared" si="41"/>
        <v>0</v>
      </c>
      <c r="DT149" s="209">
        <f t="shared" si="42"/>
        <v>0</v>
      </c>
      <c r="DU149" s="209">
        <f t="shared" si="43"/>
        <v>0</v>
      </c>
      <c r="DV149" s="209">
        <f t="shared" si="44"/>
        <v>0</v>
      </c>
      <c r="DW149" s="209">
        <f t="shared" si="45"/>
        <v>0</v>
      </c>
      <c r="DX149" s="209">
        <f t="shared" si="46"/>
        <v>0</v>
      </c>
    </row>
    <row r="150" spans="1:128" x14ac:dyDescent="0.25">
      <c r="A150" s="204" t="e">
        <f>IF(INDEX(#REF!,ROW(150:150)-1,1)=0,"",INDEX(#REF!,ROW(150:150)-1,1))</f>
        <v>#REF!</v>
      </c>
      <c r="B150" s="205" t="str">
        <f>IFERROR(VLOOKUP(Opv.kohd.[[#This Row],[Y-tunnus]],'0 Järjestäjätiedot'!$A:$H,2,FALSE),"")</f>
        <v/>
      </c>
      <c r="C150" s="204" t="str">
        <f>IFERROR(VLOOKUP(Opv.kohd.[[#This Row],[Y-tunnus]],'0 Järjestäjätiedot'!$A:$H,COLUMN('0 Järjestäjätiedot'!D:D),FALSE),"")</f>
        <v/>
      </c>
      <c r="D150" s="204" t="str">
        <f>IFERROR(VLOOKUP(Opv.kohd.[[#This Row],[Y-tunnus]],'0 Järjestäjätiedot'!$A:$H,COLUMN('0 Järjestäjätiedot'!H:H),FALSE),"")</f>
        <v/>
      </c>
      <c r="E150" s="204">
        <f>IFERROR(VLOOKUP(Opv.kohd.[[#This Row],[Y-tunnus]],#REF!,COLUMN(#REF!),FALSE),0)</f>
        <v>0</v>
      </c>
      <c r="F150" s="204">
        <f>IFERROR(VLOOKUP(Opv.kohd.[[#This Row],[Y-tunnus]],#REF!,COLUMN(#REF!),FALSE),0)</f>
        <v>0</v>
      </c>
      <c r="G150" s="204">
        <f>IFERROR(VLOOKUP(Opv.kohd.[[#This Row],[Y-tunnus]],#REF!,COLUMN(#REF!),FALSE),0)</f>
        <v>0</v>
      </c>
      <c r="H150" s="204">
        <f>IFERROR(VLOOKUP(Opv.kohd.[[#This Row],[Y-tunnus]],#REF!,COLUMN(#REF!),FALSE),0)</f>
        <v>0</v>
      </c>
      <c r="I150" s="204">
        <f>IFERROR(VLOOKUP(Opv.kohd.[[#This Row],[Y-tunnus]],#REF!,COLUMN(#REF!),FALSE),0)</f>
        <v>0</v>
      </c>
      <c r="J150" s="204">
        <f>IFERROR(VLOOKUP(Opv.kohd.[[#This Row],[Y-tunnus]],#REF!,COLUMN(#REF!),FALSE),0)</f>
        <v>0</v>
      </c>
      <c r="K15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50" s="204">
        <f>Opv.kohd.[[#This Row],[Järjestämisluvan mukaiset 1]]+Opv.kohd.[[#This Row],[Yhteensä  1]]</f>
        <v>0</v>
      </c>
      <c r="M150" s="204">
        <f>IFERROR(VLOOKUP(Opv.kohd.[[#This Row],[Y-tunnus]],#REF!,COLUMN(#REF!),FALSE),0)</f>
        <v>0</v>
      </c>
      <c r="N150" s="204">
        <f>IFERROR(VLOOKUP(Opv.kohd.[[#This Row],[Y-tunnus]],#REF!,COLUMN(#REF!),FALSE),0)</f>
        <v>0</v>
      </c>
      <c r="O150" s="204">
        <f>IFERROR(VLOOKUP(Opv.kohd.[[#This Row],[Y-tunnus]],#REF!,COLUMN(#REF!),FALSE)+VLOOKUP(Opv.kohd.[[#This Row],[Y-tunnus]],#REF!,COLUMN(#REF!),FALSE),0)</f>
        <v>0</v>
      </c>
      <c r="P150" s="204">
        <f>Opv.kohd.[[#This Row],[Talousarvion perusteella kohdentamattomat]]+Opv.kohd.[[#This Row],[Talousarvion perusteella työvoimakoulutus 1]]+Opv.kohd.[[#This Row],[Lisätalousarvioiden perusteella]]</f>
        <v>0</v>
      </c>
      <c r="Q150" s="204">
        <f>IFERROR(VLOOKUP(Opv.kohd.[[#This Row],[Y-tunnus]],#REF!,COLUMN(#REF!),FALSE),0)</f>
        <v>0</v>
      </c>
      <c r="R150" s="210">
        <f>IFERROR(VLOOKUP(Opv.kohd.[[#This Row],[Y-tunnus]],#REF!,COLUMN(#REF!),FALSE)-(Opv.kohd.[[#This Row],[Kohdentamaton työvoima-koulutus 2]]+Opv.kohd.[[#This Row],[Maahan-muuttajien koulutus 2]]+Opv.kohd.[[#This Row],[Lisätalousarvioiden perusteella jaetut 2]]),0)</f>
        <v>0</v>
      </c>
      <c r="S150" s="210">
        <f>IFERROR(VLOOKUP(Opv.kohd.[[#This Row],[Y-tunnus]],#REF!,COLUMN(#REF!),FALSE)+VLOOKUP(Opv.kohd.[[#This Row],[Y-tunnus]],#REF!,COLUMN(#REF!),FALSE),0)</f>
        <v>0</v>
      </c>
      <c r="T150" s="210">
        <f>IFERROR(VLOOKUP(Opv.kohd.[[#This Row],[Y-tunnus]],#REF!,COLUMN(#REF!),FALSE)+VLOOKUP(Opv.kohd.[[#This Row],[Y-tunnus]],#REF!,COLUMN(#REF!),FALSE),0)</f>
        <v>0</v>
      </c>
      <c r="U15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50" s="210">
        <f>Opv.kohd.[[#This Row],[Kohdentamat-tomat 2]]+Opv.kohd.[[#This Row],[Kohdentamaton työvoima-koulutus 2]]+Opv.kohd.[[#This Row],[Maahan-muuttajien koulutus 2]]+Opv.kohd.[[#This Row],[Lisätalousarvioiden perusteella jaetut 2]]</f>
        <v>0</v>
      </c>
      <c r="W150" s="210">
        <f>Opv.kohd.[[#This Row],[Kohdentamat-tomat 2]]-(Opv.kohd.[[#This Row],[Järjestämisluvan mukaiset 1]]+Opv.kohd.[[#This Row],[Kohdentamat-tomat 1]]+Opv.kohd.[[#This Row],[Nuorisotyöt. väh. ja osaamistarp. vast., muu kuin työvoima-koulutus 1]]+Opv.kohd.[[#This Row],[Talousarvion perusteella kohdentamattomat]])</f>
        <v>0</v>
      </c>
      <c r="X150" s="210">
        <f>Opv.kohd.[[#This Row],[Kohdentamaton työvoima-koulutus 2]]-(Opv.kohd.[[#This Row],[Työvoima-koulutus 1]]+Opv.kohd.[[#This Row],[Nuorisotyöt. väh. ja osaamistarp. vast., työvoima-koulutus 1]]+Opv.kohd.[[#This Row],[Talousarvion perusteella työvoimakoulutus 1]])</f>
        <v>0</v>
      </c>
      <c r="Y150" s="210">
        <f>Opv.kohd.[[#This Row],[Maahan-muuttajien koulutus 2]]-Opv.kohd.[[#This Row],[Maahan-muuttajien koulutus 1]]</f>
        <v>0</v>
      </c>
      <c r="Z150" s="210">
        <f>Opv.kohd.[[#This Row],[Lisätalousarvioiden perusteella jaetut 2]]-Opv.kohd.[[#This Row],[Lisätalousarvioiden perusteella]]</f>
        <v>0</v>
      </c>
      <c r="AA150" s="210">
        <f>Opv.kohd.[[#This Row],[Toteutuneet opiskelijavuodet yhteensä 2]]-Opv.kohd.[[#This Row],[Vuoden 2018 tavoitteelliset opiskelijavuodet yhteensä 1]]</f>
        <v>0</v>
      </c>
      <c r="AB150" s="207">
        <f>IFERROR(VLOOKUP(Opv.kohd.[[#This Row],[Y-tunnus]],#REF!,3,FALSE),0)</f>
        <v>0</v>
      </c>
      <c r="AC150" s="207">
        <f>IFERROR(VLOOKUP(Opv.kohd.[[#This Row],[Y-tunnus]],#REF!,4,FALSE),0)</f>
        <v>0</v>
      </c>
      <c r="AD150" s="207">
        <f>IFERROR(VLOOKUP(Opv.kohd.[[#This Row],[Y-tunnus]],#REF!,5,FALSE),0)</f>
        <v>0</v>
      </c>
      <c r="AE150" s="207">
        <f>IFERROR(VLOOKUP(Opv.kohd.[[#This Row],[Y-tunnus]],#REF!,6,FALSE),0)</f>
        <v>0</v>
      </c>
      <c r="AF150" s="207">
        <f>IFERROR(VLOOKUP(Opv.kohd.[[#This Row],[Y-tunnus]],#REF!,7,FALSE),0)</f>
        <v>0</v>
      </c>
      <c r="AG150" s="207">
        <f>IFERROR(VLOOKUP(Opv.kohd.[[#This Row],[Y-tunnus]],#REF!,8,FALSE),0)</f>
        <v>0</v>
      </c>
      <c r="AH150" s="207">
        <f>IFERROR(VLOOKUP(Opv.kohd.[[#This Row],[Y-tunnus]],#REF!,9,FALSE),0)</f>
        <v>0</v>
      </c>
      <c r="AI150" s="207">
        <f>IFERROR(VLOOKUP(Opv.kohd.[[#This Row],[Y-tunnus]],#REF!,10,FALSE),0)</f>
        <v>0</v>
      </c>
      <c r="AJ150" s="204">
        <f>Opv.kohd.[[#This Row],[Järjestämisluvan mukaiset 4]]-Opv.kohd.[[#This Row],[Järjestämisluvan mukaiset 1]]</f>
        <v>0</v>
      </c>
      <c r="AK150" s="204">
        <f>Opv.kohd.[[#This Row],[Kohdentamat-tomat 4]]-Opv.kohd.[[#This Row],[Kohdentamat-tomat 1]]</f>
        <v>0</v>
      </c>
      <c r="AL150" s="204">
        <f>Opv.kohd.[[#This Row],[Työvoima-koulutus 4]]-Opv.kohd.[[#This Row],[Työvoima-koulutus 1]]</f>
        <v>0</v>
      </c>
      <c r="AM150" s="204">
        <f>Opv.kohd.[[#This Row],[Maahan-muuttajien koulutus 4]]-Opv.kohd.[[#This Row],[Maahan-muuttajien koulutus 1]]</f>
        <v>0</v>
      </c>
      <c r="AN150" s="204">
        <f>Opv.kohd.[[#This Row],[Nuorisotyöt. väh. ja osaamistarp. vast., muu kuin työvoima-koulutus 4]]-Opv.kohd.[[#This Row],[Nuorisotyöt. väh. ja osaamistarp. vast., muu kuin työvoima-koulutus 1]]</f>
        <v>0</v>
      </c>
      <c r="AO150" s="204">
        <f>Opv.kohd.[[#This Row],[Nuorisotyöt. väh. ja osaamistarp. vast., työvoima-koulutus 4]]-Opv.kohd.[[#This Row],[Nuorisotyöt. väh. ja osaamistarp. vast., työvoima-koulutus 1]]</f>
        <v>0</v>
      </c>
      <c r="AP150" s="204">
        <f>Opv.kohd.[[#This Row],[Yhteensä 4]]-Opv.kohd.[[#This Row],[Yhteensä  1]]</f>
        <v>0</v>
      </c>
      <c r="AQ150" s="204">
        <f>Opv.kohd.[[#This Row],[Ensikertaisella suoritepäätöksellä jaetut tavoitteelliset opiskelijavuodet yhteensä 4]]-Opv.kohd.[[#This Row],[Ensikertaisella suoritepäätöksellä jaetut tavoitteelliset opiskelijavuodet yhteensä 1]]</f>
        <v>0</v>
      </c>
      <c r="AR150" s="208">
        <f>IFERROR(Opv.kohd.[[#This Row],[Järjestämisluvan mukaiset 5]]/Opv.kohd.[[#This Row],[Järjestämisluvan mukaiset 4]],0)</f>
        <v>0</v>
      </c>
      <c r="AS150" s="208">
        <f>IFERROR(Opv.kohd.[[#This Row],[Kohdentamat-tomat 5]]/Opv.kohd.[[#This Row],[Kohdentamat-tomat 4]],0)</f>
        <v>0</v>
      </c>
      <c r="AT150" s="208">
        <f>IFERROR(Opv.kohd.[[#This Row],[Työvoima-koulutus 5]]/Opv.kohd.[[#This Row],[Työvoima-koulutus 4]],0)</f>
        <v>0</v>
      </c>
      <c r="AU150" s="208">
        <f>IFERROR(Opv.kohd.[[#This Row],[Maahan-muuttajien koulutus 5]]/Opv.kohd.[[#This Row],[Maahan-muuttajien koulutus 4]],0)</f>
        <v>0</v>
      </c>
      <c r="AV150" s="208">
        <f>IFERROR(Opv.kohd.[[#This Row],[Nuorisotyöt. väh. ja osaamistarp. vast., muu kuin työvoima-koulutus 5]]/Opv.kohd.[[#This Row],[Nuorisotyöt. väh. ja osaamistarp. vast., muu kuin työvoima-koulutus 4]],0)</f>
        <v>0</v>
      </c>
      <c r="AW150" s="208">
        <f>IFERROR(Opv.kohd.[[#This Row],[Nuorisotyöt. väh. ja osaamistarp. vast., työvoima-koulutus 5]]/Opv.kohd.[[#This Row],[Nuorisotyöt. väh. ja osaamistarp. vast., työvoima-koulutus 4]],0)</f>
        <v>0</v>
      </c>
      <c r="AX150" s="208">
        <f>IFERROR(Opv.kohd.[[#This Row],[Yhteensä 5]]/Opv.kohd.[[#This Row],[Yhteensä 4]],0)</f>
        <v>0</v>
      </c>
      <c r="AY150" s="208">
        <f>IFERROR(Opv.kohd.[[#This Row],[Ensikertaisella suoritepäätöksellä jaetut tavoitteelliset opiskelijavuodet yhteensä 5]]/Opv.kohd.[[#This Row],[Ensikertaisella suoritepäätöksellä jaetut tavoitteelliset opiskelijavuodet yhteensä 4]],0)</f>
        <v>0</v>
      </c>
      <c r="AZ150" s="207">
        <f>Opv.kohd.[[#This Row],[Yhteensä 7a]]-Opv.kohd.[[#This Row],[Työvoima-koulutus 7a]]</f>
        <v>0</v>
      </c>
      <c r="BA150" s="207">
        <f>IFERROR(VLOOKUP(Opv.kohd.[[#This Row],[Y-tunnus]],#REF!,COLUMN(#REF!),FALSE),0)</f>
        <v>0</v>
      </c>
      <c r="BB150" s="207">
        <f>IFERROR(VLOOKUP(Opv.kohd.[[#This Row],[Y-tunnus]],#REF!,COLUMN(#REF!),FALSE),0)</f>
        <v>0</v>
      </c>
      <c r="BC150" s="207">
        <f>Opv.kohd.[[#This Row],[Muu kuin työvoima-koulutus 7c]]-Opv.kohd.[[#This Row],[Muu kuin työvoima-koulutus 7a]]</f>
        <v>0</v>
      </c>
      <c r="BD150" s="207">
        <f>Opv.kohd.[[#This Row],[Työvoima-koulutus 7c]]-Opv.kohd.[[#This Row],[Työvoima-koulutus 7a]]</f>
        <v>0</v>
      </c>
      <c r="BE150" s="207">
        <f>Opv.kohd.[[#This Row],[Yhteensä 7c]]-Opv.kohd.[[#This Row],[Yhteensä 7a]]</f>
        <v>0</v>
      </c>
      <c r="BF150" s="207">
        <f>Opv.kohd.[[#This Row],[Yhteensä 7c]]-Opv.kohd.[[#This Row],[Työvoima-koulutus 7c]]</f>
        <v>0</v>
      </c>
      <c r="BG150" s="207">
        <f>IFERROR(VLOOKUP(Opv.kohd.[[#This Row],[Y-tunnus]],#REF!,COLUMN(#REF!),FALSE),0)</f>
        <v>0</v>
      </c>
      <c r="BH150" s="207">
        <f>IFERROR(VLOOKUP(Opv.kohd.[[#This Row],[Y-tunnus]],#REF!,COLUMN(#REF!),FALSE),0)</f>
        <v>0</v>
      </c>
      <c r="BI150" s="207">
        <f>IFERROR(VLOOKUP(Opv.kohd.[[#This Row],[Y-tunnus]],#REF!,COLUMN(#REF!),FALSE),0)</f>
        <v>0</v>
      </c>
      <c r="BJ150" s="207">
        <f>IFERROR(VLOOKUP(Opv.kohd.[[#This Row],[Y-tunnus]],#REF!,COLUMN(#REF!),FALSE),0)</f>
        <v>0</v>
      </c>
      <c r="BK150" s="207">
        <f>Opv.kohd.[[#This Row],[Muu kuin työvoima-koulutus 7d]]+Opv.kohd.[[#This Row],[Työvoima-koulutus 7d]]</f>
        <v>0</v>
      </c>
      <c r="BL150" s="207">
        <f>Opv.kohd.[[#This Row],[Muu kuin työvoima-koulutus 7c]]-Opv.kohd.[[#This Row],[Muu kuin työvoima-koulutus 7d]]</f>
        <v>0</v>
      </c>
      <c r="BM150" s="207">
        <f>Opv.kohd.[[#This Row],[Työvoima-koulutus 7c]]-Opv.kohd.[[#This Row],[Työvoima-koulutus 7d]]</f>
        <v>0</v>
      </c>
      <c r="BN150" s="207">
        <f>Opv.kohd.[[#This Row],[Yhteensä 7c]]-Opv.kohd.[[#This Row],[Yhteensä 7d]]</f>
        <v>0</v>
      </c>
      <c r="BO150" s="207">
        <f>Opv.kohd.[[#This Row],[Muu kuin työvoima-koulutus 7e]]-(Opv.kohd.[[#This Row],[Järjestämisluvan mukaiset 4]]+Opv.kohd.[[#This Row],[Kohdentamat-tomat 4]]+Opv.kohd.[[#This Row],[Maahan-muuttajien koulutus 4]]+Opv.kohd.[[#This Row],[Nuorisotyöt. väh. ja osaamistarp. vast., muu kuin työvoima-koulutus 4]])</f>
        <v>0</v>
      </c>
      <c r="BP150" s="207">
        <f>Opv.kohd.[[#This Row],[Työvoima-koulutus 7e]]-(Opv.kohd.[[#This Row],[Työvoima-koulutus 4]]+Opv.kohd.[[#This Row],[Nuorisotyöt. väh. ja osaamistarp. vast., työvoima-koulutus 4]])</f>
        <v>0</v>
      </c>
      <c r="BQ150" s="207">
        <f>Opv.kohd.[[#This Row],[Yhteensä 7e]]-Opv.kohd.[[#This Row],[Ensikertaisella suoritepäätöksellä jaetut tavoitteelliset opiskelijavuodet yhteensä 4]]</f>
        <v>0</v>
      </c>
      <c r="BR150" s="263">
        <v>218</v>
      </c>
      <c r="BS150" s="263">
        <v>5</v>
      </c>
      <c r="BT150" s="263">
        <v>0</v>
      </c>
      <c r="BU150" s="263">
        <v>14</v>
      </c>
      <c r="BV150" s="263">
        <v>0</v>
      </c>
      <c r="BW150" s="263">
        <v>0</v>
      </c>
      <c r="BX150" s="263">
        <v>19</v>
      </c>
      <c r="BY150" s="263">
        <v>237</v>
      </c>
      <c r="BZ150" s="207">
        <f t="shared" si="32"/>
        <v>218</v>
      </c>
      <c r="CA150" s="207">
        <f t="shared" si="33"/>
        <v>5</v>
      </c>
      <c r="CB150" s="207">
        <f t="shared" si="34"/>
        <v>0</v>
      </c>
      <c r="CC150" s="207">
        <f t="shared" si="35"/>
        <v>14</v>
      </c>
      <c r="CD150" s="207">
        <f t="shared" si="36"/>
        <v>0</v>
      </c>
      <c r="CE150" s="207">
        <f t="shared" si="37"/>
        <v>0</v>
      </c>
      <c r="CF150" s="207">
        <f t="shared" si="38"/>
        <v>19</v>
      </c>
      <c r="CG150" s="207">
        <f t="shared" si="39"/>
        <v>237</v>
      </c>
      <c r="CH150" s="207">
        <f>Opv.kohd.[[#This Row],[Tavoitteelliset opiskelijavuodet yhteensä 9]]-Opv.kohd.[[#This Row],[Työvoima-koulutus 9]]-Opv.kohd.[[#This Row],[Nuorisotyöt. väh. ja osaamistarp. vast., työvoima-koulutus 9]]-Opv.kohd.[[#This Row],[Muu kuin työvoima-koulutus 7e]]</f>
        <v>237</v>
      </c>
      <c r="CI150" s="207">
        <f>(Opv.kohd.[[#This Row],[Työvoima-koulutus 9]]+Opv.kohd.[[#This Row],[Nuorisotyöt. väh. ja osaamistarp. vast., työvoima-koulutus 9]])-Opv.kohd.[[#This Row],[Työvoima-koulutus 7e]]</f>
        <v>0</v>
      </c>
      <c r="CJ150" s="207">
        <f>Opv.kohd.[[#This Row],[Tavoitteelliset opiskelijavuodet yhteensä 9]]-Opv.kohd.[[#This Row],[Yhteensä 7e]]</f>
        <v>237</v>
      </c>
      <c r="CK150" s="207">
        <f>Opv.kohd.[[#This Row],[Järjestämisluvan mukaiset 4]]+Opv.kohd.[[#This Row],[Järjestämisluvan mukaiset 13]]</f>
        <v>0</v>
      </c>
      <c r="CL150" s="207">
        <f>Opv.kohd.[[#This Row],[Kohdentamat-tomat 4]]+Opv.kohd.[[#This Row],[Kohdentamat-tomat 13]]</f>
        <v>0</v>
      </c>
      <c r="CM150" s="207">
        <f>Opv.kohd.[[#This Row],[Työvoima-koulutus 4]]+Opv.kohd.[[#This Row],[Työvoima-koulutus 13]]</f>
        <v>0</v>
      </c>
      <c r="CN150" s="207">
        <f>Opv.kohd.[[#This Row],[Maahan-muuttajien koulutus 4]]+Opv.kohd.[[#This Row],[Maahan-muuttajien koulutus 13]]</f>
        <v>0</v>
      </c>
      <c r="CO150" s="207">
        <f>Opv.kohd.[[#This Row],[Nuorisotyöt. väh. ja osaamistarp. vast., muu kuin työvoima-koulutus 4]]+Opv.kohd.[[#This Row],[Nuorisotyöt. väh. ja osaamistarp. vast., muu kuin työvoima-koulutus 13]]</f>
        <v>0</v>
      </c>
      <c r="CP150" s="207">
        <f>Opv.kohd.[[#This Row],[Nuorisotyöt. väh. ja osaamistarp. vast., työvoima-koulutus 4]]+Opv.kohd.[[#This Row],[Nuorisotyöt. väh. ja osaamistarp. vast., työvoima-koulutus 13]]</f>
        <v>0</v>
      </c>
      <c r="CQ150" s="207">
        <f>Opv.kohd.[[#This Row],[Yhteensä 4]]+Opv.kohd.[[#This Row],[Yhteensä 13]]</f>
        <v>0</v>
      </c>
      <c r="CR150" s="207">
        <f>Opv.kohd.[[#This Row],[Ensikertaisella suoritepäätöksellä jaetut tavoitteelliset opiskelijavuodet yhteensä 4]]+Opv.kohd.[[#This Row],[Tavoitteelliset opiskelijavuodet yhteensä 13]]</f>
        <v>0</v>
      </c>
      <c r="CS150" s="120">
        <v>0</v>
      </c>
      <c r="CT150" s="120">
        <v>0</v>
      </c>
      <c r="CU150" s="120">
        <v>0</v>
      </c>
      <c r="CV150" s="120">
        <v>0</v>
      </c>
      <c r="CW150" s="120">
        <v>0</v>
      </c>
      <c r="CX150" s="120">
        <v>0</v>
      </c>
      <c r="CY150" s="120">
        <v>0</v>
      </c>
      <c r="CZ150" s="120">
        <v>0</v>
      </c>
      <c r="DA150" s="209">
        <f>IFERROR(Opv.kohd.[[#This Row],[Järjestämisluvan mukaiset 13]]/Opv.kohd.[[#This Row],[Järjestämisluvan mukaiset 12]],0)</f>
        <v>0</v>
      </c>
      <c r="DB150" s="209">
        <f>IFERROR(Opv.kohd.[[#This Row],[Kohdentamat-tomat 13]]/Opv.kohd.[[#This Row],[Kohdentamat-tomat 12]],0)</f>
        <v>0</v>
      </c>
      <c r="DC150" s="209">
        <f>IFERROR(Opv.kohd.[[#This Row],[Työvoima-koulutus 13]]/Opv.kohd.[[#This Row],[Työvoima-koulutus 12]],0)</f>
        <v>0</v>
      </c>
      <c r="DD150" s="209">
        <f>IFERROR(Opv.kohd.[[#This Row],[Maahan-muuttajien koulutus 13]]/Opv.kohd.[[#This Row],[Maahan-muuttajien koulutus 12]],0)</f>
        <v>0</v>
      </c>
      <c r="DE150" s="209">
        <f>IFERROR(Opv.kohd.[[#This Row],[Nuorisotyöt. väh. ja osaamistarp. vast., muu kuin työvoima-koulutus 13]]/Opv.kohd.[[#This Row],[Nuorisotyöt. väh. ja osaamistarp. vast., muu kuin työvoima-koulutus 12]],0)</f>
        <v>0</v>
      </c>
      <c r="DF150" s="209">
        <f>IFERROR(Opv.kohd.[[#This Row],[Nuorisotyöt. väh. ja osaamistarp. vast., työvoima-koulutus 13]]/Opv.kohd.[[#This Row],[Nuorisotyöt. väh. ja osaamistarp. vast., työvoima-koulutus 12]],0)</f>
        <v>0</v>
      </c>
      <c r="DG150" s="209">
        <f>IFERROR(Opv.kohd.[[#This Row],[Yhteensä 13]]/Opv.kohd.[[#This Row],[Yhteensä 12]],0)</f>
        <v>0</v>
      </c>
      <c r="DH150" s="209">
        <f>IFERROR(Opv.kohd.[[#This Row],[Tavoitteelliset opiskelijavuodet yhteensä 13]]/Opv.kohd.[[#This Row],[Tavoitteelliset opiskelijavuodet yhteensä 12]],0)</f>
        <v>0</v>
      </c>
      <c r="DI150" s="207">
        <f>Opv.kohd.[[#This Row],[Järjestämisluvan mukaiset 12]]-Opv.kohd.[[#This Row],[Järjestämisluvan mukaiset 9]]</f>
        <v>-218</v>
      </c>
      <c r="DJ150" s="207">
        <f>Opv.kohd.[[#This Row],[Kohdentamat-tomat 12]]-Opv.kohd.[[#This Row],[Kohdentamat-tomat 9]]</f>
        <v>-5</v>
      </c>
      <c r="DK150" s="207">
        <f>Opv.kohd.[[#This Row],[Työvoima-koulutus 12]]-Opv.kohd.[[#This Row],[Työvoima-koulutus 9]]</f>
        <v>0</v>
      </c>
      <c r="DL150" s="207">
        <f>Opv.kohd.[[#This Row],[Maahan-muuttajien koulutus 12]]-Opv.kohd.[[#This Row],[Maahan-muuttajien koulutus 9]]</f>
        <v>-14</v>
      </c>
      <c r="DM150" s="207">
        <f>Opv.kohd.[[#This Row],[Nuorisotyöt. väh. ja osaamistarp. vast., muu kuin työvoima-koulutus 12]]-Opv.kohd.[[#This Row],[Nuorisotyöt. väh. ja osaamistarp. vast., muu kuin työvoima-koulutus 9]]</f>
        <v>0</v>
      </c>
      <c r="DN150" s="207">
        <f>Opv.kohd.[[#This Row],[Nuorisotyöt. väh. ja osaamistarp. vast., työvoima-koulutus 12]]-Opv.kohd.[[#This Row],[Nuorisotyöt. väh. ja osaamistarp. vast., työvoima-koulutus 9]]</f>
        <v>0</v>
      </c>
      <c r="DO150" s="207">
        <f>Opv.kohd.[[#This Row],[Yhteensä 12]]-Opv.kohd.[[#This Row],[Yhteensä 9]]</f>
        <v>-19</v>
      </c>
      <c r="DP150" s="207">
        <f>Opv.kohd.[[#This Row],[Tavoitteelliset opiskelijavuodet yhteensä 12]]-Opv.kohd.[[#This Row],[Tavoitteelliset opiskelijavuodet yhteensä 9]]</f>
        <v>-237</v>
      </c>
      <c r="DQ150" s="209">
        <f>IFERROR(Opv.kohd.[[#This Row],[Järjestämisluvan mukaiset 15]]/Opv.kohd.[[#This Row],[Järjestämisluvan mukaiset 9]],0)</f>
        <v>-1</v>
      </c>
      <c r="DR150" s="209">
        <f t="shared" si="40"/>
        <v>0</v>
      </c>
      <c r="DS150" s="209">
        <f t="shared" si="41"/>
        <v>0</v>
      </c>
      <c r="DT150" s="209">
        <f t="shared" si="42"/>
        <v>0</v>
      </c>
      <c r="DU150" s="209">
        <f t="shared" si="43"/>
        <v>0</v>
      </c>
      <c r="DV150" s="209">
        <f t="shared" si="44"/>
        <v>0</v>
      </c>
      <c r="DW150" s="209">
        <f t="shared" si="45"/>
        <v>0</v>
      </c>
      <c r="DX150" s="209">
        <f t="shared" si="46"/>
        <v>0</v>
      </c>
    </row>
    <row r="151" spans="1:128" x14ac:dyDescent="0.25">
      <c r="A151" s="204" t="e">
        <f>IF(INDEX(#REF!,ROW(151:151)-1,1)=0,"",INDEX(#REF!,ROW(151:151)-1,1))</f>
        <v>#REF!</v>
      </c>
      <c r="B151" s="205" t="str">
        <f>IFERROR(VLOOKUP(Opv.kohd.[[#This Row],[Y-tunnus]],'0 Järjestäjätiedot'!$A:$H,2,FALSE),"")</f>
        <v/>
      </c>
      <c r="C151" s="204" t="str">
        <f>IFERROR(VLOOKUP(Opv.kohd.[[#This Row],[Y-tunnus]],'0 Järjestäjätiedot'!$A:$H,COLUMN('0 Järjestäjätiedot'!D:D),FALSE),"")</f>
        <v/>
      </c>
      <c r="D151" s="204" t="str">
        <f>IFERROR(VLOOKUP(Opv.kohd.[[#This Row],[Y-tunnus]],'0 Järjestäjätiedot'!$A:$H,COLUMN('0 Järjestäjätiedot'!H:H),FALSE),"")</f>
        <v/>
      </c>
      <c r="E151" s="204">
        <f>IFERROR(VLOOKUP(Opv.kohd.[[#This Row],[Y-tunnus]],#REF!,COLUMN(#REF!),FALSE),0)</f>
        <v>0</v>
      </c>
      <c r="F151" s="204">
        <f>IFERROR(VLOOKUP(Opv.kohd.[[#This Row],[Y-tunnus]],#REF!,COLUMN(#REF!),FALSE),0)</f>
        <v>0</v>
      </c>
      <c r="G151" s="204">
        <f>IFERROR(VLOOKUP(Opv.kohd.[[#This Row],[Y-tunnus]],#REF!,COLUMN(#REF!),FALSE),0)</f>
        <v>0</v>
      </c>
      <c r="H151" s="204">
        <f>IFERROR(VLOOKUP(Opv.kohd.[[#This Row],[Y-tunnus]],#REF!,COLUMN(#REF!),FALSE),0)</f>
        <v>0</v>
      </c>
      <c r="I151" s="204">
        <f>IFERROR(VLOOKUP(Opv.kohd.[[#This Row],[Y-tunnus]],#REF!,COLUMN(#REF!),FALSE),0)</f>
        <v>0</v>
      </c>
      <c r="J151" s="204">
        <f>IFERROR(VLOOKUP(Opv.kohd.[[#This Row],[Y-tunnus]],#REF!,COLUMN(#REF!),FALSE),0)</f>
        <v>0</v>
      </c>
      <c r="K15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51" s="204">
        <f>Opv.kohd.[[#This Row],[Järjestämisluvan mukaiset 1]]+Opv.kohd.[[#This Row],[Yhteensä  1]]</f>
        <v>0</v>
      </c>
      <c r="M151" s="204">
        <f>IFERROR(VLOOKUP(Opv.kohd.[[#This Row],[Y-tunnus]],#REF!,COLUMN(#REF!),FALSE),0)</f>
        <v>0</v>
      </c>
      <c r="N151" s="204">
        <f>IFERROR(VLOOKUP(Opv.kohd.[[#This Row],[Y-tunnus]],#REF!,COLUMN(#REF!),FALSE),0)</f>
        <v>0</v>
      </c>
      <c r="O151" s="204">
        <f>IFERROR(VLOOKUP(Opv.kohd.[[#This Row],[Y-tunnus]],#REF!,COLUMN(#REF!),FALSE)+VLOOKUP(Opv.kohd.[[#This Row],[Y-tunnus]],#REF!,COLUMN(#REF!),FALSE),0)</f>
        <v>0</v>
      </c>
      <c r="P151" s="204">
        <f>Opv.kohd.[[#This Row],[Talousarvion perusteella kohdentamattomat]]+Opv.kohd.[[#This Row],[Talousarvion perusteella työvoimakoulutus 1]]+Opv.kohd.[[#This Row],[Lisätalousarvioiden perusteella]]</f>
        <v>0</v>
      </c>
      <c r="Q151" s="204">
        <f>IFERROR(VLOOKUP(Opv.kohd.[[#This Row],[Y-tunnus]],#REF!,COLUMN(#REF!),FALSE),0)</f>
        <v>0</v>
      </c>
      <c r="R151" s="210">
        <f>IFERROR(VLOOKUP(Opv.kohd.[[#This Row],[Y-tunnus]],#REF!,COLUMN(#REF!),FALSE)-(Opv.kohd.[[#This Row],[Kohdentamaton työvoima-koulutus 2]]+Opv.kohd.[[#This Row],[Maahan-muuttajien koulutus 2]]+Opv.kohd.[[#This Row],[Lisätalousarvioiden perusteella jaetut 2]]),0)</f>
        <v>0</v>
      </c>
      <c r="S151" s="210">
        <f>IFERROR(VLOOKUP(Opv.kohd.[[#This Row],[Y-tunnus]],#REF!,COLUMN(#REF!),FALSE)+VLOOKUP(Opv.kohd.[[#This Row],[Y-tunnus]],#REF!,COLUMN(#REF!),FALSE),0)</f>
        <v>0</v>
      </c>
      <c r="T151" s="210">
        <f>IFERROR(VLOOKUP(Opv.kohd.[[#This Row],[Y-tunnus]],#REF!,COLUMN(#REF!),FALSE)+VLOOKUP(Opv.kohd.[[#This Row],[Y-tunnus]],#REF!,COLUMN(#REF!),FALSE),0)</f>
        <v>0</v>
      </c>
      <c r="U15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51" s="210">
        <f>Opv.kohd.[[#This Row],[Kohdentamat-tomat 2]]+Opv.kohd.[[#This Row],[Kohdentamaton työvoima-koulutus 2]]+Opv.kohd.[[#This Row],[Maahan-muuttajien koulutus 2]]+Opv.kohd.[[#This Row],[Lisätalousarvioiden perusteella jaetut 2]]</f>
        <v>0</v>
      </c>
      <c r="W151" s="210">
        <f>Opv.kohd.[[#This Row],[Kohdentamat-tomat 2]]-(Opv.kohd.[[#This Row],[Järjestämisluvan mukaiset 1]]+Opv.kohd.[[#This Row],[Kohdentamat-tomat 1]]+Opv.kohd.[[#This Row],[Nuorisotyöt. väh. ja osaamistarp. vast., muu kuin työvoima-koulutus 1]]+Opv.kohd.[[#This Row],[Talousarvion perusteella kohdentamattomat]])</f>
        <v>0</v>
      </c>
      <c r="X151" s="210">
        <f>Opv.kohd.[[#This Row],[Kohdentamaton työvoima-koulutus 2]]-(Opv.kohd.[[#This Row],[Työvoima-koulutus 1]]+Opv.kohd.[[#This Row],[Nuorisotyöt. väh. ja osaamistarp. vast., työvoima-koulutus 1]]+Opv.kohd.[[#This Row],[Talousarvion perusteella työvoimakoulutus 1]])</f>
        <v>0</v>
      </c>
      <c r="Y151" s="210">
        <f>Opv.kohd.[[#This Row],[Maahan-muuttajien koulutus 2]]-Opv.kohd.[[#This Row],[Maahan-muuttajien koulutus 1]]</f>
        <v>0</v>
      </c>
      <c r="Z151" s="210">
        <f>Opv.kohd.[[#This Row],[Lisätalousarvioiden perusteella jaetut 2]]-Opv.kohd.[[#This Row],[Lisätalousarvioiden perusteella]]</f>
        <v>0</v>
      </c>
      <c r="AA151" s="210">
        <f>Opv.kohd.[[#This Row],[Toteutuneet opiskelijavuodet yhteensä 2]]-Opv.kohd.[[#This Row],[Vuoden 2018 tavoitteelliset opiskelijavuodet yhteensä 1]]</f>
        <v>0</v>
      </c>
      <c r="AB151" s="207">
        <f>IFERROR(VLOOKUP(Opv.kohd.[[#This Row],[Y-tunnus]],#REF!,3,FALSE),0)</f>
        <v>0</v>
      </c>
      <c r="AC151" s="207">
        <f>IFERROR(VLOOKUP(Opv.kohd.[[#This Row],[Y-tunnus]],#REF!,4,FALSE),0)</f>
        <v>0</v>
      </c>
      <c r="AD151" s="207">
        <f>IFERROR(VLOOKUP(Opv.kohd.[[#This Row],[Y-tunnus]],#REF!,5,FALSE),0)</f>
        <v>0</v>
      </c>
      <c r="AE151" s="207">
        <f>IFERROR(VLOOKUP(Opv.kohd.[[#This Row],[Y-tunnus]],#REF!,6,FALSE),0)</f>
        <v>0</v>
      </c>
      <c r="AF151" s="207">
        <f>IFERROR(VLOOKUP(Opv.kohd.[[#This Row],[Y-tunnus]],#REF!,7,FALSE),0)</f>
        <v>0</v>
      </c>
      <c r="AG151" s="207">
        <f>IFERROR(VLOOKUP(Opv.kohd.[[#This Row],[Y-tunnus]],#REF!,8,FALSE),0)</f>
        <v>0</v>
      </c>
      <c r="AH151" s="207">
        <f>IFERROR(VLOOKUP(Opv.kohd.[[#This Row],[Y-tunnus]],#REF!,9,FALSE),0)</f>
        <v>0</v>
      </c>
      <c r="AI151" s="207">
        <f>IFERROR(VLOOKUP(Opv.kohd.[[#This Row],[Y-tunnus]],#REF!,10,FALSE),0)</f>
        <v>0</v>
      </c>
      <c r="AJ151" s="204">
        <f>Opv.kohd.[[#This Row],[Järjestämisluvan mukaiset 4]]-Opv.kohd.[[#This Row],[Järjestämisluvan mukaiset 1]]</f>
        <v>0</v>
      </c>
      <c r="AK151" s="204">
        <f>Opv.kohd.[[#This Row],[Kohdentamat-tomat 4]]-Opv.kohd.[[#This Row],[Kohdentamat-tomat 1]]</f>
        <v>0</v>
      </c>
      <c r="AL151" s="204">
        <f>Opv.kohd.[[#This Row],[Työvoima-koulutus 4]]-Opv.kohd.[[#This Row],[Työvoima-koulutus 1]]</f>
        <v>0</v>
      </c>
      <c r="AM151" s="204">
        <f>Opv.kohd.[[#This Row],[Maahan-muuttajien koulutus 4]]-Opv.kohd.[[#This Row],[Maahan-muuttajien koulutus 1]]</f>
        <v>0</v>
      </c>
      <c r="AN151" s="204">
        <f>Opv.kohd.[[#This Row],[Nuorisotyöt. väh. ja osaamistarp. vast., muu kuin työvoima-koulutus 4]]-Opv.kohd.[[#This Row],[Nuorisotyöt. väh. ja osaamistarp. vast., muu kuin työvoima-koulutus 1]]</f>
        <v>0</v>
      </c>
      <c r="AO151" s="204">
        <f>Opv.kohd.[[#This Row],[Nuorisotyöt. väh. ja osaamistarp. vast., työvoima-koulutus 4]]-Opv.kohd.[[#This Row],[Nuorisotyöt. väh. ja osaamistarp. vast., työvoima-koulutus 1]]</f>
        <v>0</v>
      </c>
      <c r="AP151" s="204">
        <f>Opv.kohd.[[#This Row],[Yhteensä 4]]-Opv.kohd.[[#This Row],[Yhteensä  1]]</f>
        <v>0</v>
      </c>
      <c r="AQ151" s="204">
        <f>Opv.kohd.[[#This Row],[Ensikertaisella suoritepäätöksellä jaetut tavoitteelliset opiskelijavuodet yhteensä 4]]-Opv.kohd.[[#This Row],[Ensikertaisella suoritepäätöksellä jaetut tavoitteelliset opiskelijavuodet yhteensä 1]]</f>
        <v>0</v>
      </c>
      <c r="AR151" s="208">
        <f>IFERROR(Opv.kohd.[[#This Row],[Järjestämisluvan mukaiset 5]]/Opv.kohd.[[#This Row],[Järjestämisluvan mukaiset 4]],0)</f>
        <v>0</v>
      </c>
      <c r="AS151" s="208">
        <f>IFERROR(Opv.kohd.[[#This Row],[Kohdentamat-tomat 5]]/Opv.kohd.[[#This Row],[Kohdentamat-tomat 4]],0)</f>
        <v>0</v>
      </c>
      <c r="AT151" s="208">
        <f>IFERROR(Opv.kohd.[[#This Row],[Työvoima-koulutus 5]]/Opv.kohd.[[#This Row],[Työvoima-koulutus 4]],0)</f>
        <v>0</v>
      </c>
      <c r="AU151" s="208">
        <f>IFERROR(Opv.kohd.[[#This Row],[Maahan-muuttajien koulutus 5]]/Opv.kohd.[[#This Row],[Maahan-muuttajien koulutus 4]],0)</f>
        <v>0</v>
      </c>
      <c r="AV151" s="208">
        <f>IFERROR(Opv.kohd.[[#This Row],[Nuorisotyöt. väh. ja osaamistarp. vast., muu kuin työvoima-koulutus 5]]/Opv.kohd.[[#This Row],[Nuorisotyöt. väh. ja osaamistarp. vast., muu kuin työvoima-koulutus 4]],0)</f>
        <v>0</v>
      </c>
      <c r="AW151" s="208">
        <f>IFERROR(Opv.kohd.[[#This Row],[Nuorisotyöt. väh. ja osaamistarp. vast., työvoima-koulutus 5]]/Opv.kohd.[[#This Row],[Nuorisotyöt. väh. ja osaamistarp. vast., työvoima-koulutus 4]],0)</f>
        <v>0</v>
      </c>
      <c r="AX151" s="208">
        <f>IFERROR(Opv.kohd.[[#This Row],[Yhteensä 5]]/Opv.kohd.[[#This Row],[Yhteensä 4]],0)</f>
        <v>0</v>
      </c>
      <c r="AY151" s="208">
        <f>IFERROR(Opv.kohd.[[#This Row],[Ensikertaisella suoritepäätöksellä jaetut tavoitteelliset opiskelijavuodet yhteensä 5]]/Opv.kohd.[[#This Row],[Ensikertaisella suoritepäätöksellä jaetut tavoitteelliset opiskelijavuodet yhteensä 4]],0)</f>
        <v>0</v>
      </c>
      <c r="AZ151" s="207">
        <f>Opv.kohd.[[#This Row],[Yhteensä 7a]]-Opv.kohd.[[#This Row],[Työvoima-koulutus 7a]]</f>
        <v>0</v>
      </c>
      <c r="BA151" s="207">
        <f>IFERROR(VLOOKUP(Opv.kohd.[[#This Row],[Y-tunnus]],#REF!,COLUMN(#REF!),FALSE),0)</f>
        <v>0</v>
      </c>
      <c r="BB151" s="207">
        <f>IFERROR(VLOOKUP(Opv.kohd.[[#This Row],[Y-tunnus]],#REF!,COLUMN(#REF!),FALSE),0)</f>
        <v>0</v>
      </c>
      <c r="BC151" s="207">
        <f>Opv.kohd.[[#This Row],[Muu kuin työvoima-koulutus 7c]]-Opv.kohd.[[#This Row],[Muu kuin työvoima-koulutus 7a]]</f>
        <v>0</v>
      </c>
      <c r="BD151" s="207">
        <f>Opv.kohd.[[#This Row],[Työvoima-koulutus 7c]]-Opv.kohd.[[#This Row],[Työvoima-koulutus 7a]]</f>
        <v>0</v>
      </c>
      <c r="BE151" s="207">
        <f>Opv.kohd.[[#This Row],[Yhteensä 7c]]-Opv.kohd.[[#This Row],[Yhteensä 7a]]</f>
        <v>0</v>
      </c>
      <c r="BF151" s="207">
        <f>Opv.kohd.[[#This Row],[Yhteensä 7c]]-Opv.kohd.[[#This Row],[Työvoima-koulutus 7c]]</f>
        <v>0</v>
      </c>
      <c r="BG151" s="207">
        <f>IFERROR(VLOOKUP(Opv.kohd.[[#This Row],[Y-tunnus]],#REF!,COLUMN(#REF!),FALSE),0)</f>
        <v>0</v>
      </c>
      <c r="BH151" s="207">
        <f>IFERROR(VLOOKUP(Opv.kohd.[[#This Row],[Y-tunnus]],#REF!,COLUMN(#REF!),FALSE),0)</f>
        <v>0</v>
      </c>
      <c r="BI151" s="207">
        <f>IFERROR(VLOOKUP(Opv.kohd.[[#This Row],[Y-tunnus]],#REF!,COLUMN(#REF!),FALSE),0)</f>
        <v>0</v>
      </c>
      <c r="BJ151" s="207">
        <f>IFERROR(VLOOKUP(Opv.kohd.[[#This Row],[Y-tunnus]],#REF!,COLUMN(#REF!),FALSE),0)</f>
        <v>0</v>
      </c>
      <c r="BK151" s="207">
        <f>Opv.kohd.[[#This Row],[Muu kuin työvoima-koulutus 7d]]+Opv.kohd.[[#This Row],[Työvoima-koulutus 7d]]</f>
        <v>0</v>
      </c>
      <c r="BL151" s="207">
        <f>Opv.kohd.[[#This Row],[Muu kuin työvoima-koulutus 7c]]-Opv.kohd.[[#This Row],[Muu kuin työvoima-koulutus 7d]]</f>
        <v>0</v>
      </c>
      <c r="BM151" s="207">
        <f>Opv.kohd.[[#This Row],[Työvoima-koulutus 7c]]-Opv.kohd.[[#This Row],[Työvoima-koulutus 7d]]</f>
        <v>0</v>
      </c>
      <c r="BN151" s="207">
        <f>Opv.kohd.[[#This Row],[Yhteensä 7c]]-Opv.kohd.[[#This Row],[Yhteensä 7d]]</f>
        <v>0</v>
      </c>
      <c r="BO151" s="207">
        <f>Opv.kohd.[[#This Row],[Muu kuin työvoima-koulutus 7e]]-(Opv.kohd.[[#This Row],[Järjestämisluvan mukaiset 4]]+Opv.kohd.[[#This Row],[Kohdentamat-tomat 4]]+Opv.kohd.[[#This Row],[Maahan-muuttajien koulutus 4]]+Opv.kohd.[[#This Row],[Nuorisotyöt. väh. ja osaamistarp. vast., muu kuin työvoima-koulutus 4]])</f>
        <v>0</v>
      </c>
      <c r="BP151" s="207">
        <f>Opv.kohd.[[#This Row],[Työvoima-koulutus 7e]]-(Opv.kohd.[[#This Row],[Työvoima-koulutus 4]]+Opv.kohd.[[#This Row],[Nuorisotyöt. väh. ja osaamistarp. vast., työvoima-koulutus 4]])</f>
        <v>0</v>
      </c>
      <c r="BQ151" s="207">
        <f>Opv.kohd.[[#This Row],[Yhteensä 7e]]-Opv.kohd.[[#This Row],[Ensikertaisella suoritepäätöksellä jaetut tavoitteelliset opiskelijavuodet yhteensä 4]]</f>
        <v>0</v>
      </c>
      <c r="BR151" s="263">
        <v>28</v>
      </c>
      <c r="BS151" s="263">
        <v>4</v>
      </c>
      <c r="BT151" s="263">
        <v>0</v>
      </c>
      <c r="BU151" s="263">
        <v>0</v>
      </c>
      <c r="BV151" s="263">
        <v>0</v>
      </c>
      <c r="BW151" s="263">
        <v>0</v>
      </c>
      <c r="BX151" s="263">
        <v>4</v>
      </c>
      <c r="BY151" s="263">
        <v>32</v>
      </c>
      <c r="BZ151" s="207">
        <f t="shared" si="32"/>
        <v>28</v>
      </c>
      <c r="CA151" s="207">
        <f t="shared" si="33"/>
        <v>4</v>
      </c>
      <c r="CB151" s="207">
        <f t="shared" si="34"/>
        <v>0</v>
      </c>
      <c r="CC151" s="207">
        <f t="shared" si="35"/>
        <v>0</v>
      </c>
      <c r="CD151" s="207">
        <f t="shared" si="36"/>
        <v>0</v>
      </c>
      <c r="CE151" s="207">
        <f t="shared" si="37"/>
        <v>0</v>
      </c>
      <c r="CF151" s="207">
        <f t="shared" si="38"/>
        <v>4</v>
      </c>
      <c r="CG151" s="207">
        <f t="shared" si="39"/>
        <v>32</v>
      </c>
      <c r="CH151" s="207">
        <f>Opv.kohd.[[#This Row],[Tavoitteelliset opiskelijavuodet yhteensä 9]]-Opv.kohd.[[#This Row],[Työvoima-koulutus 9]]-Opv.kohd.[[#This Row],[Nuorisotyöt. väh. ja osaamistarp. vast., työvoima-koulutus 9]]-Opv.kohd.[[#This Row],[Muu kuin työvoima-koulutus 7e]]</f>
        <v>32</v>
      </c>
      <c r="CI151" s="207">
        <f>(Opv.kohd.[[#This Row],[Työvoima-koulutus 9]]+Opv.kohd.[[#This Row],[Nuorisotyöt. väh. ja osaamistarp. vast., työvoima-koulutus 9]])-Opv.kohd.[[#This Row],[Työvoima-koulutus 7e]]</f>
        <v>0</v>
      </c>
      <c r="CJ151" s="207">
        <f>Opv.kohd.[[#This Row],[Tavoitteelliset opiskelijavuodet yhteensä 9]]-Opv.kohd.[[#This Row],[Yhteensä 7e]]</f>
        <v>32</v>
      </c>
      <c r="CK151" s="207">
        <f>Opv.kohd.[[#This Row],[Järjestämisluvan mukaiset 4]]+Opv.kohd.[[#This Row],[Järjestämisluvan mukaiset 13]]</f>
        <v>0</v>
      </c>
      <c r="CL151" s="207">
        <f>Opv.kohd.[[#This Row],[Kohdentamat-tomat 4]]+Opv.kohd.[[#This Row],[Kohdentamat-tomat 13]]</f>
        <v>0</v>
      </c>
      <c r="CM151" s="207">
        <f>Opv.kohd.[[#This Row],[Työvoima-koulutus 4]]+Opv.kohd.[[#This Row],[Työvoima-koulutus 13]]</f>
        <v>0</v>
      </c>
      <c r="CN151" s="207">
        <f>Opv.kohd.[[#This Row],[Maahan-muuttajien koulutus 4]]+Opv.kohd.[[#This Row],[Maahan-muuttajien koulutus 13]]</f>
        <v>0</v>
      </c>
      <c r="CO151" s="207">
        <f>Opv.kohd.[[#This Row],[Nuorisotyöt. väh. ja osaamistarp. vast., muu kuin työvoima-koulutus 4]]+Opv.kohd.[[#This Row],[Nuorisotyöt. väh. ja osaamistarp. vast., muu kuin työvoima-koulutus 13]]</f>
        <v>0</v>
      </c>
      <c r="CP151" s="207">
        <f>Opv.kohd.[[#This Row],[Nuorisotyöt. väh. ja osaamistarp. vast., työvoima-koulutus 4]]+Opv.kohd.[[#This Row],[Nuorisotyöt. väh. ja osaamistarp. vast., työvoima-koulutus 13]]</f>
        <v>0</v>
      </c>
      <c r="CQ151" s="207">
        <f>Opv.kohd.[[#This Row],[Yhteensä 4]]+Opv.kohd.[[#This Row],[Yhteensä 13]]</f>
        <v>0</v>
      </c>
      <c r="CR151" s="207">
        <f>Opv.kohd.[[#This Row],[Ensikertaisella suoritepäätöksellä jaetut tavoitteelliset opiskelijavuodet yhteensä 4]]+Opv.kohd.[[#This Row],[Tavoitteelliset opiskelijavuodet yhteensä 13]]</f>
        <v>0</v>
      </c>
      <c r="CS151" s="120">
        <v>0</v>
      </c>
      <c r="CT151" s="120">
        <v>0</v>
      </c>
      <c r="CU151" s="120">
        <v>0</v>
      </c>
      <c r="CV151" s="120">
        <v>0</v>
      </c>
      <c r="CW151" s="120">
        <v>0</v>
      </c>
      <c r="CX151" s="120">
        <v>0</v>
      </c>
      <c r="CY151" s="120">
        <v>0</v>
      </c>
      <c r="CZ151" s="120">
        <v>0</v>
      </c>
      <c r="DA151" s="209">
        <f>IFERROR(Opv.kohd.[[#This Row],[Järjestämisluvan mukaiset 13]]/Opv.kohd.[[#This Row],[Järjestämisluvan mukaiset 12]],0)</f>
        <v>0</v>
      </c>
      <c r="DB151" s="209">
        <f>IFERROR(Opv.kohd.[[#This Row],[Kohdentamat-tomat 13]]/Opv.kohd.[[#This Row],[Kohdentamat-tomat 12]],0)</f>
        <v>0</v>
      </c>
      <c r="DC151" s="209">
        <f>IFERROR(Opv.kohd.[[#This Row],[Työvoima-koulutus 13]]/Opv.kohd.[[#This Row],[Työvoima-koulutus 12]],0)</f>
        <v>0</v>
      </c>
      <c r="DD151" s="209">
        <f>IFERROR(Opv.kohd.[[#This Row],[Maahan-muuttajien koulutus 13]]/Opv.kohd.[[#This Row],[Maahan-muuttajien koulutus 12]],0)</f>
        <v>0</v>
      </c>
      <c r="DE151" s="209">
        <f>IFERROR(Opv.kohd.[[#This Row],[Nuorisotyöt. väh. ja osaamistarp. vast., muu kuin työvoima-koulutus 13]]/Opv.kohd.[[#This Row],[Nuorisotyöt. väh. ja osaamistarp. vast., muu kuin työvoima-koulutus 12]],0)</f>
        <v>0</v>
      </c>
      <c r="DF151" s="209">
        <f>IFERROR(Opv.kohd.[[#This Row],[Nuorisotyöt. väh. ja osaamistarp. vast., työvoima-koulutus 13]]/Opv.kohd.[[#This Row],[Nuorisotyöt. väh. ja osaamistarp. vast., työvoima-koulutus 12]],0)</f>
        <v>0</v>
      </c>
      <c r="DG151" s="209">
        <f>IFERROR(Opv.kohd.[[#This Row],[Yhteensä 13]]/Opv.kohd.[[#This Row],[Yhteensä 12]],0)</f>
        <v>0</v>
      </c>
      <c r="DH151" s="209">
        <f>IFERROR(Opv.kohd.[[#This Row],[Tavoitteelliset opiskelijavuodet yhteensä 13]]/Opv.kohd.[[#This Row],[Tavoitteelliset opiskelijavuodet yhteensä 12]],0)</f>
        <v>0</v>
      </c>
      <c r="DI151" s="207">
        <f>Opv.kohd.[[#This Row],[Järjestämisluvan mukaiset 12]]-Opv.kohd.[[#This Row],[Järjestämisluvan mukaiset 9]]</f>
        <v>-28</v>
      </c>
      <c r="DJ151" s="207">
        <f>Opv.kohd.[[#This Row],[Kohdentamat-tomat 12]]-Opv.kohd.[[#This Row],[Kohdentamat-tomat 9]]</f>
        <v>-4</v>
      </c>
      <c r="DK151" s="207">
        <f>Opv.kohd.[[#This Row],[Työvoima-koulutus 12]]-Opv.kohd.[[#This Row],[Työvoima-koulutus 9]]</f>
        <v>0</v>
      </c>
      <c r="DL151" s="207">
        <f>Opv.kohd.[[#This Row],[Maahan-muuttajien koulutus 12]]-Opv.kohd.[[#This Row],[Maahan-muuttajien koulutus 9]]</f>
        <v>0</v>
      </c>
      <c r="DM151" s="207">
        <f>Opv.kohd.[[#This Row],[Nuorisotyöt. väh. ja osaamistarp. vast., muu kuin työvoima-koulutus 12]]-Opv.kohd.[[#This Row],[Nuorisotyöt. väh. ja osaamistarp. vast., muu kuin työvoima-koulutus 9]]</f>
        <v>0</v>
      </c>
      <c r="DN151" s="207">
        <f>Opv.kohd.[[#This Row],[Nuorisotyöt. väh. ja osaamistarp. vast., työvoima-koulutus 12]]-Opv.kohd.[[#This Row],[Nuorisotyöt. väh. ja osaamistarp. vast., työvoima-koulutus 9]]</f>
        <v>0</v>
      </c>
      <c r="DO151" s="207">
        <f>Opv.kohd.[[#This Row],[Yhteensä 12]]-Opv.kohd.[[#This Row],[Yhteensä 9]]</f>
        <v>-4</v>
      </c>
      <c r="DP151" s="207">
        <f>Opv.kohd.[[#This Row],[Tavoitteelliset opiskelijavuodet yhteensä 12]]-Opv.kohd.[[#This Row],[Tavoitteelliset opiskelijavuodet yhteensä 9]]</f>
        <v>-32</v>
      </c>
      <c r="DQ151" s="209">
        <f>IFERROR(Opv.kohd.[[#This Row],[Järjestämisluvan mukaiset 15]]/Opv.kohd.[[#This Row],[Järjestämisluvan mukaiset 9]],0)</f>
        <v>-1</v>
      </c>
      <c r="DR151" s="209">
        <f t="shared" si="40"/>
        <v>0</v>
      </c>
      <c r="DS151" s="209">
        <f t="shared" si="41"/>
        <v>0</v>
      </c>
      <c r="DT151" s="209">
        <f t="shared" si="42"/>
        <v>0</v>
      </c>
      <c r="DU151" s="209">
        <f t="shared" si="43"/>
        <v>0</v>
      </c>
      <c r="DV151" s="209">
        <f t="shared" si="44"/>
        <v>0</v>
      </c>
      <c r="DW151" s="209">
        <f t="shared" si="45"/>
        <v>0</v>
      </c>
      <c r="DX151" s="209">
        <f t="shared" si="46"/>
        <v>0</v>
      </c>
    </row>
    <row r="152" spans="1:128" x14ac:dyDescent="0.25">
      <c r="A152" s="204" t="e">
        <f>IF(INDEX(#REF!,ROW(152:152)-1,1)=0,"",INDEX(#REF!,ROW(152:152)-1,1))</f>
        <v>#REF!</v>
      </c>
      <c r="B152" s="205" t="str">
        <f>IFERROR(VLOOKUP(Opv.kohd.[[#This Row],[Y-tunnus]],'0 Järjestäjätiedot'!$A:$H,2,FALSE),"")</f>
        <v/>
      </c>
      <c r="C152" s="204" t="str">
        <f>IFERROR(VLOOKUP(Opv.kohd.[[#This Row],[Y-tunnus]],'0 Järjestäjätiedot'!$A:$H,COLUMN('0 Järjestäjätiedot'!D:D),FALSE),"")</f>
        <v/>
      </c>
      <c r="D152" s="204" t="str">
        <f>IFERROR(VLOOKUP(Opv.kohd.[[#This Row],[Y-tunnus]],'0 Järjestäjätiedot'!$A:$H,COLUMN('0 Järjestäjätiedot'!H:H),FALSE),"")</f>
        <v/>
      </c>
      <c r="E152" s="204">
        <f>IFERROR(VLOOKUP(Opv.kohd.[[#This Row],[Y-tunnus]],#REF!,COLUMN(#REF!),FALSE),0)</f>
        <v>0</v>
      </c>
      <c r="F152" s="204">
        <f>IFERROR(VLOOKUP(Opv.kohd.[[#This Row],[Y-tunnus]],#REF!,COLUMN(#REF!),FALSE),0)</f>
        <v>0</v>
      </c>
      <c r="G152" s="204">
        <f>IFERROR(VLOOKUP(Opv.kohd.[[#This Row],[Y-tunnus]],#REF!,COLUMN(#REF!),FALSE),0)</f>
        <v>0</v>
      </c>
      <c r="H152" s="204">
        <f>IFERROR(VLOOKUP(Opv.kohd.[[#This Row],[Y-tunnus]],#REF!,COLUMN(#REF!),FALSE),0)</f>
        <v>0</v>
      </c>
      <c r="I152" s="204">
        <f>IFERROR(VLOOKUP(Opv.kohd.[[#This Row],[Y-tunnus]],#REF!,COLUMN(#REF!),FALSE),0)</f>
        <v>0</v>
      </c>
      <c r="J152" s="204">
        <f>IFERROR(VLOOKUP(Opv.kohd.[[#This Row],[Y-tunnus]],#REF!,COLUMN(#REF!),FALSE),0)</f>
        <v>0</v>
      </c>
      <c r="K15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52" s="204">
        <f>Opv.kohd.[[#This Row],[Järjestämisluvan mukaiset 1]]+Opv.kohd.[[#This Row],[Yhteensä  1]]</f>
        <v>0</v>
      </c>
      <c r="M152" s="204">
        <f>IFERROR(VLOOKUP(Opv.kohd.[[#This Row],[Y-tunnus]],#REF!,COLUMN(#REF!),FALSE),0)</f>
        <v>0</v>
      </c>
      <c r="N152" s="204">
        <f>IFERROR(VLOOKUP(Opv.kohd.[[#This Row],[Y-tunnus]],#REF!,COLUMN(#REF!),FALSE),0)</f>
        <v>0</v>
      </c>
      <c r="O152" s="204">
        <f>IFERROR(VLOOKUP(Opv.kohd.[[#This Row],[Y-tunnus]],#REF!,COLUMN(#REF!),FALSE)+VLOOKUP(Opv.kohd.[[#This Row],[Y-tunnus]],#REF!,COLUMN(#REF!),FALSE),0)</f>
        <v>0</v>
      </c>
      <c r="P152" s="204">
        <f>Opv.kohd.[[#This Row],[Talousarvion perusteella kohdentamattomat]]+Opv.kohd.[[#This Row],[Talousarvion perusteella työvoimakoulutus 1]]+Opv.kohd.[[#This Row],[Lisätalousarvioiden perusteella]]</f>
        <v>0</v>
      </c>
      <c r="Q152" s="204">
        <f>IFERROR(VLOOKUP(Opv.kohd.[[#This Row],[Y-tunnus]],#REF!,COLUMN(#REF!),FALSE),0)</f>
        <v>0</v>
      </c>
      <c r="R152" s="210">
        <f>IFERROR(VLOOKUP(Opv.kohd.[[#This Row],[Y-tunnus]],#REF!,COLUMN(#REF!),FALSE)-(Opv.kohd.[[#This Row],[Kohdentamaton työvoima-koulutus 2]]+Opv.kohd.[[#This Row],[Maahan-muuttajien koulutus 2]]+Opv.kohd.[[#This Row],[Lisätalousarvioiden perusteella jaetut 2]]),0)</f>
        <v>0</v>
      </c>
      <c r="S152" s="210">
        <f>IFERROR(VLOOKUP(Opv.kohd.[[#This Row],[Y-tunnus]],#REF!,COLUMN(#REF!),FALSE)+VLOOKUP(Opv.kohd.[[#This Row],[Y-tunnus]],#REF!,COLUMN(#REF!),FALSE),0)</f>
        <v>0</v>
      </c>
      <c r="T152" s="210">
        <f>IFERROR(VLOOKUP(Opv.kohd.[[#This Row],[Y-tunnus]],#REF!,COLUMN(#REF!),FALSE)+VLOOKUP(Opv.kohd.[[#This Row],[Y-tunnus]],#REF!,COLUMN(#REF!),FALSE),0)</f>
        <v>0</v>
      </c>
      <c r="U15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52" s="210">
        <f>Opv.kohd.[[#This Row],[Kohdentamat-tomat 2]]+Opv.kohd.[[#This Row],[Kohdentamaton työvoima-koulutus 2]]+Opv.kohd.[[#This Row],[Maahan-muuttajien koulutus 2]]+Opv.kohd.[[#This Row],[Lisätalousarvioiden perusteella jaetut 2]]</f>
        <v>0</v>
      </c>
      <c r="W152" s="210">
        <f>Opv.kohd.[[#This Row],[Kohdentamat-tomat 2]]-(Opv.kohd.[[#This Row],[Järjestämisluvan mukaiset 1]]+Opv.kohd.[[#This Row],[Kohdentamat-tomat 1]]+Opv.kohd.[[#This Row],[Nuorisotyöt. väh. ja osaamistarp. vast., muu kuin työvoima-koulutus 1]]+Opv.kohd.[[#This Row],[Talousarvion perusteella kohdentamattomat]])</f>
        <v>0</v>
      </c>
      <c r="X152" s="210">
        <f>Opv.kohd.[[#This Row],[Kohdentamaton työvoima-koulutus 2]]-(Opv.kohd.[[#This Row],[Työvoima-koulutus 1]]+Opv.kohd.[[#This Row],[Nuorisotyöt. väh. ja osaamistarp. vast., työvoima-koulutus 1]]+Opv.kohd.[[#This Row],[Talousarvion perusteella työvoimakoulutus 1]])</f>
        <v>0</v>
      </c>
      <c r="Y152" s="210">
        <f>Opv.kohd.[[#This Row],[Maahan-muuttajien koulutus 2]]-Opv.kohd.[[#This Row],[Maahan-muuttajien koulutus 1]]</f>
        <v>0</v>
      </c>
      <c r="Z152" s="210">
        <f>Opv.kohd.[[#This Row],[Lisätalousarvioiden perusteella jaetut 2]]-Opv.kohd.[[#This Row],[Lisätalousarvioiden perusteella]]</f>
        <v>0</v>
      </c>
      <c r="AA152" s="210">
        <f>Opv.kohd.[[#This Row],[Toteutuneet opiskelijavuodet yhteensä 2]]-Opv.kohd.[[#This Row],[Vuoden 2018 tavoitteelliset opiskelijavuodet yhteensä 1]]</f>
        <v>0</v>
      </c>
      <c r="AB152" s="207">
        <f>IFERROR(VLOOKUP(Opv.kohd.[[#This Row],[Y-tunnus]],#REF!,3,FALSE),0)</f>
        <v>0</v>
      </c>
      <c r="AC152" s="207">
        <f>IFERROR(VLOOKUP(Opv.kohd.[[#This Row],[Y-tunnus]],#REF!,4,FALSE),0)</f>
        <v>0</v>
      </c>
      <c r="AD152" s="207">
        <f>IFERROR(VLOOKUP(Opv.kohd.[[#This Row],[Y-tunnus]],#REF!,5,FALSE),0)</f>
        <v>0</v>
      </c>
      <c r="AE152" s="207">
        <f>IFERROR(VLOOKUP(Opv.kohd.[[#This Row],[Y-tunnus]],#REF!,6,FALSE),0)</f>
        <v>0</v>
      </c>
      <c r="AF152" s="207">
        <f>IFERROR(VLOOKUP(Opv.kohd.[[#This Row],[Y-tunnus]],#REF!,7,FALSE),0)</f>
        <v>0</v>
      </c>
      <c r="AG152" s="207">
        <f>IFERROR(VLOOKUP(Opv.kohd.[[#This Row],[Y-tunnus]],#REF!,8,FALSE),0)</f>
        <v>0</v>
      </c>
      <c r="AH152" s="207">
        <f>IFERROR(VLOOKUP(Opv.kohd.[[#This Row],[Y-tunnus]],#REF!,9,FALSE),0)</f>
        <v>0</v>
      </c>
      <c r="AI152" s="207">
        <f>IFERROR(VLOOKUP(Opv.kohd.[[#This Row],[Y-tunnus]],#REF!,10,FALSE),0)</f>
        <v>0</v>
      </c>
      <c r="AJ152" s="204">
        <f>Opv.kohd.[[#This Row],[Järjestämisluvan mukaiset 4]]-Opv.kohd.[[#This Row],[Järjestämisluvan mukaiset 1]]</f>
        <v>0</v>
      </c>
      <c r="AK152" s="204">
        <f>Opv.kohd.[[#This Row],[Kohdentamat-tomat 4]]-Opv.kohd.[[#This Row],[Kohdentamat-tomat 1]]</f>
        <v>0</v>
      </c>
      <c r="AL152" s="204">
        <f>Opv.kohd.[[#This Row],[Työvoima-koulutus 4]]-Opv.kohd.[[#This Row],[Työvoima-koulutus 1]]</f>
        <v>0</v>
      </c>
      <c r="AM152" s="204">
        <f>Opv.kohd.[[#This Row],[Maahan-muuttajien koulutus 4]]-Opv.kohd.[[#This Row],[Maahan-muuttajien koulutus 1]]</f>
        <v>0</v>
      </c>
      <c r="AN152" s="204">
        <f>Opv.kohd.[[#This Row],[Nuorisotyöt. väh. ja osaamistarp. vast., muu kuin työvoima-koulutus 4]]-Opv.kohd.[[#This Row],[Nuorisotyöt. väh. ja osaamistarp. vast., muu kuin työvoima-koulutus 1]]</f>
        <v>0</v>
      </c>
      <c r="AO152" s="204">
        <f>Opv.kohd.[[#This Row],[Nuorisotyöt. väh. ja osaamistarp. vast., työvoima-koulutus 4]]-Opv.kohd.[[#This Row],[Nuorisotyöt. väh. ja osaamistarp. vast., työvoima-koulutus 1]]</f>
        <v>0</v>
      </c>
      <c r="AP152" s="204">
        <f>Opv.kohd.[[#This Row],[Yhteensä 4]]-Opv.kohd.[[#This Row],[Yhteensä  1]]</f>
        <v>0</v>
      </c>
      <c r="AQ152" s="204">
        <f>Opv.kohd.[[#This Row],[Ensikertaisella suoritepäätöksellä jaetut tavoitteelliset opiskelijavuodet yhteensä 4]]-Opv.kohd.[[#This Row],[Ensikertaisella suoritepäätöksellä jaetut tavoitteelliset opiskelijavuodet yhteensä 1]]</f>
        <v>0</v>
      </c>
      <c r="AR152" s="208">
        <f>IFERROR(Opv.kohd.[[#This Row],[Järjestämisluvan mukaiset 5]]/Opv.kohd.[[#This Row],[Järjestämisluvan mukaiset 4]],0)</f>
        <v>0</v>
      </c>
      <c r="AS152" s="208">
        <f>IFERROR(Opv.kohd.[[#This Row],[Kohdentamat-tomat 5]]/Opv.kohd.[[#This Row],[Kohdentamat-tomat 4]],0)</f>
        <v>0</v>
      </c>
      <c r="AT152" s="208">
        <f>IFERROR(Opv.kohd.[[#This Row],[Työvoima-koulutus 5]]/Opv.kohd.[[#This Row],[Työvoima-koulutus 4]],0)</f>
        <v>0</v>
      </c>
      <c r="AU152" s="208">
        <f>IFERROR(Opv.kohd.[[#This Row],[Maahan-muuttajien koulutus 5]]/Opv.kohd.[[#This Row],[Maahan-muuttajien koulutus 4]],0)</f>
        <v>0</v>
      </c>
      <c r="AV152" s="208">
        <f>IFERROR(Opv.kohd.[[#This Row],[Nuorisotyöt. väh. ja osaamistarp. vast., muu kuin työvoima-koulutus 5]]/Opv.kohd.[[#This Row],[Nuorisotyöt. väh. ja osaamistarp. vast., muu kuin työvoima-koulutus 4]],0)</f>
        <v>0</v>
      </c>
      <c r="AW152" s="208">
        <f>IFERROR(Opv.kohd.[[#This Row],[Nuorisotyöt. väh. ja osaamistarp. vast., työvoima-koulutus 5]]/Opv.kohd.[[#This Row],[Nuorisotyöt. väh. ja osaamistarp. vast., työvoima-koulutus 4]],0)</f>
        <v>0</v>
      </c>
      <c r="AX152" s="208">
        <f>IFERROR(Opv.kohd.[[#This Row],[Yhteensä 5]]/Opv.kohd.[[#This Row],[Yhteensä 4]],0)</f>
        <v>0</v>
      </c>
      <c r="AY152" s="208">
        <f>IFERROR(Opv.kohd.[[#This Row],[Ensikertaisella suoritepäätöksellä jaetut tavoitteelliset opiskelijavuodet yhteensä 5]]/Opv.kohd.[[#This Row],[Ensikertaisella suoritepäätöksellä jaetut tavoitteelliset opiskelijavuodet yhteensä 4]],0)</f>
        <v>0</v>
      </c>
      <c r="AZ152" s="207">
        <f>Opv.kohd.[[#This Row],[Yhteensä 7a]]-Opv.kohd.[[#This Row],[Työvoima-koulutus 7a]]</f>
        <v>0</v>
      </c>
      <c r="BA152" s="207">
        <f>IFERROR(VLOOKUP(Opv.kohd.[[#This Row],[Y-tunnus]],#REF!,COLUMN(#REF!),FALSE),0)</f>
        <v>0</v>
      </c>
      <c r="BB152" s="207">
        <f>IFERROR(VLOOKUP(Opv.kohd.[[#This Row],[Y-tunnus]],#REF!,COLUMN(#REF!),FALSE),0)</f>
        <v>0</v>
      </c>
      <c r="BC152" s="207">
        <f>Opv.kohd.[[#This Row],[Muu kuin työvoima-koulutus 7c]]-Opv.kohd.[[#This Row],[Muu kuin työvoima-koulutus 7a]]</f>
        <v>0</v>
      </c>
      <c r="BD152" s="207">
        <f>Opv.kohd.[[#This Row],[Työvoima-koulutus 7c]]-Opv.kohd.[[#This Row],[Työvoima-koulutus 7a]]</f>
        <v>0</v>
      </c>
      <c r="BE152" s="207">
        <f>Opv.kohd.[[#This Row],[Yhteensä 7c]]-Opv.kohd.[[#This Row],[Yhteensä 7a]]</f>
        <v>0</v>
      </c>
      <c r="BF152" s="207">
        <f>Opv.kohd.[[#This Row],[Yhteensä 7c]]-Opv.kohd.[[#This Row],[Työvoima-koulutus 7c]]</f>
        <v>0</v>
      </c>
      <c r="BG152" s="207">
        <f>IFERROR(VLOOKUP(Opv.kohd.[[#This Row],[Y-tunnus]],#REF!,COLUMN(#REF!),FALSE),0)</f>
        <v>0</v>
      </c>
      <c r="BH152" s="207">
        <f>IFERROR(VLOOKUP(Opv.kohd.[[#This Row],[Y-tunnus]],#REF!,COLUMN(#REF!),FALSE),0)</f>
        <v>0</v>
      </c>
      <c r="BI152" s="207">
        <f>IFERROR(VLOOKUP(Opv.kohd.[[#This Row],[Y-tunnus]],#REF!,COLUMN(#REF!),FALSE),0)</f>
        <v>0</v>
      </c>
      <c r="BJ152" s="207">
        <f>IFERROR(VLOOKUP(Opv.kohd.[[#This Row],[Y-tunnus]],#REF!,COLUMN(#REF!),FALSE),0)</f>
        <v>0</v>
      </c>
      <c r="BK152" s="207">
        <f>Opv.kohd.[[#This Row],[Muu kuin työvoima-koulutus 7d]]+Opv.kohd.[[#This Row],[Työvoima-koulutus 7d]]</f>
        <v>0</v>
      </c>
      <c r="BL152" s="207">
        <f>Opv.kohd.[[#This Row],[Muu kuin työvoima-koulutus 7c]]-Opv.kohd.[[#This Row],[Muu kuin työvoima-koulutus 7d]]</f>
        <v>0</v>
      </c>
      <c r="BM152" s="207">
        <f>Opv.kohd.[[#This Row],[Työvoima-koulutus 7c]]-Opv.kohd.[[#This Row],[Työvoima-koulutus 7d]]</f>
        <v>0</v>
      </c>
      <c r="BN152" s="207">
        <f>Opv.kohd.[[#This Row],[Yhteensä 7c]]-Opv.kohd.[[#This Row],[Yhteensä 7d]]</f>
        <v>0</v>
      </c>
      <c r="BO152" s="207">
        <f>Opv.kohd.[[#This Row],[Muu kuin työvoima-koulutus 7e]]-(Opv.kohd.[[#This Row],[Järjestämisluvan mukaiset 4]]+Opv.kohd.[[#This Row],[Kohdentamat-tomat 4]]+Opv.kohd.[[#This Row],[Maahan-muuttajien koulutus 4]]+Opv.kohd.[[#This Row],[Nuorisotyöt. väh. ja osaamistarp. vast., muu kuin työvoima-koulutus 4]])</f>
        <v>0</v>
      </c>
      <c r="BP152" s="207">
        <f>Opv.kohd.[[#This Row],[Työvoima-koulutus 7e]]-(Opv.kohd.[[#This Row],[Työvoima-koulutus 4]]+Opv.kohd.[[#This Row],[Nuorisotyöt. väh. ja osaamistarp. vast., työvoima-koulutus 4]])</f>
        <v>0</v>
      </c>
      <c r="BQ152" s="207">
        <f>Opv.kohd.[[#This Row],[Yhteensä 7e]]-Opv.kohd.[[#This Row],[Ensikertaisella suoritepäätöksellä jaetut tavoitteelliset opiskelijavuodet yhteensä 4]]</f>
        <v>0</v>
      </c>
      <c r="BR152" s="263">
        <v>702</v>
      </c>
      <c r="BS152" s="263">
        <v>100</v>
      </c>
      <c r="BT152" s="263">
        <v>400</v>
      </c>
      <c r="BU152" s="263">
        <v>250</v>
      </c>
      <c r="BV152" s="263">
        <v>15</v>
      </c>
      <c r="BW152" s="263">
        <v>0</v>
      </c>
      <c r="BX152" s="263">
        <v>765</v>
      </c>
      <c r="BY152" s="263">
        <v>1467</v>
      </c>
      <c r="BZ152" s="207">
        <f t="shared" si="32"/>
        <v>702</v>
      </c>
      <c r="CA152" s="207">
        <f t="shared" si="33"/>
        <v>100</v>
      </c>
      <c r="CB152" s="207">
        <f t="shared" si="34"/>
        <v>400</v>
      </c>
      <c r="CC152" s="207">
        <f t="shared" si="35"/>
        <v>250</v>
      </c>
      <c r="CD152" s="207">
        <f t="shared" si="36"/>
        <v>15</v>
      </c>
      <c r="CE152" s="207">
        <f t="shared" si="37"/>
        <v>0</v>
      </c>
      <c r="CF152" s="207">
        <f t="shared" si="38"/>
        <v>765</v>
      </c>
      <c r="CG152" s="207">
        <f t="shared" si="39"/>
        <v>1467</v>
      </c>
      <c r="CH152" s="207">
        <f>Opv.kohd.[[#This Row],[Tavoitteelliset opiskelijavuodet yhteensä 9]]-Opv.kohd.[[#This Row],[Työvoima-koulutus 9]]-Opv.kohd.[[#This Row],[Nuorisotyöt. väh. ja osaamistarp. vast., työvoima-koulutus 9]]-Opv.kohd.[[#This Row],[Muu kuin työvoima-koulutus 7e]]</f>
        <v>1067</v>
      </c>
      <c r="CI152" s="207">
        <f>(Opv.kohd.[[#This Row],[Työvoima-koulutus 9]]+Opv.kohd.[[#This Row],[Nuorisotyöt. väh. ja osaamistarp. vast., työvoima-koulutus 9]])-Opv.kohd.[[#This Row],[Työvoima-koulutus 7e]]</f>
        <v>400</v>
      </c>
      <c r="CJ152" s="207">
        <f>Opv.kohd.[[#This Row],[Tavoitteelliset opiskelijavuodet yhteensä 9]]-Opv.kohd.[[#This Row],[Yhteensä 7e]]</f>
        <v>1467</v>
      </c>
      <c r="CK152" s="207">
        <f>Opv.kohd.[[#This Row],[Järjestämisluvan mukaiset 4]]+Opv.kohd.[[#This Row],[Järjestämisluvan mukaiset 13]]</f>
        <v>0</v>
      </c>
      <c r="CL152" s="207">
        <f>Opv.kohd.[[#This Row],[Kohdentamat-tomat 4]]+Opv.kohd.[[#This Row],[Kohdentamat-tomat 13]]</f>
        <v>0</v>
      </c>
      <c r="CM152" s="207">
        <f>Opv.kohd.[[#This Row],[Työvoima-koulutus 4]]+Opv.kohd.[[#This Row],[Työvoima-koulutus 13]]</f>
        <v>0</v>
      </c>
      <c r="CN152" s="207">
        <f>Opv.kohd.[[#This Row],[Maahan-muuttajien koulutus 4]]+Opv.kohd.[[#This Row],[Maahan-muuttajien koulutus 13]]</f>
        <v>0</v>
      </c>
      <c r="CO152" s="207">
        <f>Opv.kohd.[[#This Row],[Nuorisotyöt. väh. ja osaamistarp. vast., muu kuin työvoima-koulutus 4]]+Opv.kohd.[[#This Row],[Nuorisotyöt. väh. ja osaamistarp. vast., muu kuin työvoima-koulutus 13]]</f>
        <v>0</v>
      </c>
      <c r="CP152" s="207">
        <f>Opv.kohd.[[#This Row],[Nuorisotyöt. väh. ja osaamistarp. vast., työvoima-koulutus 4]]+Opv.kohd.[[#This Row],[Nuorisotyöt. väh. ja osaamistarp. vast., työvoima-koulutus 13]]</f>
        <v>0</v>
      </c>
      <c r="CQ152" s="207">
        <f>Opv.kohd.[[#This Row],[Yhteensä 4]]+Opv.kohd.[[#This Row],[Yhteensä 13]]</f>
        <v>0</v>
      </c>
      <c r="CR152" s="207">
        <f>Opv.kohd.[[#This Row],[Ensikertaisella suoritepäätöksellä jaetut tavoitteelliset opiskelijavuodet yhteensä 4]]+Opv.kohd.[[#This Row],[Tavoitteelliset opiskelijavuodet yhteensä 13]]</f>
        <v>0</v>
      </c>
      <c r="CS152" s="120">
        <v>0</v>
      </c>
      <c r="CT152" s="120">
        <v>0</v>
      </c>
      <c r="CU152" s="120">
        <v>0</v>
      </c>
      <c r="CV152" s="120">
        <v>0</v>
      </c>
      <c r="CW152" s="120">
        <v>0</v>
      </c>
      <c r="CX152" s="120">
        <v>0</v>
      </c>
      <c r="CY152" s="120">
        <v>0</v>
      </c>
      <c r="CZ152" s="120">
        <v>0</v>
      </c>
      <c r="DA152" s="209">
        <f>IFERROR(Opv.kohd.[[#This Row],[Järjestämisluvan mukaiset 13]]/Opv.kohd.[[#This Row],[Järjestämisluvan mukaiset 12]],0)</f>
        <v>0</v>
      </c>
      <c r="DB152" s="209">
        <f>IFERROR(Opv.kohd.[[#This Row],[Kohdentamat-tomat 13]]/Opv.kohd.[[#This Row],[Kohdentamat-tomat 12]],0)</f>
        <v>0</v>
      </c>
      <c r="DC152" s="209">
        <f>IFERROR(Opv.kohd.[[#This Row],[Työvoima-koulutus 13]]/Opv.kohd.[[#This Row],[Työvoima-koulutus 12]],0)</f>
        <v>0</v>
      </c>
      <c r="DD152" s="209">
        <f>IFERROR(Opv.kohd.[[#This Row],[Maahan-muuttajien koulutus 13]]/Opv.kohd.[[#This Row],[Maahan-muuttajien koulutus 12]],0)</f>
        <v>0</v>
      </c>
      <c r="DE152" s="209">
        <f>IFERROR(Opv.kohd.[[#This Row],[Nuorisotyöt. väh. ja osaamistarp. vast., muu kuin työvoima-koulutus 13]]/Opv.kohd.[[#This Row],[Nuorisotyöt. väh. ja osaamistarp. vast., muu kuin työvoima-koulutus 12]],0)</f>
        <v>0</v>
      </c>
      <c r="DF152" s="209">
        <f>IFERROR(Opv.kohd.[[#This Row],[Nuorisotyöt. väh. ja osaamistarp. vast., työvoima-koulutus 13]]/Opv.kohd.[[#This Row],[Nuorisotyöt. väh. ja osaamistarp. vast., työvoima-koulutus 12]],0)</f>
        <v>0</v>
      </c>
      <c r="DG152" s="209">
        <f>IFERROR(Opv.kohd.[[#This Row],[Yhteensä 13]]/Opv.kohd.[[#This Row],[Yhteensä 12]],0)</f>
        <v>0</v>
      </c>
      <c r="DH152" s="209">
        <f>IFERROR(Opv.kohd.[[#This Row],[Tavoitteelliset opiskelijavuodet yhteensä 13]]/Opv.kohd.[[#This Row],[Tavoitteelliset opiskelijavuodet yhteensä 12]],0)</f>
        <v>0</v>
      </c>
      <c r="DI152" s="207">
        <f>Opv.kohd.[[#This Row],[Järjestämisluvan mukaiset 12]]-Opv.kohd.[[#This Row],[Järjestämisluvan mukaiset 9]]</f>
        <v>-702</v>
      </c>
      <c r="DJ152" s="207">
        <f>Opv.kohd.[[#This Row],[Kohdentamat-tomat 12]]-Opv.kohd.[[#This Row],[Kohdentamat-tomat 9]]</f>
        <v>-100</v>
      </c>
      <c r="DK152" s="207">
        <f>Opv.kohd.[[#This Row],[Työvoima-koulutus 12]]-Opv.kohd.[[#This Row],[Työvoima-koulutus 9]]</f>
        <v>-400</v>
      </c>
      <c r="DL152" s="207">
        <f>Opv.kohd.[[#This Row],[Maahan-muuttajien koulutus 12]]-Opv.kohd.[[#This Row],[Maahan-muuttajien koulutus 9]]</f>
        <v>-250</v>
      </c>
      <c r="DM152" s="207">
        <f>Opv.kohd.[[#This Row],[Nuorisotyöt. väh. ja osaamistarp. vast., muu kuin työvoima-koulutus 12]]-Opv.kohd.[[#This Row],[Nuorisotyöt. väh. ja osaamistarp. vast., muu kuin työvoima-koulutus 9]]</f>
        <v>-15</v>
      </c>
      <c r="DN152" s="207">
        <f>Opv.kohd.[[#This Row],[Nuorisotyöt. väh. ja osaamistarp. vast., työvoima-koulutus 12]]-Opv.kohd.[[#This Row],[Nuorisotyöt. väh. ja osaamistarp. vast., työvoima-koulutus 9]]</f>
        <v>0</v>
      </c>
      <c r="DO152" s="207">
        <f>Opv.kohd.[[#This Row],[Yhteensä 12]]-Opv.kohd.[[#This Row],[Yhteensä 9]]</f>
        <v>-765</v>
      </c>
      <c r="DP152" s="207">
        <f>Opv.kohd.[[#This Row],[Tavoitteelliset opiskelijavuodet yhteensä 12]]-Opv.kohd.[[#This Row],[Tavoitteelliset opiskelijavuodet yhteensä 9]]</f>
        <v>-1467</v>
      </c>
      <c r="DQ152" s="209">
        <f>IFERROR(Opv.kohd.[[#This Row],[Järjestämisluvan mukaiset 15]]/Opv.kohd.[[#This Row],[Järjestämisluvan mukaiset 9]],0)</f>
        <v>-1</v>
      </c>
      <c r="DR152" s="209">
        <f t="shared" si="40"/>
        <v>0</v>
      </c>
      <c r="DS152" s="209">
        <f t="shared" si="41"/>
        <v>0</v>
      </c>
      <c r="DT152" s="209">
        <f t="shared" si="42"/>
        <v>0</v>
      </c>
      <c r="DU152" s="209">
        <f t="shared" si="43"/>
        <v>0</v>
      </c>
      <c r="DV152" s="209">
        <f t="shared" si="44"/>
        <v>0</v>
      </c>
      <c r="DW152" s="209">
        <f t="shared" si="45"/>
        <v>0</v>
      </c>
      <c r="DX152" s="209">
        <f t="shared" si="46"/>
        <v>0</v>
      </c>
    </row>
    <row r="153" spans="1:128" x14ac:dyDescent="0.25">
      <c r="A153" s="204" t="e">
        <f>IF(INDEX(#REF!,ROW(153:153)-1,1)=0,"",INDEX(#REF!,ROW(153:153)-1,1))</f>
        <v>#REF!</v>
      </c>
      <c r="B153" s="205" t="str">
        <f>IFERROR(VLOOKUP(Opv.kohd.[[#This Row],[Y-tunnus]],'0 Järjestäjätiedot'!$A:$H,2,FALSE),"")</f>
        <v/>
      </c>
      <c r="C153" s="204" t="str">
        <f>IFERROR(VLOOKUP(Opv.kohd.[[#This Row],[Y-tunnus]],'0 Järjestäjätiedot'!$A:$H,COLUMN('0 Järjestäjätiedot'!D:D),FALSE),"")</f>
        <v/>
      </c>
      <c r="D153" s="204" t="str">
        <f>IFERROR(VLOOKUP(Opv.kohd.[[#This Row],[Y-tunnus]],'0 Järjestäjätiedot'!$A:$H,COLUMN('0 Järjestäjätiedot'!H:H),FALSE),"")</f>
        <v/>
      </c>
      <c r="E153" s="204">
        <f>IFERROR(VLOOKUP(Opv.kohd.[[#This Row],[Y-tunnus]],#REF!,COLUMN(#REF!),FALSE),0)</f>
        <v>0</v>
      </c>
      <c r="F153" s="204">
        <f>IFERROR(VLOOKUP(Opv.kohd.[[#This Row],[Y-tunnus]],#REF!,COLUMN(#REF!),FALSE),0)</f>
        <v>0</v>
      </c>
      <c r="G153" s="204">
        <f>IFERROR(VLOOKUP(Opv.kohd.[[#This Row],[Y-tunnus]],#REF!,COLUMN(#REF!),FALSE),0)</f>
        <v>0</v>
      </c>
      <c r="H153" s="204">
        <f>IFERROR(VLOOKUP(Opv.kohd.[[#This Row],[Y-tunnus]],#REF!,COLUMN(#REF!),FALSE),0)</f>
        <v>0</v>
      </c>
      <c r="I153" s="204">
        <f>IFERROR(VLOOKUP(Opv.kohd.[[#This Row],[Y-tunnus]],#REF!,COLUMN(#REF!),FALSE),0)</f>
        <v>0</v>
      </c>
      <c r="J153" s="204">
        <f>IFERROR(VLOOKUP(Opv.kohd.[[#This Row],[Y-tunnus]],#REF!,COLUMN(#REF!),FALSE),0)</f>
        <v>0</v>
      </c>
      <c r="K15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53" s="204">
        <f>Opv.kohd.[[#This Row],[Järjestämisluvan mukaiset 1]]+Opv.kohd.[[#This Row],[Yhteensä  1]]</f>
        <v>0</v>
      </c>
      <c r="M153" s="204">
        <f>IFERROR(VLOOKUP(Opv.kohd.[[#This Row],[Y-tunnus]],#REF!,COLUMN(#REF!),FALSE),0)</f>
        <v>0</v>
      </c>
      <c r="N153" s="204">
        <f>IFERROR(VLOOKUP(Opv.kohd.[[#This Row],[Y-tunnus]],#REF!,COLUMN(#REF!),FALSE),0)</f>
        <v>0</v>
      </c>
      <c r="O153" s="204">
        <f>IFERROR(VLOOKUP(Opv.kohd.[[#This Row],[Y-tunnus]],#REF!,COLUMN(#REF!),FALSE)+VLOOKUP(Opv.kohd.[[#This Row],[Y-tunnus]],#REF!,COLUMN(#REF!),FALSE),0)</f>
        <v>0</v>
      </c>
      <c r="P153" s="204">
        <f>Opv.kohd.[[#This Row],[Talousarvion perusteella kohdentamattomat]]+Opv.kohd.[[#This Row],[Talousarvion perusteella työvoimakoulutus 1]]+Opv.kohd.[[#This Row],[Lisätalousarvioiden perusteella]]</f>
        <v>0</v>
      </c>
      <c r="Q153" s="204">
        <f>IFERROR(VLOOKUP(Opv.kohd.[[#This Row],[Y-tunnus]],#REF!,COLUMN(#REF!),FALSE),0)</f>
        <v>0</v>
      </c>
      <c r="R153" s="210">
        <f>IFERROR(VLOOKUP(Opv.kohd.[[#This Row],[Y-tunnus]],#REF!,COLUMN(#REF!),FALSE)-(Opv.kohd.[[#This Row],[Kohdentamaton työvoima-koulutus 2]]+Opv.kohd.[[#This Row],[Maahan-muuttajien koulutus 2]]+Opv.kohd.[[#This Row],[Lisätalousarvioiden perusteella jaetut 2]]),0)</f>
        <v>0</v>
      </c>
      <c r="S153" s="210">
        <f>IFERROR(VLOOKUP(Opv.kohd.[[#This Row],[Y-tunnus]],#REF!,COLUMN(#REF!),FALSE)+VLOOKUP(Opv.kohd.[[#This Row],[Y-tunnus]],#REF!,COLUMN(#REF!),FALSE),0)</f>
        <v>0</v>
      </c>
      <c r="T153" s="210">
        <f>IFERROR(VLOOKUP(Opv.kohd.[[#This Row],[Y-tunnus]],#REF!,COLUMN(#REF!),FALSE)+VLOOKUP(Opv.kohd.[[#This Row],[Y-tunnus]],#REF!,COLUMN(#REF!),FALSE),0)</f>
        <v>0</v>
      </c>
      <c r="U15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53" s="210">
        <f>Opv.kohd.[[#This Row],[Kohdentamat-tomat 2]]+Opv.kohd.[[#This Row],[Kohdentamaton työvoima-koulutus 2]]+Opv.kohd.[[#This Row],[Maahan-muuttajien koulutus 2]]+Opv.kohd.[[#This Row],[Lisätalousarvioiden perusteella jaetut 2]]</f>
        <v>0</v>
      </c>
      <c r="W153" s="210">
        <f>Opv.kohd.[[#This Row],[Kohdentamat-tomat 2]]-(Opv.kohd.[[#This Row],[Järjestämisluvan mukaiset 1]]+Opv.kohd.[[#This Row],[Kohdentamat-tomat 1]]+Opv.kohd.[[#This Row],[Nuorisotyöt. väh. ja osaamistarp. vast., muu kuin työvoima-koulutus 1]]+Opv.kohd.[[#This Row],[Talousarvion perusteella kohdentamattomat]])</f>
        <v>0</v>
      </c>
      <c r="X153" s="210">
        <f>Opv.kohd.[[#This Row],[Kohdentamaton työvoima-koulutus 2]]-(Opv.kohd.[[#This Row],[Työvoima-koulutus 1]]+Opv.kohd.[[#This Row],[Nuorisotyöt. väh. ja osaamistarp. vast., työvoima-koulutus 1]]+Opv.kohd.[[#This Row],[Talousarvion perusteella työvoimakoulutus 1]])</f>
        <v>0</v>
      </c>
      <c r="Y153" s="210">
        <f>Opv.kohd.[[#This Row],[Maahan-muuttajien koulutus 2]]-Opv.kohd.[[#This Row],[Maahan-muuttajien koulutus 1]]</f>
        <v>0</v>
      </c>
      <c r="Z153" s="210">
        <f>Opv.kohd.[[#This Row],[Lisätalousarvioiden perusteella jaetut 2]]-Opv.kohd.[[#This Row],[Lisätalousarvioiden perusteella]]</f>
        <v>0</v>
      </c>
      <c r="AA153" s="210">
        <f>Opv.kohd.[[#This Row],[Toteutuneet opiskelijavuodet yhteensä 2]]-Opv.kohd.[[#This Row],[Vuoden 2018 tavoitteelliset opiskelijavuodet yhteensä 1]]</f>
        <v>0</v>
      </c>
      <c r="AB153" s="207">
        <f>IFERROR(VLOOKUP(Opv.kohd.[[#This Row],[Y-tunnus]],#REF!,3,FALSE),0)</f>
        <v>0</v>
      </c>
      <c r="AC153" s="207">
        <f>IFERROR(VLOOKUP(Opv.kohd.[[#This Row],[Y-tunnus]],#REF!,4,FALSE),0)</f>
        <v>0</v>
      </c>
      <c r="AD153" s="207">
        <f>IFERROR(VLOOKUP(Opv.kohd.[[#This Row],[Y-tunnus]],#REF!,5,FALSE),0)</f>
        <v>0</v>
      </c>
      <c r="AE153" s="207">
        <f>IFERROR(VLOOKUP(Opv.kohd.[[#This Row],[Y-tunnus]],#REF!,6,FALSE),0)</f>
        <v>0</v>
      </c>
      <c r="AF153" s="207">
        <f>IFERROR(VLOOKUP(Opv.kohd.[[#This Row],[Y-tunnus]],#REF!,7,FALSE),0)</f>
        <v>0</v>
      </c>
      <c r="AG153" s="207">
        <f>IFERROR(VLOOKUP(Opv.kohd.[[#This Row],[Y-tunnus]],#REF!,8,FALSE),0)</f>
        <v>0</v>
      </c>
      <c r="AH153" s="207">
        <f>IFERROR(VLOOKUP(Opv.kohd.[[#This Row],[Y-tunnus]],#REF!,9,FALSE),0)</f>
        <v>0</v>
      </c>
      <c r="AI153" s="207">
        <f>IFERROR(VLOOKUP(Opv.kohd.[[#This Row],[Y-tunnus]],#REF!,10,FALSE),0)</f>
        <v>0</v>
      </c>
      <c r="AJ153" s="204">
        <f>Opv.kohd.[[#This Row],[Järjestämisluvan mukaiset 4]]-Opv.kohd.[[#This Row],[Järjestämisluvan mukaiset 1]]</f>
        <v>0</v>
      </c>
      <c r="AK153" s="204">
        <f>Opv.kohd.[[#This Row],[Kohdentamat-tomat 4]]-Opv.kohd.[[#This Row],[Kohdentamat-tomat 1]]</f>
        <v>0</v>
      </c>
      <c r="AL153" s="204">
        <f>Opv.kohd.[[#This Row],[Työvoima-koulutus 4]]-Opv.kohd.[[#This Row],[Työvoima-koulutus 1]]</f>
        <v>0</v>
      </c>
      <c r="AM153" s="204">
        <f>Opv.kohd.[[#This Row],[Maahan-muuttajien koulutus 4]]-Opv.kohd.[[#This Row],[Maahan-muuttajien koulutus 1]]</f>
        <v>0</v>
      </c>
      <c r="AN153" s="204">
        <f>Opv.kohd.[[#This Row],[Nuorisotyöt. väh. ja osaamistarp. vast., muu kuin työvoima-koulutus 4]]-Opv.kohd.[[#This Row],[Nuorisotyöt. väh. ja osaamistarp. vast., muu kuin työvoima-koulutus 1]]</f>
        <v>0</v>
      </c>
      <c r="AO153" s="204">
        <f>Opv.kohd.[[#This Row],[Nuorisotyöt. väh. ja osaamistarp. vast., työvoima-koulutus 4]]-Opv.kohd.[[#This Row],[Nuorisotyöt. väh. ja osaamistarp. vast., työvoima-koulutus 1]]</f>
        <v>0</v>
      </c>
      <c r="AP153" s="204">
        <f>Opv.kohd.[[#This Row],[Yhteensä 4]]-Opv.kohd.[[#This Row],[Yhteensä  1]]</f>
        <v>0</v>
      </c>
      <c r="AQ153" s="204">
        <f>Opv.kohd.[[#This Row],[Ensikertaisella suoritepäätöksellä jaetut tavoitteelliset opiskelijavuodet yhteensä 4]]-Opv.kohd.[[#This Row],[Ensikertaisella suoritepäätöksellä jaetut tavoitteelliset opiskelijavuodet yhteensä 1]]</f>
        <v>0</v>
      </c>
      <c r="AR153" s="208">
        <f>IFERROR(Opv.kohd.[[#This Row],[Järjestämisluvan mukaiset 5]]/Opv.kohd.[[#This Row],[Järjestämisluvan mukaiset 4]],0)</f>
        <v>0</v>
      </c>
      <c r="AS153" s="208">
        <f>IFERROR(Opv.kohd.[[#This Row],[Kohdentamat-tomat 5]]/Opv.kohd.[[#This Row],[Kohdentamat-tomat 4]],0)</f>
        <v>0</v>
      </c>
      <c r="AT153" s="208">
        <f>IFERROR(Opv.kohd.[[#This Row],[Työvoima-koulutus 5]]/Opv.kohd.[[#This Row],[Työvoima-koulutus 4]],0)</f>
        <v>0</v>
      </c>
      <c r="AU153" s="208">
        <f>IFERROR(Opv.kohd.[[#This Row],[Maahan-muuttajien koulutus 5]]/Opv.kohd.[[#This Row],[Maahan-muuttajien koulutus 4]],0)</f>
        <v>0</v>
      </c>
      <c r="AV153" s="208">
        <f>IFERROR(Opv.kohd.[[#This Row],[Nuorisotyöt. väh. ja osaamistarp. vast., muu kuin työvoima-koulutus 5]]/Opv.kohd.[[#This Row],[Nuorisotyöt. väh. ja osaamistarp. vast., muu kuin työvoima-koulutus 4]],0)</f>
        <v>0</v>
      </c>
      <c r="AW153" s="208">
        <f>IFERROR(Opv.kohd.[[#This Row],[Nuorisotyöt. väh. ja osaamistarp. vast., työvoima-koulutus 5]]/Opv.kohd.[[#This Row],[Nuorisotyöt. väh. ja osaamistarp. vast., työvoima-koulutus 4]],0)</f>
        <v>0</v>
      </c>
      <c r="AX153" s="208">
        <f>IFERROR(Opv.kohd.[[#This Row],[Yhteensä 5]]/Opv.kohd.[[#This Row],[Yhteensä 4]],0)</f>
        <v>0</v>
      </c>
      <c r="AY153" s="208">
        <f>IFERROR(Opv.kohd.[[#This Row],[Ensikertaisella suoritepäätöksellä jaetut tavoitteelliset opiskelijavuodet yhteensä 5]]/Opv.kohd.[[#This Row],[Ensikertaisella suoritepäätöksellä jaetut tavoitteelliset opiskelijavuodet yhteensä 4]],0)</f>
        <v>0</v>
      </c>
      <c r="AZ153" s="207">
        <f>Opv.kohd.[[#This Row],[Yhteensä 7a]]-Opv.kohd.[[#This Row],[Työvoima-koulutus 7a]]</f>
        <v>0</v>
      </c>
      <c r="BA153" s="207">
        <f>IFERROR(VLOOKUP(Opv.kohd.[[#This Row],[Y-tunnus]],#REF!,COLUMN(#REF!),FALSE),0)</f>
        <v>0</v>
      </c>
      <c r="BB153" s="207">
        <f>IFERROR(VLOOKUP(Opv.kohd.[[#This Row],[Y-tunnus]],#REF!,COLUMN(#REF!),FALSE),0)</f>
        <v>0</v>
      </c>
      <c r="BC153" s="207">
        <f>Opv.kohd.[[#This Row],[Muu kuin työvoima-koulutus 7c]]-Opv.kohd.[[#This Row],[Muu kuin työvoima-koulutus 7a]]</f>
        <v>0</v>
      </c>
      <c r="BD153" s="207">
        <f>Opv.kohd.[[#This Row],[Työvoima-koulutus 7c]]-Opv.kohd.[[#This Row],[Työvoima-koulutus 7a]]</f>
        <v>0</v>
      </c>
      <c r="BE153" s="207">
        <f>Opv.kohd.[[#This Row],[Yhteensä 7c]]-Opv.kohd.[[#This Row],[Yhteensä 7a]]</f>
        <v>0</v>
      </c>
      <c r="BF153" s="207">
        <f>Opv.kohd.[[#This Row],[Yhteensä 7c]]-Opv.kohd.[[#This Row],[Työvoima-koulutus 7c]]</f>
        <v>0</v>
      </c>
      <c r="BG153" s="207">
        <f>IFERROR(VLOOKUP(Opv.kohd.[[#This Row],[Y-tunnus]],#REF!,COLUMN(#REF!),FALSE),0)</f>
        <v>0</v>
      </c>
      <c r="BH153" s="207">
        <f>IFERROR(VLOOKUP(Opv.kohd.[[#This Row],[Y-tunnus]],#REF!,COLUMN(#REF!),FALSE),0)</f>
        <v>0</v>
      </c>
      <c r="BI153" s="207">
        <f>IFERROR(VLOOKUP(Opv.kohd.[[#This Row],[Y-tunnus]],#REF!,COLUMN(#REF!),FALSE),0)</f>
        <v>0</v>
      </c>
      <c r="BJ153" s="207">
        <f>IFERROR(VLOOKUP(Opv.kohd.[[#This Row],[Y-tunnus]],#REF!,COLUMN(#REF!),FALSE),0)</f>
        <v>0</v>
      </c>
      <c r="BK153" s="207">
        <f>Opv.kohd.[[#This Row],[Muu kuin työvoima-koulutus 7d]]+Opv.kohd.[[#This Row],[Työvoima-koulutus 7d]]</f>
        <v>0</v>
      </c>
      <c r="BL153" s="207">
        <f>Opv.kohd.[[#This Row],[Muu kuin työvoima-koulutus 7c]]-Opv.kohd.[[#This Row],[Muu kuin työvoima-koulutus 7d]]</f>
        <v>0</v>
      </c>
      <c r="BM153" s="207">
        <f>Opv.kohd.[[#This Row],[Työvoima-koulutus 7c]]-Opv.kohd.[[#This Row],[Työvoima-koulutus 7d]]</f>
        <v>0</v>
      </c>
      <c r="BN153" s="207">
        <f>Opv.kohd.[[#This Row],[Yhteensä 7c]]-Opv.kohd.[[#This Row],[Yhteensä 7d]]</f>
        <v>0</v>
      </c>
      <c r="BO153" s="207">
        <f>Opv.kohd.[[#This Row],[Muu kuin työvoima-koulutus 7e]]-(Opv.kohd.[[#This Row],[Järjestämisluvan mukaiset 4]]+Opv.kohd.[[#This Row],[Kohdentamat-tomat 4]]+Opv.kohd.[[#This Row],[Maahan-muuttajien koulutus 4]]+Opv.kohd.[[#This Row],[Nuorisotyöt. väh. ja osaamistarp. vast., muu kuin työvoima-koulutus 4]])</f>
        <v>0</v>
      </c>
      <c r="BP153" s="207">
        <f>Opv.kohd.[[#This Row],[Työvoima-koulutus 7e]]-(Opv.kohd.[[#This Row],[Työvoima-koulutus 4]]+Opv.kohd.[[#This Row],[Nuorisotyöt. väh. ja osaamistarp. vast., työvoima-koulutus 4]])</f>
        <v>0</v>
      </c>
      <c r="BQ153" s="207">
        <f>Opv.kohd.[[#This Row],[Yhteensä 7e]]-Opv.kohd.[[#This Row],[Ensikertaisella suoritepäätöksellä jaetut tavoitteelliset opiskelijavuodet yhteensä 4]]</f>
        <v>0</v>
      </c>
      <c r="BR153" s="263">
        <v>0</v>
      </c>
      <c r="BS153" s="263">
        <v>45</v>
      </c>
      <c r="BT153" s="263">
        <v>0</v>
      </c>
      <c r="BU153" s="263">
        <v>0</v>
      </c>
      <c r="BV153" s="263">
        <v>0</v>
      </c>
      <c r="BW153" s="263">
        <v>0</v>
      </c>
      <c r="BX153" s="263">
        <v>45</v>
      </c>
      <c r="BY153" s="263">
        <v>45</v>
      </c>
      <c r="BZ153" s="207">
        <f t="shared" si="32"/>
        <v>0</v>
      </c>
      <c r="CA153" s="207">
        <f t="shared" si="33"/>
        <v>45</v>
      </c>
      <c r="CB153" s="207">
        <f t="shared" si="34"/>
        <v>0</v>
      </c>
      <c r="CC153" s="207">
        <f t="shared" si="35"/>
        <v>0</v>
      </c>
      <c r="CD153" s="207">
        <f t="shared" si="36"/>
        <v>0</v>
      </c>
      <c r="CE153" s="207">
        <f t="shared" si="37"/>
        <v>0</v>
      </c>
      <c r="CF153" s="207">
        <f t="shared" si="38"/>
        <v>45</v>
      </c>
      <c r="CG153" s="207">
        <f t="shared" si="39"/>
        <v>45</v>
      </c>
      <c r="CH153" s="207">
        <f>Opv.kohd.[[#This Row],[Tavoitteelliset opiskelijavuodet yhteensä 9]]-Opv.kohd.[[#This Row],[Työvoima-koulutus 9]]-Opv.kohd.[[#This Row],[Nuorisotyöt. väh. ja osaamistarp. vast., työvoima-koulutus 9]]-Opv.kohd.[[#This Row],[Muu kuin työvoima-koulutus 7e]]</f>
        <v>45</v>
      </c>
      <c r="CI153" s="207">
        <f>(Opv.kohd.[[#This Row],[Työvoima-koulutus 9]]+Opv.kohd.[[#This Row],[Nuorisotyöt. väh. ja osaamistarp. vast., työvoima-koulutus 9]])-Opv.kohd.[[#This Row],[Työvoima-koulutus 7e]]</f>
        <v>0</v>
      </c>
      <c r="CJ153" s="207">
        <f>Opv.kohd.[[#This Row],[Tavoitteelliset opiskelijavuodet yhteensä 9]]-Opv.kohd.[[#This Row],[Yhteensä 7e]]</f>
        <v>45</v>
      </c>
      <c r="CK153" s="207">
        <f>Opv.kohd.[[#This Row],[Järjestämisluvan mukaiset 4]]+Opv.kohd.[[#This Row],[Järjestämisluvan mukaiset 13]]</f>
        <v>0</v>
      </c>
      <c r="CL153" s="207">
        <f>Opv.kohd.[[#This Row],[Kohdentamat-tomat 4]]+Opv.kohd.[[#This Row],[Kohdentamat-tomat 13]]</f>
        <v>0</v>
      </c>
      <c r="CM153" s="207">
        <f>Opv.kohd.[[#This Row],[Työvoima-koulutus 4]]+Opv.kohd.[[#This Row],[Työvoima-koulutus 13]]</f>
        <v>0</v>
      </c>
      <c r="CN153" s="207">
        <f>Opv.kohd.[[#This Row],[Maahan-muuttajien koulutus 4]]+Opv.kohd.[[#This Row],[Maahan-muuttajien koulutus 13]]</f>
        <v>0</v>
      </c>
      <c r="CO153" s="207">
        <f>Opv.kohd.[[#This Row],[Nuorisotyöt. väh. ja osaamistarp. vast., muu kuin työvoima-koulutus 4]]+Opv.kohd.[[#This Row],[Nuorisotyöt. väh. ja osaamistarp. vast., muu kuin työvoima-koulutus 13]]</f>
        <v>0</v>
      </c>
      <c r="CP153" s="207">
        <f>Opv.kohd.[[#This Row],[Nuorisotyöt. väh. ja osaamistarp. vast., työvoima-koulutus 4]]+Opv.kohd.[[#This Row],[Nuorisotyöt. väh. ja osaamistarp. vast., työvoima-koulutus 13]]</f>
        <v>0</v>
      </c>
      <c r="CQ153" s="207">
        <f>Opv.kohd.[[#This Row],[Yhteensä 4]]+Opv.kohd.[[#This Row],[Yhteensä 13]]</f>
        <v>0</v>
      </c>
      <c r="CR153" s="207">
        <f>Opv.kohd.[[#This Row],[Ensikertaisella suoritepäätöksellä jaetut tavoitteelliset opiskelijavuodet yhteensä 4]]+Opv.kohd.[[#This Row],[Tavoitteelliset opiskelijavuodet yhteensä 13]]</f>
        <v>0</v>
      </c>
      <c r="CS153" s="120">
        <v>0</v>
      </c>
      <c r="CT153" s="120">
        <v>0</v>
      </c>
      <c r="CU153" s="120">
        <v>0</v>
      </c>
      <c r="CV153" s="120">
        <v>0</v>
      </c>
      <c r="CW153" s="120">
        <v>0</v>
      </c>
      <c r="CX153" s="120">
        <v>0</v>
      </c>
      <c r="CY153" s="120">
        <v>0</v>
      </c>
      <c r="CZ153" s="120">
        <v>0</v>
      </c>
      <c r="DA153" s="209">
        <f>IFERROR(Opv.kohd.[[#This Row],[Järjestämisluvan mukaiset 13]]/Opv.kohd.[[#This Row],[Järjestämisluvan mukaiset 12]],0)</f>
        <v>0</v>
      </c>
      <c r="DB153" s="209">
        <f>IFERROR(Opv.kohd.[[#This Row],[Kohdentamat-tomat 13]]/Opv.kohd.[[#This Row],[Kohdentamat-tomat 12]],0)</f>
        <v>0</v>
      </c>
      <c r="DC153" s="209">
        <f>IFERROR(Opv.kohd.[[#This Row],[Työvoima-koulutus 13]]/Opv.kohd.[[#This Row],[Työvoima-koulutus 12]],0)</f>
        <v>0</v>
      </c>
      <c r="DD153" s="209">
        <f>IFERROR(Opv.kohd.[[#This Row],[Maahan-muuttajien koulutus 13]]/Opv.kohd.[[#This Row],[Maahan-muuttajien koulutus 12]],0)</f>
        <v>0</v>
      </c>
      <c r="DE153" s="209">
        <f>IFERROR(Opv.kohd.[[#This Row],[Nuorisotyöt. väh. ja osaamistarp. vast., muu kuin työvoima-koulutus 13]]/Opv.kohd.[[#This Row],[Nuorisotyöt. väh. ja osaamistarp. vast., muu kuin työvoima-koulutus 12]],0)</f>
        <v>0</v>
      </c>
      <c r="DF153" s="209">
        <f>IFERROR(Opv.kohd.[[#This Row],[Nuorisotyöt. väh. ja osaamistarp. vast., työvoima-koulutus 13]]/Opv.kohd.[[#This Row],[Nuorisotyöt. väh. ja osaamistarp. vast., työvoima-koulutus 12]],0)</f>
        <v>0</v>
      </c>
      <c r="DG153" s="209">
        <f>IFERROR(Opv.kohd.[[#This Row],[Yhteensä 13]]/Opv.kohd.[[#This Row],[Yhteensä 12]],0)</f>
        <v>0</v>
      </c>
      <c r="DH153" s="209">
        <f>IFERROR(Opv.kohd.[[#This Row],[Tavoitteelliset opiskelijavuodet yhteensä 13]]/Opv.kohd.[[#This Row],[Tavoitteelliset opiskelijavuodet yhteensä 12]],0)</f>
        <v>0</v>
      </c>
      <c r="DI153" s="207">
        <f>Opv.kohd.[[#This Row],[Järjestämisluvan mukaiset 12]]-Opv.kohd.[[#This Row],[Järjestämisluvan mukaiset 9]]</f>
        <v>0</v>
      </c>
      <c r="DJ153" s="207">
        <f>Opv.kohd.[[#This Row],[Kohdentamat-tomat 12]]-Opv.kohd.[[#This Row],[Kohdentamat-tomat 9]]</f>
        <v>-45</v>
      </c>
      <c r="DK153" s="207">
        <f>Opv.kohd.[[#This Row],[Työvoima-koulutus 12]]-Opv.kohd.[[#This Row],[Työvoima-koulutus 9]]</f>
        <v>0</v>
      </c>
      <c r="DL153" s="207">
        <f>Opv.kohd.[[#This Row],[Maahan-muuttajien koulutus 12]]-Opv.kohd.[[#This Row],[Maahan-muuttajien koulutus 9]]</f>
        <v>0</v>
      </c>
      <c r="DM153" s="207">
        <f>Opv.kohd.[[#This Row],[Nuorisotyöt. väh. ja osaamistarp. vast., muu kuin työvoima-koulutus 12]]-Opv.kohd.[[#This Row],[Nuorisotyöt. väh. ja osaamistarp. vast., muu kuin työvoima-koulutus 9]]</f>
        <v>0</v>
      </c>
      <c r="DN153" s="207">
        <f>Opv.kohd.[[#This Row],[Nuorisotyöt. väh. ja osaamistarp. vast., työvoima-koulutus 12]]-Opv.kohd.[[#This Row],[Nuorisotyöt. väh. ja osaamistarp. vast., työvoima-koulutus 9]]</f>
        <v>0</v>
      </c>
      <c r="DO153" s="207">
        <f>Opv.kohd.[[#This Row],[Yhteensä 12]]-Opv.kohd.[[#This Row],[Yhteensä 9]]</f>
        <v>-45</v>
      </c>
      <c r="DP153" s="207">
        <f>Opv.kohd.[[#This Row],[Tavoitteelliset opiskelijavuodet yhteensä 12]]-Opv.kohd.[[#This Row],[Tavoitteelliset opiskelijavuodet yhteensä 9]]</f>
        <v>-45</v>
      </c>
      <c r="DQ153" s="209">
        <f>IFERROR(Opv.kohd.[[#This Row],[Järjestämisluvan mukaiset 15]]/Opv.kohd.[[#This Row],[Järjestämisluvan mukaiset 9]],0)</f>
        <v>0</v>
      </c>
      <c r="DR153" s="209">
        <f t="shared" si="40"/>
        <v>0</v>
      </c>
      <c r="DS153" s="209">
        <f t="shared" si="41"/>
        <v>0</v>
      </c>
      <c r="DT153" s="209">
        <f t="shared" si="42"/>
        <v>0</v>
      </c>
      <c r="DU153" s="209">
        <f t="shared" si="43"/>
        <v>0</v>
      </c>
      <c r="DV153" s="209">
        <f t="shared" si="44"/>
        <v>0</v>
      </c>
      <c r="DW153" s="209">
        <f t="shared" si="45"/>
        <v>0</v>
      </c>
      <c r="DX153" s="209">
        <f t="shared" si="46"/>
        <v>0</v>
      </c>
    </row>
    <row r="154" spans="1:128" x14ac:dyDescent="0.25">
      <c r="A154" s="204" t="e">
        <f>IF(INDEX(#REF!,ROW(154:154)-1,1)=0,"",INDEX(#REF!,ROW(154:154)-1,1))</f>
        <v>#REF!</v>
      </c>
      <c r="B154" s="205" t="str">
        <f>IFERROR(VLOOKUP(Opv.kohd.[[#This Row],[Y-tunnus]],'0 Järjestäjätiedot'!$A:$H,2,FALSE),"")</f>
        <v/>
      </c>
      <c r="C154" s="204" t="str">
        <f>IFERROR(VLOOKUP(Opv.kohd.[[#This Row],[Y-tunnus]],'0 Järjestäjätiedot'!$A:$H,COLUMN('0 Järjestäjätiedot'!D:D),FALSE),"")</f>
        <v/>
      </c>
      <c r="D154" s="204" t="str">
        <f>IFERROR(VLOOKUP(Opv.kohd.[[#This Row],[Y-tunnus]],'0 Järjestäjätiedot'!$A:$H,COLUMN('0 Järjestäjätiedot'!H:H),FALSE),"")</f>
        <v/>
      </c>
      <c r="E154" s="204">
        <f>IFERROR(VLOOKUP(Opv.kohd.[[#This Row],[Y-tunnus]],#REF!,COLUMN(#REF!),FALSE),0)</f>
        <v>0</v>
      </c>
      <c r="F154" s="204">
        <f>IFERROR(VLOOKUP(Opv.kohd.[[#This Row],[Y-tunnus]],#REF!,COLUMN(#REF!),FALSE),0)</f>
        <v>0</v>
      </c>
      <c r="G154" s="204">
        <f>IFERROR(VLOOKUP(Opv.kohd.[[#This Row],[Y-tunnus]],#REF!,COLUMN(#REF!),FALSE),0)</f>
        <v>0</v>
      </c>
      <c r="H154" s="204">
        <f>IFERROR(VLOOKUP(Opv.kohd.[[#This Row],[Y-tunnus]],#REF!,COLUMN(#REF!),FALSE),0)</f>
        <v>0</v>
      </c>
      <c r="I154" s="204">
        <f>IFERROR(VLOOKUP(Opv.kohd.[[#This Row],[Y-tunnus]],#REF!,COLUMN(#REF!),FALSE),0)</f>
        <v>0</v>
      </c>
      <c r="J154" s="204">
        <f>IFERROR(VLOOKUP(Opv.kohd.[[#This Row],[Y-tunnus]],#REF!,COLUMN(#REF!),FALSE),0)</f>
        <v>0</v>
      </c>
      <c r="K15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54" s="204">
        <f>Opv.kohd.[[#This Row],[Järjestämisluvan mukaiset 1]]+Opv.kohd.[[#This Row],[Yhteensä  1]]</f>
        <v>0</v>
      </c>
      <c r="M154" s="204">
        <f>IFERROR(VLOOKUP(Opv.kohd.[[#This Row],[Y-tunnus]],#REF!,COLUMN(#REF!),FALSE),0)</f>
        <v>0</v>
      </c>
      <c r="N154" s="204">
        <f>IFERROR(VLOOKUP(Opv.kohd.[[#This Row],[Y-tunnus]],#REF!,COLUMN(#REF!),FALSE),0)</f>
        <v>0</v>
      </c>
      <c r="O154" s="204">
        <f>IFERROR(VLOOKUP(Opv.kohd.[[#This Row],[Y-tunnus]],#REF!,COLUMN(#REF!),FALSE)+VLOOKUP(Opv.kohd.[[#This Row],[Y-tunnus]],#REF!,COLUMN(#REF!),FALSE),0)</f>
        <v>0</v>
      </c>
      <c r="P154" s="204">
        <f>Opv.kohd.[[#This Row],[Talousarvion perusteella kohdentamattomat]]+Opv.kohd.[[#This Row],[Talousarvion perusteella työvoimakoulutus 1]]+Opv.kohd.[[#This Row],[Lisätalousarvioiden perusteella]]</f>
        <v>0</v>
      </c>
      <c r="Q154" s="204">
        <f>IFERROR(VLOOKUP(Opv.kohd.[[#This Row],[Y-tunnus]],#REF!,COLUMN(#REF!),FALSE),0)</f>
        <v>0</v>
      </c>
      <c r="R154" s="210">
        <f>IFERROR(VLOOKUP(Opv.kohd.[[#This Row],[Y-tunnus]],#REF!,COLUMN(#REF!),FALSE)-(Opv.kohd.[[#This Row],[Kohdentamaton työvoima-koulutus 2]]+Opv.kohd.[[#This Row],[Maahan-muuttajien koulutus 2]]+Opv.kohd.[[#This Row],[Lisätalousarvioiden perusteella jaetut 2]]),0)</f>
        <v>0</v>
      </c>
      <c r="S154" s="210">
        <f>IFERROR(VLOOKUP(Opv.kohd.[[#This Row],[Y-tunnus]],#REF!,COLUMN(#REF!),FALSE)+VLOOKUP(Opv.kohd.[[#This Row],[Y-tunnus]],#REF!,COLUMN(#REF!),FALSE),0)</f>
        <v>0</v>
      </c>
      <c r="T154" s="210">
        <f>IFERROR(VLOOKUP(Opv.kohd.[[#This Row],[Y-tunnus]],#REF!,COLUMN(#REF!),FALSE)+VLOOKUP(Opv.kohd.[[#This Row],[Y-tunnus]],#REF!,COLUMN(#REF!),FALSE),0)</f>
        <v>0</v>
      </c>
      <c r="U15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54" s="210">
        <f>Opv.kohd.[[#This Row],[Kohdentamat-tomat 2]]+Opv.kohd.[[#This Row],[Kohdentamaton työvoima-koulutus 2]]+Opv.kohd.[[#This Row],[Maahan-muuttajien koulutus 2]]+Opv.kohd.[[#This Row],[Lisätalousarvioiden perusteella jaetut 2]]</f>
        <v>0</v>
      </c>
      <c r="W154" s="210">
        <f>Opv.kohd.[[#This Row],[Kohdentamat-tomat 2]]-(Opv.kohd.[[#This Row],[Järjestämisluvan mukaiset 1]]+Opv.kohd.[[#This Row],[Kohdentamat-tomat 1]]+Opv.kohd.[[#This Row],[Nuorisotyöt. väh. ja osaamistarp. vast., muu kuin työvoima-koulutus 1]]+Opv.kohd.[[#This Row],[Talousarvion perusteella kohdentamattomat]])</f>
        <v>0</v>
      </c>
      <c r="X154" s="210">
        <f>Opv.kohd.[[#This Row],[Kohdentamaton työvoima-koulutus 2]]-(Opv.kohd.[[#This Row],[Työvoima-koulutus 1]]+Opv.kohd.[[#This Row],[Nuorisotyöt. väh. ja osaamistarp. vast., työvoima-koulutus 1]]+Opv.kohd.[[#This Row],[Talousarvion perusteella työvoimakoulutus 1]])</f>
        <v>0</v>
      </c>
      <c r="Y154" s="210">
        <f>Opv.kohd.[[#This Row],[Maahan-muuttajien koulutus 2]]-Opv.kohd.[[#This Row],[Maahan-muuttajien koulutus 1]]</f>
        <v>0</v>
      </c>
      <c r="Z154" s="210">
        <f>Opv.kohd.[[#This Row],[Lisätalousarvioiden perusteella jaetut 2]]-Opv.kohd.[[#This Row],[Lisätalousarvioiden perusteella]]</f>
        <v>0</v>
      </c>
      <c r="AA154" s="210">
        <f>Opv.kohd.[[#This Row],[Toteutuneet opiskelijavuodet yhteensä 2]]-Opv.kohd.[[#This Row],[Vuoden 2018 tavoitteelliset opiskelijavuodet yhteensä 1]]</f>
        <v>0</v>
      </c>
      <c r="AB154" s="207">
        <f>IFERROR(VLOOKUP(Opv.kohd.[[#This Row],[Y-tunnus]],#REF!,3,FALSE),0)</f>
        <v>0</v>
      </c>
      <c r="AC154" s="207">
        <f>IFERROR(VLOOKUP(Opv.kohd.[[#This Row],[Y-tunnus]],#REF!,4,FALSE),0)</f>
        <v>0</v>
      </c>
      <c r="AD154" s="207">
        <f>IFERROR(VLOOKUP(Opv.kohd.[[#This Row],[Y-tunnus]],#REF!,5,FALSE),0)</f>
        <v>0</v>
      </c>
      <c r="AE154" s="207">
        <f>IFERROR(VLOOKUP(Opv.kohd.[[#This Row],[Y-tunnus]],#REF!,6,FALSE),0)</f>
        <v>0</v>
      </c>
      <c r="AF154" s="207">
        <f>IFERROR(VLOOKUP(Opv.kohd.[[#This Row],[Y-tunnus]],#REF!,7,FALSE),0)</f>
        <v>0</v>
      </c>
      <c r="AG154" s="207">
        <f>IFERROR(VLOOKUP(Opv.kohd.[[#This Row],[Y-tunnus]],#REF!,8,FALSE),0)</f>
        <v>0</v>
      </c>
      <c r="AH154" s="207">
        <f>IFERROR(VLOOKUP(Opv.kohd.[[#This Row],[Y-tunnus]],#REF!,9,FALSE),0)</f>
        <v>0</v>
      </c>
      <c r="AI154" s="207">
        <f>IFERROR(VLOOKUP(Opv.kohd.[[#This Row],[Y-tunnus]],#REF!,10,FALSE),0)</f>
        <v>0</v>
      </c>
      <c r="AJ154" s="204">
        <f>Opv.kohd.[[#This Row],[Järjestämisluvan mukaiset 4]]-Opv.kohd.[[#This Row],[Järjestämisluvan mukaiset 1]]</f>
        <v>0</v>
      </c>
      <c r="AK154" s="204">
        <f>Opv.kohd.[[#This Row],[Kohdentamat-tomat 4]]-Opv.kohd.[[#This Row],[Kohdentamat-tomat 1]]</f>
        <v>0</v>
      </c>
      <c r="AL154" s="204">
        <f>Opv.kohd.[[#This Row],[Työvoima-koulutus 4]]-Opv.kohd.[[#This Row],[Työvoima-koulutus 1]]</f>
        <v>0</v>
      </c>
      <c r="AM154" s="204">
        <f>Opv.kohd.[[#This Row],[Maahan-muuttajien koulutus 4]]-Opv.kohd.[[#This Row],[Maahan-muuttajien koulutus 1]]</f>
        <v>0</v>
      </c>
      <c r="AN154" s="204">
        <f>Opv.kohd.[[#This Row],[Nuorisotyöt. väh. ja osaamistarp. vast., muu kuin työvoima-koulutus 4]]-Opv.kohd.[[#This Row],[Nuorisotyöt. väh. ja osaamistarp. vast., muu kuin työvoima-koulutus 1]]</f>
        <v>0</v>
      </c>
      <c r="AO154" s="204">
        <f>Opv.kohd.[[#This Row],[Nuorisotyöt. väh. ja osaamistarp. vast., työvoima-koulutus 4]]-Opv.kohd.[[#This Row],[Nuorisotyöt. väh. ja osaamistarp. vast., työvoima-koulutus 1]]</f>
        <v>0</v>
      </c>
      <c r="AP154" s="204">
        <f>Opv.kohd.[[#This Row],[Yhteensä 4]]-Opv.kohd.[[#This Row],[Yhteensä  1]]</f>
        <v>0</v>
      </c>
      <c r="AQ154" s="204">
        <f>Opv.kohd.[[#This Row],[Ensikertaisella suoritepäätöksellä jaetut tavoitteelliset opiskelijavuodet yhteensä 4]]-Opv.kohd.[[#This Row],[Ensikertaisella suoritepäätöksellä jaetut tavoitteelliset opiskelijavuodet yhteensä 1]]</f>
        <v>0</v>
      </c>
      <c r="AR154" s="208">
        <f>IFERROR(Opv.kohd.[[#This Row],[Järjestämisluvan mukaiset 5]]/Opv.kohd.[[#This Row],[Järjestämisluvan mukaiset 4]],0)</f>
        <v>0</v>
      </c>
      <c r="AS154" s="208">
        <f>IFERROR(Opv.kohd.[[#This Row],[Kohdentamat-tomat 5]]/Opv.kohd.[[#This Row],[Kohdentamat-tomat 4]],0)</f>
        <v>0</v>
      </c>
      <c r="AT154" s="208">
        <f>IFERROR(Opv.kohd.[[#This Row],[Työvoima-koulutus 5]]/Opv.kohd.[[#This Row],[Työvoima-koulutus 4]],0)</f>
        <v>0</v>
      </c>
      <c r="AU154" s="208">
        <f>IFERROR(Opv.kohd.[[#This Row],[Maahan-muuttajien koulutus 5]]/Opv.kohd.[[#This Row],[Maahan-muuttajien koulutus 4]],0)</f>
        <v>0</v>
      </c>
      <c r="AV154" s="208">
        <f>IFERROR(Opv.kohd.[[#This Row],[Nuorisotyöt. väh. ja osaamistarp. vast., muu kuin työvoima-koulutus 5]]/Opv.kohd.[[#This Row],[Nuorisotyöt. väh. ja osaamistarp. vast., muu kuin työvoima-koulutus 4]],0)</f>
        <v>0</v>
      </c>
      <c r="AW154" s="208">
        <f>IFERROR(Opv.kohd.[[#This Row],[Nuorisotyöt. väh. ja osaamistarp. vast., työvoima-koulutus 5]]/Opv.kohd.[[#This Row],[Nuorisotyöt. väh. ja osaamistarp. vast., työvoima-koulutus 4]],0)</f>
        <v>0</v>
      </c>
      <c r="AX154" s="208">
        <f>IFERROR(Opv.kohd.[[#This Row],[Yhteensä 5]]/Opv.kohd.[[#This Row],[Yhteensä 4]],0)</f>
        <v>0</v>
      </c>
      <c r="AY154" s="208">
        <f>IFERROR(Opv.kohd.[[#This Row],[Ensikertaisella suoritepäätöksellä jaetut tavoitteelliset opiskelijavuodet yhteensä 5]]/Opv.kohd.[[#This Row],[Ensikertaisella suoritepäätöksellä jaetut tavoitteelliset opiskelijavuodet yhteensä 4]],0)</f>
        <v>0</v>
      </c>
      <c r="AZ154" s="207">
        <f>Opv.kohd.[[#This Row],[Yhteensä 7a]]-Opv.kohd.[[#This Row],[Työvoima-koulutus 7a]]</f>
        <v>0</v>
      </c>
      <c r="BA154" s="207">
        <f>IFERROR(VLOOKUP(Opv.kohd.[[#This Row],[Y-tunnus]],#REF!,COLUMN(#REF!),FALSE),0)</f>
        <v>0</v>
      </c>
      <c r="BB154" s="207">
        <f>IFERROR(VLOOKUP(Opv.kohd.[[#This Row],[Y-tunnus]],#REF!,COLUMN(#REF!),FALSE),0)</f>
        <v>0</v>
      </c>
      <c r="BC154" s="207">
        <f>Opv.kohd.[[#This Row],[Muu kuin työvoima-koulutus 7c]]-Opv.kohd.[[#This Row],[Muu kuin työvoima-koulutus 7a]]</f>
        <v>0</v>
      </c>
      <c r="BD154" s="207">
        <f>Opv.kohd.[[#This Row],[Työvoima-koulutus 7c]]-Opv.kohd.[[#This Row],[Työvoima-koulutus 7a]]</f>
        <v>0</v>
      </c>
      <c r="BE154" s="207">
        <f>Opv.kohd.[[#This Row],[Yhteensä 7c]]-Opv.kohd.[[#This Row],[Yhteensä 7a]]</f>
        <v>0</v>
      </c>
      <c r="BF154" s="207">
        <f>Opv.kohd.[[#This Row],[Yhteensä 7c]]-Opv.kohd.[[#This Row],[Työvoima-koulutus 7c]]</f>
        <v>0</v>
      </c>
      <c r="BG154" s="207">
        <f>IFERROR(VLOOKUP(Opv.kohd.[[#This Row],[Y-tunnus]],#REF!,COLUMN(#REF!),FALSE),0)</f>
        <v>0</v>
      </c>
      <c r="BH154" s="207">
        <f>IFERROR(VLOOKUP(Opv.kohd.[[#This Row],[Y-tunnus]],#REF!,COLUMN(#REF!),FALSE),0)</f>
        <v>0</v>
      </c>
      <c r="BI154" s="207">
        <f>IFERROR(VLOOKUP(Opv.kohd.[[#This Row],[Y-tunnus]],#REF!,COLUMN(#REF!),FALSE),0)</f>
        <v>0</v>
      </c>
      <c r="BJ154" s="207">
        <f>IFERROR(VLOOKUP(Opv.kohd.[[#This Row],[Y-tunnus]],#REF!,COLUMN(#REF!),FALSE),0)</f>
        <v>0</v>
      </c>
      <c r="BK154" s="207">
        <f>Opv.kohd.[[#This Row],[Muu kuin työvoima-koulutus 7d]]+Opv.kohd.[[#This Row],[Työvoima-koulutus 7d]]</f>
        <v>0</v>
      </c>
      <c r="BL154" s="207">
        <f>Opv.kohd.[[#This Row],[Muu kuin työvoima-koulutus 7c]]-Opv.kohd.[[#This Row],[Muu kuin työvoima-koulutus 7d]]</f>
        <v>0</v>
      </c>
      <c r="BM154" s="207">
        <f>Opv.kohd.[[#This Row],[Työvoima-koulutus 7c]]-Opv.kohd.[[#This Row],[Työvoima-koulutus 7d]]</f>
        <v>0</v>
      </c>
      <c r="BN154" s="207">
        <f>Opv.kohd.[[#This Row],[Yhteensä 7c]]-Opv.kohd.[[#This Row],[Yhteensä 7d]]</f>
        <v>0</v>
      </c>
      <c r="BO154" s="207">
        <f>Opv.kohd.[[#This Row],[Muu kuin työvoima-koulutus 7e]]-(Opv.kohd.[[#This Row],[Järjestämisluvan mukaiset 4]]+Opv.kohd.[[#This Row],[Kohdentamat-tomat 4]]+Opv.kohd.[[#This Row],[Maahan-muuttajien koulutus 4]]+Opv.kohd.[[#This Row],[Nuorisotyöt. väh. ja osaamistarp. vast., muu kuin työvoima-koulutus 4]])</f>
        <v>0</v>
      </c>
      <c r="BP154" s="207">
        <f>Opv.kohd.[[#This Row],[Työvoima-koulutus 7e]]-(Opv.kohd.[[#This Row],[Työvoima-koulutus 4]]+Opv.kohd.[[#This Row],[Nuorisotyöt. väh. ja osaamistarp. vast., työvoima-koulutus 4]])</f>
        <v>0</v>
      </c>
      <c r="BQ154" s="207">
        <f>Opv.kohd.[[#This Row],[Yhteensä 7e]]-Opv.kohd.[[#This Row],[Ensikertaisella suoritepäätöksellä jaetut tavoitteelliset opiskelijavuodet yhteensä 4]]</f>
        <v>0</v>
      </c>
      <c r="BR154" s="263">
        <v>0</v>
      </c>
      <c r="BS154" s="263">
        <v>45</v>
      </c>
      <c r="BT154" s="263">
        <v>0</v>
      </c>
      <c r="BU154" s="263">
        <v>0</v>
      </c>
      <c r="BV154" s="263">
        <v>0</v>
      </c>
      <c r="BW154" s="263">
        <v>0</v>
      </c>
      <c r="BX154" s="263">
        <v>45</v>
      </c>
      <c r="BY154" s="263">
        <v>45</v>
      </c>
      <c r="BZ154" s="207">
        <f t="shared" si="32"/>
        <v>0</v>
      </c>
      <c r="CA154" s="207">
        <f t="shared" si="33"/>
        <v>45</v>
      </c>
      <c r="CB154" s="207">
        <f t="shared" si="34"/>
        <v>0</v>
      </c>
      <c r="CC154" s="207">
        <f t="shared" si="35"/>
        <v>0</v>
      </c>
      <c r="CD154" s="207">
        <f t="shared" si="36"/>
        <v>0</v>
      </c>
      <c r="CE154" s="207">
        <f t="shared" si="37"/>
        <v>0</v>
      </c>
      <c r="CF154" s="207">
        <f t="shared" si="38"/>
        <v>45</v>
      </c>
      <c r="CG154" s="207">
        <f t="shared" si="39"/>
        <v>45</v>
      </c>
      <c r="CH154" s="207">
        <f>Opv.kohd.[[#This Row],[Tavoitteelliset opiskelijavuodet yhteensä 9]]-Opv.kohd.[[#This Row],[Työvoima-koulutus 9]]-Opv.kohd.[[#This Row],[Nuorisotyöt. väh. ja osaamistarp. vast., työvoima-koulutus 9]]-Opv.kohd.[[#This Row],[Muu kuin työvoima-koulutus 7e]]</f>
        <v>45</v>
      </c>
      <c r="CI154" s="207">
        <f>(Opv.kohd.[[#This Row],[Työvoima-koulutus 9]]+Opv.kohd.[[#This Row],[Nuorisotyöt. väh. ja osaamistarp. vast., työvoima-koulutus 9]])-Opv.kohd.[[#This Row],[Työvoima-koulutus 7e]]</f>
        <v>0</v>
      </c>
      <c r="CJ154" s="207">
        <f>Opv.kohd.[[#This Row],[Tavoitteelliset opiskelijavuodet yhteensä 9]]-Opv.kohd.[[#This Row],[Yhteensä 7e]]</f>
        <v>45</v>
      </c>
      <c r="CK154" s="207">
        <f>Opv.kohd.[[#This Row],[Järjestämisluvan mukaiset 4]]+Opv.kohd.[[#This Row],[Järjestämisluvan mukaiset 13]]</f>
        <v>0</v>
      </c>
      <c r="CL154" s="207">
        <f>Opv.kohd.[[#This Row],[Kohdentamat-tomat 4]]+Opv.kohd.[[#This Row],[Kohdentamat-tomat 13]]</f>
        <v>0</v>
      </c>
      <c r="CM154" s="207">
        <f>Opv.kohd.[[#This Row],[Työvoima-koulutus 4]]+Opv.kohd.[[#This Row],[Työvoima-koulutus 13]]</f>
        <v>0</v>
      </c>
      <c r="CN154" s="207">
        <f>Opv.kohd.[[#This Row],[Maahan-muuttajien koulutus 4]]+Opv.kohd.[[#This Row],[Maahan-muuttajien koulutus 13]]</f>
        <v>0</v>
      </c>
      <c r="CO154" s="207">
        <f>Opv.kohd.[[#This Row],[Nuorisotyöt. väh. ja osaamistarp. vast., muu kuin työvoima-koulutus 4]]+Opv.kohd.[[#This Row],[Nuorisotyöt. väh. ja osaamistarp. vast., muu kuin työvoima-koulutus 13]]</f>
        <v>0</v>
      </c>
      <c r="CP154" s="207">
        <f>Opv.kohd.[[#This Row],[Nuorisotyöt. väh. ja osaamistarp. vast., työvoima-koulutus 4]]+Opv.kohd.[[#This Row],[Nuorisotyöt. väh. ja osaamistarp. vast., työvoima-koulutus 13]]</f>
        <v>0</v>
      </c>
      <c r="CQ154" s="207">
        <f>Opv.kohd.[[#This Row],[Yhteensä 4]]+Opv.kohd.[[#This Row],[Yhteensä 13]]</f>
        <v>0</v>
      </c>
      <c r="CR154" s="207">
        <f>Opv.kohd.[[#This Row],[Ensikertaisella suoritepäätöksellä jaetut tavoitteelliset opiskelijavuodet yhteensä 4]]+Opv.kohd.[[#This Row],[Tavoitteelliset opiskelijavuodet yhteensä 13]]</f>
        <v>0</v>
      </c>
      <c r="CS154" s="120">
        <v>0</v>
      </c>
      <c r="CT154" s="120">
        <v>0</v>
      </c>
      <c r="CU154" s="120">
        <v>0</v>
      </c>
      <c r="CV154" s="120">
        <v>0</v>
      </c>
      <c r="CW154" s="120">
        <v>0</v>
      </c>
      <c r="CX154" s="120">
        <v>0</v>
      </c>
      <c r="CY154" s="120">
        <v>0</v>
      </c>
      <c r="CZ154" s="120">
        <v>0</v>
      </c>
      <c r="DA154" s="209">
        <f>IFERROR(Opv.kohd.[[#This Row],[Järjestämisluvan mukaiset 13]]/Opv.kohd.[[#This Row],[Järjestämisluvan mukaiset 12]],0)</f>
        <v>0</v>
      </c>
      <c r="DB154" s="209">
        <f>IFERROR(Opv.kohd.[[#This Row],[Kohdentamat-tomat 13]]/Opv.kohd.[[#This Row],[Kohdentamat-tomat 12]],0)</f>
        <v>0</v>
      </c>
      <c r="DC154" s="209">
        <f>IFERROR(Opv.kohd.[[#This Row],[Työvoima-koulutus 13]]/Opv.kohd.[[#This Row],[Työvoima-koulutus 12]],0)</f>
        <v>0</v>
      </c>
      <c r="DD154" s="209">
        <f>IFERROR(Opv.kohd.[[#This Row],[Maahan-muuttajien koulutus 13]]/Opv.kohd.[[#This Row],[Maahan-muuttajien koulutus 12]],0)</f>
        <v>0</v>
      </c>
      <c r="DE154" s="209">
        <f>IFERROR(Opv.kohd.[[#This Row],[Nuorisotyöt. väh. ja osaamistarp. vast., muu kuin työvoima-koulutus 13]]/Opv.kohd.[[#This Row],[Nuorisotyöt. väh. ja osaamistarp. vast., muu kuin työvoima-koulutus 12]],0)</f>
        <v>0</v>
      </c>
      <c r="DF154" s="209">
        <f>IFERROR(Opv.kohd.[[#This Row],[Nuorisotyöt. väh. ja osaamistarp. vast., työvoima-koulutus 13]]/Opv.kohd.[[#This Row],[Nuorisotyöt. väh. ja osaamistarp. vast., työvoima-koulutus 12]],0)</f>
        <v>0</v>
      </c>
      <c r="DG154" s="209">
        <f>IFERROR(Opv.kohd.[[#This Row],[Yhteensä 13]]/Opv.kohd.[[#This Row],[Yhteensä 12]],0)</f>
        <v>0</v>
      </c>
      <c r="DH154" s="209">
        <f>IFERROR(Opv.kohd.[[#This Row],[Tavoitteelliset opiskelijavuodet yhteensä 13]]/Opv.kohd.[[#This Row],[Tavoitteelliset opiskelijavuodet yhteensä 12]],0)</f>
        <v>0</v>
      </c>
      <c r="DI154" s="207">
        <f>Opv.kohd.[[#This Row],[Järjestämisluvan mukaiset 12]]-Opv.kohd.[[#This Row],[Järjestämisluvan mukaiset 9]]</f>
        <v>0</v>
      </c>
      <c r="DJ154" s="207">
        <f>Opv.kohd.[[#This Row],[Kohdentamat-tomat 12]]-Opv.kohd.[[#This Row],[Kohdentamat-tomat 9]]</f>
        <v>-45</v>
      </c>
      <c r="DK154" s="207">
        <f>Opv.kohd.[[#This Row],[Työvoima-koulutus 12]]-Opv.kohd.[[#This Row],[Työvoima-koulutus 9]]</f>
        <v>0</v>
      </c>
      <c r="DL154" s="207">
        <f>Opv.kohd.[[#This Row],[Maahan-muuttajien koulutus 12]]-Opv.kohd.[[#This Row],[Maahan-muuttajien koulutus 9]]</f>
        <v>0</v>
      </c>
      <c r="DM154" s="207">
        <f>Opv.kohd.[[#This Row],[Nuorisotyöt. väh. ja osaamistarp. vast., muu kuin työvoima-koulutus 12]]-Opv.kohd.[[#This Row],[Nuorisotyöt. väh. ja osaamistarp. vast., muu kuin työvoima-koulutus 9]]</f>
        <v>0</v>
      </c>
      <c r="DN154" s="207">
        <f>Opv.kohd.[[#This Row],[Nuorisotyöt. väh. ja osaamistarp. vast., työvoima-koulutus 12]]-Opv.kohd.[[#This Row],[Nuorisotyöt. väh. ja osaamistarp. vast., työvoima-koulutus 9]]</f>
        <v>0</v>
      </c>
      <c r="DO154" s="207">
        <f>Opv.kohd.[[#This Row],[Yhteensä 12]]-Opv.kohd.[[#This Row],[Yhteensä 9]]</f>
        <v>-45</v>
      </c>
      <c r="DP154" s="207">
        <f>Opv.kohd.[[#This Row],[Tavoitteelliset opiskelijavuodet yhteensä 12]]-Opv.kohd.[[#This Row],[Tavoitteelliset opiskelijavuodet yhteensä 9]]</f>
        <v>-45</v>
      </c>
      <c r="DQ154" s="209">
        <f>IFERROR(Opv.kohd.[[#This Row],[Järjestämisluvan mukaiset 15]]/Opv.kohd.[[#This Row],[Järjestämisluvan mukaiset 9]],0)</f>
        <v>0</v>
      </c>
      <c r="DR154" s="209">
        <f t="shared" si="40"/>
        <v>0</v>
      </c>
      <c r="DS154" s="209">
        <f t="shared" si="41"/>
        <v>0</v>
      </c>
      <c r="DT154" s="209">
        <f t="shared" si="42"/>
        <v>0</v>
      </c>
      <c r="DU154" s="209">
        <f t="shared" si="43"/>
        <v>0</v>
      </c>
      <c r="DV154" s="209">
        <f t="shared" si="44"/>
        <v>0</v>
      </c>
      <c r="DW154" s="209">
        <f t="shared" si="45"/>
        <v>0</v>
      </c>
      <c r="DX154" s="209">
        <f t="shared" si="46"/>
        <v>0</v>
      </c>
    </row>
    <row r="155" spans="1:128" x14ac:dyDescent="0.25">
      <c r="A155" s="204" t="e">
        <f>IF(INDEX(#REF!,ROW(155:155)-1,1)=0,"",INDEX(#REF!,ROW(155:155)-1,1))</f>
        <v>#REF!</v>
      </c>
      <c r="B155" s="205" t="str">
        <f>IFERROR(VLOOKUP(Opv.kohd.[[#This Row],[Y-tunnus]],'0 Järjestäjätiedot'!$A:$H,2,FALSE),"")</f>
        <v/>
      </c>
      <c r="C155" s="204" t="str">
        <f>IFERROR(VLOOKUP(Opv.kohd.[[#This Row],[Y-tunnus]],'0 Järjestäjätiedot'!$A:$H,COLUMN('0 Järjestäjätiedot'!D:D),FALSE),"")</f>
        <v/>
      </c>
      <c r="D155" s="204" t="str">
        <f>IFERROR(VLOOKUP(Opv.kohd.[[#This Row],[Y-tunnus]],'0 Järjestäjätiedot'!$A:$H,COLUMN('0 Järjestäjätiedot'!H:H),FALSE),"")</f>
        <v/>
      </c>
      <c r="E155" s="204">
        <f>IFERROR(VLOOKUP(Opv.kohd.[[#This Row],[Y-tunnus]],#REF!,COLUMN(#REF!),FALSE),0)</f>
        <v>0</v>
      </c>
      <c r="F155" s="204">
        <f>IFERROR(VLOOKUP(Opv.kohd.[[#This Row],[Y-tunnus]],#REF!,COLUMN(#REF!),FALSE),0)</f>
        <v>0</v>
      </c>
      <c r="G155" s="204">
        <f>IFERROR(VLOOKUP(Opv.kohd.[[#This Row],[Y-tunnus]],#REF!,COLUMN(#REF!),FALSE),0)</f>
        <v>0</v>
      </c>
      <c r="H155" s="204">
        <f>IFERROR(VLOOKUP(Opv.kohd.[[#This Row],[Y-tunnus]],#REF!,COLUMN(#REF!),FALSE),0)</f>
        <v>0</v>
      </c>
      <c r="I155" s="204">
        <f>IFERROR(VLOOKUP(Opv.kohd.[[#This Row],[Y-tunnus]],#REF!,COLUMN(#REF!),FALSE),0)</f>
        <v>0</v>
      </c>
      <c r="J155" s="204">
        <f>IFERROR(VLOOKUP(Opv.kohd.[[#This Row],[Y-tunnus]],#REF!,COLUMN(#REF!),FALSE),0)</f>
        <v>0</v>
      </c>
      <c r="K15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55" s="204">
        <f>Opv.kohd.[[#This Row],[Järjestämisluvan mukaiset 1]]+Opv.kohd.[[#This Row],[Yhteensä  1]]</f>
        <v>0</v>
      </c>
      <c r="M155" s="204">
        <f>IFERROR(VLOOKUP(Opv.kohd.[[#This Row],[Y-tunnus]],#REF!,COLUMN(#REF!),FALSE),0)</f>
        <v>0</v>
      </c>
      <c r="N155" s="204">
        <f>IFERROR(VLOOKUP(Opv.kohd.[[#This Row],[Y-tunnus]],#REF!,COLUMN(#REF!),FALSE),0)</f>
        <v>0</v>
      </c>
      <c r="O155" s="204">
        <f>IFERROR(VLOOKUP(Opv.kohd.[[#This Row],[Y-tunnus]],#REF!,COLUMN(#REF!),FALSE)+VLOOKUP(Opv.kohd.[[#This Row],[Y-tunnus]],#REF!,COLUMN(#REF!),FALSE),0)</f>
        <v>0</v>
      </c>
      <c r="P155" s="204">
        <f>Opv.kohd.[[#This Row],[Talousarvion perusteella kohdentamattomat]]+Opv.kohd.[[#This Row],[Talousarvion perusteella työvoimakoulutus 1]]+Opv.kohd.[[#This Row],[Lisätalousarvioiden perusteella]]</f>
        <v>0</v>
      </c>
      <c r="Q155" s="204">
        <f>IFERROR(VLOOKUP(Opv.kohd.[[#This Row],[Y-tunnus]],#REF!,COLUMN(#REF!),FALSE),0)</f>
        <v>0</v>
      </c>
      <c r="R155" s="210">
        <f>IFERROR(VLOOKUP(Opv.kohd.[[#This Row],[Y-tunnus]],#REF!,COLUMN(#REF!),FALSE)-(Opv.kohd.[[#This Row],[Kohdentamaton työvoima-koulutus 2]]+Opv.kohd.[[#This Row],[Maahan-muuttajien koulutus 2]]+Opv.kohd.[[#This Row],[Lisätalousarvioiden perusteella jaetut 2]]),0)</f>
        <v>0</v>
      </c>
      <c r="S155" s="210">
        <f>IFERROR(VLOOKUP(Opv.kohd.[[#This Row],[Y-tunnus]],#REF!,COLUMN(#REF!),FALSE)+VLOOKUP(Opv.kohd.[[#This Row],[Y-tunnus]],#REF!,COLUMN(#REF!),FALSE),0)</f>
        <v>0</v>
      </c>
      <c r="T155" s="210">
        <f>IFERROR(VLOOKUP(Opv.kohd.[[#This Row],[Y-tunnus]],#REF!,COLUMN(#REF!),FALSE)+VLOOKUP(Opv.kohd.[[#This Row],[Y-tunnus]],#REF!,COLUMN(#REF!),FALSE),0)</f>
        <v>0</v>
      </c>
      <c r="U15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55" s="210">
        <f>Opv.kohd.[[#This Row],[Kohdentamat-tomat 2]]+Opv.kohd.[[#This Row],[Kohdentamaton työvoima-koulutus 2]]+Opv.kohd.[[#This Row],[Maahan-muuttajien koulutus 2]]+Opv.kohd.[[#This Row],[Lisätalousarvioiden perusteella jaetut 2]]</f>
        <v>0</v>
      </c>
      <c r="W155" s="210">
        <f>Opv.kohd.[[#This Row],[Kohdentamat-tomat 2]]-(Opv.kohd.[[#This Row],[Järjestämisluvan mukaiset 1]]+Opv.kohd.[[#This Row],[Kohdentamat-tomat 1]]+Opv.kohd.[[#This Row],[Nuorisotyöt. väh. ja osaamistarp. vast., muu kuin työvoima-koulutus 1]]+Opv.kohd.[[#This Row],[Talousarvion perusteella kohdentamattomat]])</f>
        <v>0</v>
      </c>
      <c r="X155" s="210">
        <f>Opv.kohd.[[#This Row],[Kohdentamaton työvoima-koulutus 2]]-(Opv.kohd.[[#This Row],[Työvoima-koulutus 1]]+Opv.kohd.[[#This Row],[Nuorisotyöt. väh. ja osaamistarp. vast., työvoima-koulutus 1]]+Opv.kohd.[[#This Row],[Talousarvion perusteella työvoimakoulutus 1]])</f>
        <v>0</v>
      </c>
      <c r="Y155" s="210">
        <f>Opv.kohd.[[#This Row],[Maahan-muuttajien koulutus 2]]-Opv.kohd.[[#This Row],[Maahan-muuttajien koulutus 1]]</f>
        <v>0</v>
      </c>
      <c r="Z155" s="210">
        <f>Opv.kohd.[[#This Row],[Lisätalousarvioiden perusteella jaetut 2]]-Opv.kohd.[[#This Row],[Lisätalousarvioiden perusteella]]</f>
        <v>0</v>
      </c>
      <c r="AA155" s="210">
        <f>Opv.kohd.[[#This Row],[Toteutuneet opiskelijavuodet yhteensä 2]]-Opv.kohd.[[#This Row],[Vuoden 2018 tavoitteelliset opiskelijavuodet yhteensä 1]]</f>
        <v>0</v>
      </c>
      <c r="AB155" s="207">
        <f>IFERROR(VLOOKUP(Opv.kohd.[[#This Row],[Y-tunnus]],#REF!,3,FALSE),0)</f>
        <v>0</v>
      </c>
      <c r="AC155" s="207">
        <f>IFERROR(VLOOKUP(Opv.kohd.[[#This Row],[Y-tunnus]],#REF!,4,FALSE),0)</f>
        <v>0</v>
      </c>
      <c r="AD155" s="207">
        <f>IFERROR(VLOOKUP(Opv.kohd.[[#This Row],[Y-tunnus]],#REF!,5,FALSE),0)</f>
        <v>0</v>
      </c>
      <c r="AE155" s="207">
        <f>IFERROR(VLOOKUP(Opv.kohd.[[#This Row],[Y-tunnus]],#REF!,6,FALSE),0)</f>
        <v>0</v>
      </c>
      <c r="AF155" s="207">
        <f>IFERROR(VLOOKUP(Opv.kohd.[[#This Row],[Y-tunnus]],#REF!,7,FALSE),0)</f>
        <v>0</v>
      </c>
      <c r="AG155" s="207">
        <f>IFERROR(VLOOKUP(Opv.kohd.[[#This Row],[Y-tunnus]],#REF!,8,FALSE),0)</f>
        <v>0</v>
      </c>
      <c r="AH155" s="207">
        <f>IFERROR(VLOOKUP(Opv.kohd.[[#This Row],[Y-tunnus]],#REF!,9,FALSE),0)</f>
        <v>0</v>
      </c>
      <c r="AI155" s="207">
        <f>IFERROR(VLOOKUP(Opv.kohd.[[#This Row],[Y-tunnus]],#REF!,10,FALSE),0)</f>
        <v>0</v>
      </c>
      <c r="AJ155" s="204">
        <f>Opv.kohd.[[#This Row],[Järjestämisluvan mukaiset 4]]-Opv.kohd.[[#This Row],[Järjestämisluvan mukaiset 1]]</f>
        <v>0</v>
      </c>
      <c r="AK155" s="204">
        <f>Opv.kohd.[[#This Row],[Kohdentamat-tomat 4]]-Opv.kohd.[[#This Row],[Kohdentamat-tomat 1]]</f>
        <v>0</v>
      </c>
      <c r="AL155" s="204">
        <f>Opv.kohd.[[#This Row],[Työvoima-koulutus 4]]-Opv.kohd.[[#This Row],[Työvoima-koulutus 1]]</f>
        <v>0</v>
      </c>
      <c r="AM155" s="204">
        <f>Opv.kohd.[[#This Row],[Maahan-muuttajien koulutus 4]]-Opv.kohd.[[#This Row],[Maahan-muuttajien koulutus 1]]</f>
        <v>0</v>
      </c>
      <c r="AN155" s="204">
        <f>Opv.kohd.[[#This Row],[Nuorisotyöt. väh. ja osaamistarp. vast., muu kuin työvoima-koulutus 4]]-Opv.kohd.[[#This Row],[Nuorisotyöt. väh. ja osaamistarp. vast., muu kuin työvoima-koulutus 1]]</f>
        <v>0</v>
      </c>
      <c r="AO155" s="204">
        <f>Opv.kohd.[[#This Row],[Nuorisotyöt. väh. ja osaamistarp. vast., työvoima-koulutus 4]]-Opv.kohd.[[#This Row],[Nuorisotyöt. väh. ja osaamistarp. vast., työvoima-koulutus 1]]</f>
        <v>0</v>
      </c>
      <c r="AP155" s="204">
        <f>Opv.kohd.[[#This Row],[Yhteensä 4]]-Opv.kohd.[[#This Row],[Yhteensä  1]]</f>
        <v>0</v>
      </c>
      <c r="AQ155" s="204">
        <f>Opv.kohd.[[#This Row],[Ensikertaisella suoritepäätöksellä jaetut tavoitteelliset opiskelijavuodet yhteensä 4]]-Opv.kohd.[[#This Row],[Ensikertaisella suoritepäätöksellä jaetut tavoitteelliset opiskelijavuodet yhteensä 1]]</f>
        <v>0</v>
      </c>
      <c r="AR155" s="208">
        <f>IFERROR(Opv.kohd.[[#This Row],[Järjestämisluvan mukaiset 5]]/Opv.kohd.[[#This Row],[Järjestämisluvan mukaiset 4]],0)</f>
        <v>0</v>
      </c>
      <c r="AS155" s="208">
        <f>IFERROR(Opv.kohd.[[#This Row],[Kohdentamat-tomat 5]]/Opv.kohd.[[#This Row],[Kohdentamat-tomat 4]],0)</f>
        <v>0</v>
      </c>
      <c r="AT155" s="208">
        <f>IFERROR(Opv.kohd.[[#This Row],[Työvoima-koulutus 5]]/Opv.kohd.[[#This Row],[Työvoima-koulutus 4]],0)</f>
        <v>0</v>
      </c>
      <c r="AU155" s="208">
        <f>IFERROR(Opv.kohd.[[#This Row],[Maahan-muuttajien koulutus 5]]/Opv.kohd.[[#This Row],[Maahan-muuttajien koulutus 4]],0)</f>
        <v>0</v>
      </c>
      <c r="AV155" s="208">
        <f>IFERROR(Opv.kohd.[[#This Row],[Nuorisotyöt. väh. ja osaamistarp. vast., muu kuin työvoima-koulutus 5]]/Opv.kohd.[[#This Row],[Nuorisotyöt. väh. ja osaamistarp. vast., muu kuin työvoima-koulutus 4]],0)</f>
        <v>0</v>
      </c>
      <c r="AW155" s="208">
        <f>IFERROR(Opv.kohd.[[#This Row],[Nuorisotyöt. väh. ja osaamistarp. vast., työvoima-koulutus 5]]/Opv.kohd.[[#This Row],[Nuorisotyöt. väh. ja osaamistarp. vast., työvoima-koulutus 4]],0)</f>
        <v>0</v>
      </c>
      <c r="AX155" s="208">
        <f>IFERROR(Opv.kohd.[[#This Row],[Yhteensä 5]]/Opv.kohd.[[#This Row],[Yhteensä 4]],0)</f>
        <v>0</v>
      </c>
      <c r="AY155" s="208">
        <f>IFERROR(Opv.kohd.[[#This Row],[Ensikertaisella suoritepäätöksellä jaetut tavoitteelliset opiskelijavuodet yhteensä 5]]/Opv.kohd.[[#This Row],[Ensikertaisella suoritepäätöksellä jaetut tavoitteelliset opiskelijavuodet yhteensä 4]],0)</f>
        <v>0</v>
      </c>
      <c r="AZ155" s="207">
        <f>Opv.kohd.[[#This Row],[Yhteensä 7a]]-Opv.kohd.[[#This Row],[Työvoima-koulutus 7a]]</f>
        <v>0</v>
      </c>
      <c r="BA155" s="207">
        <f>IFERROR(VLOOKUP(Opv.kohd.[[#This Row],[Y-tunnus]],#REF!,COLUMN(#REF!),FALSE),0)</f>
        <v>0</v>
      </c>
      <c r="BB155" s="207">
        <f>IFERROR(VLOOKUP(Opv.kohd.[[#This Row],[Y-tunnus]],#REF!,COLUMN(#REF!),FALSE),0)</f>
        <v>0</v>
      </c>
      <c r="BC155" s="207">
        <f>Opv.kohd.[[#This Row],[Muu kuin työvoima-koulutus 7c]]-Opv.kohd.[[#This Row],[Muu kuin työvoima-koulutus 7a]]</f>
        <v>0</v>
      </c>
      <c r="BD155" s="207">
        <f>Opv.kohd.[[#This Row],[Työvoima-koulutus 7c]]-Opv.kohd.[[#This Row],[Työvoima-koulutus 7a]]</f>
        <v>0</v>
      </c>
      <c r="BE155" s="207">
        <f>Opv.kohd.[[#This Row],[Yhteensä 7c]]-Opv.kohd.[[#This Row],[Yhteensä 7a]]</f>
        <v>0</v>
      </c>
      <c r="BF155" s="207">
        <f>Opv.kohd.[[#This Row],[Yhteensä 7c]]-Opv.kohd.[[#This Row],[Työvoima-koulutus 7c]]</f>
        <v>0</v>
      </c>
      <c r="BG155" s="207">
        <f>IFERROR(VLOOKUP(Opv.kohd.[[#This Row],[Y-tunnus]],#REF!,COLUMN(#REF!),FALSE),0)</f>
        <v>0</v>
      </c>
      <c r="BH155" s="207">
        <f>IFERROR(VLOOKUP(Opv.kohd.[[#This Row],[Y-tunnus]],#REF!,COLUMN(#REF!),FALSE),0)</f>
        <v>0</v>
      </c>
      <c r="BI155" s="207">
        <f>IFERROR(VLOOKUP(Opv.kohd.[[#This Row],[Y-tunnus]],#REF!,COLUMN(#REF!),FALSE),0)</f>
        <v>0</v>
      </c>
      <c r="BJ155" s="207">
        <f>IFERROR(VLOOKUP(Opv.kohd.[[#This Row],[Y-tunnus]],#REF!,COLUMN(#REF!),FALSE),0)</f>
        <v>0</v>
      </c>
      <c r="BK155" s="207">
        <f>Opv.kohd.[[#This Row],[Muu kuin työvoima-koulutus 7d]]+Opv.kohd.[[#This Row],[Työvoima-koulutus 7d]]</f>
        <v>0</v>
      </c>
      <c r="BL155" s="207">
        <f>Opv.kohd.[[#This Row],[Muu kuin työvoima-koulutus 7c]]-Opv.kohd.[[#This Row],[Muu kuin työvoima-koulutus 7d]]</f>
        <v>0</v>
      </c>
      <c r="BM155" s="207">
        <f>Opv.kohd.[[#This Row],[Työvoima-koulutus 7c]]-Opv.kohd.[[#This Row],[Työvoima-koulutus 7d]]</f>
        <v>0</v>
      </c>
      <c r="BN155" s="207">
        <f>Opv.kohd.[[#This Row],[Yhteensä 7c]]-Opv.kohd.[[#This Row],[Yhteensä 7d]]</f>
        <v>0</v>
      </c>
      <c r="BO155" s="207">
        <f>Opv.kohd.[[#This Row],[Muu kuin työvoima-koulutus 7e]]-(Opv.kohd.[[#This Row],[Järjestämisluvan mukaiset 4]]+Opv.kohd.[[#This Row],[Kohdentamat-tomat 4]]+Opv.kohd.[[#This Row],[Maahan-muuttajien koulutus 4]]+Opv.kohd.[[#This Row],[Nuorisotyöt. väh. ja osaamistarp. vast., muu kuin työvoima-koulutus 4]])</f>
        <v>0</v>
      </c>
      <c r="BP155" s="207">
        <f>Opv.kohd.[[#This Row],[Työvoima-koulutus 7e]]-(Opv.kohd.[[#This Row],[Työvoima-koulutus 4]]+Opv.kohd.[[#This Row],[Nuorisotyöt. väh. ja osaamistarp. vast., työvoima-koulutus 4]])</f>
        <v>0</v>
      </c>
      <c r="BQ155" s="207">
        <f>Opv.kohd.[[#This Row],[Yhteensä 7e]]-Opv.kohd.[[#This Row],[Ensikertaisella suoritepäätöksellä jaetut tavoitteelliset opiskelijavuodet yhteensä 4]]</f>
        <v>0</v>
      </c>
      <c r="BR155" s="263">
        <v>2401</v>
      </c>
      <c r="BS155" s="263">
        <v>84</v>
      </c>
      <c r="BT155" s="263">
        <v>100</v>
      </c>
      <c r="BU155" s="263">
        <v>50</v>
      </c>
      <c r="BV155" s="263">
        <v>0</v>
      </c>
      <c r="BW155" s="263">
        <v>0</v>
      </c>
      <c r="BX155" s="263">
        <v>234</v>
      </c>
      <c r="BY155" s="263">
        <v>2635</v>
      </c>
      <c r="BZ155" s="207">
        <f t="shared" si="32"/>
        <v>2401</v>
      </c>
      <c r="CA155" s="207">
        <f t="shared" si="33"/>
        <v>84</v>
      </c>
      <c r="CB155" s="207">
        <f t="shared" si="34"/>
        <v>100</v>
      </c>
      <c r="CC155" s="207">
        <f t="shared" si="35"/>
        <v>50</v>
      </c>
      <c r="CD155" s="207">
        <f t="shared" si="36"/>
        <v>0</v>
      </c>
      <c r="CE155" s="207">
        <f t="shared" si="37"/>
        <v>0</v>
      </c>
      <c r="CF155" s="207">
        <f t="shared" si="38"/>
        <v>234</v>
      </c>
      <c r="CG155" s="207">
        <f t="shared" si="39"/>
        <v>2635</v>
      </c>
      <c r="CH155" s="207">
        <f>Opv.kohd.[[#This Row],[Tavoitteelliset opiskelijavuodet yhteensä 9]]-Opv.kohd.[[#This Row],[Työvoima-koulutus 9]]-Opv.kohd.[[#This Row],[Nuorisotyöt. väh. ja osaamistarp. vast., työvoima-koulutus 9]]-Opv.kohd.[[#This Row],[Muu kuin työvoima-koulutus 7e]]</f>
        <v>2535</v>
      </c>
      <c r="CI155" s="207">
        <f>(Opv.kohd.[[#This Row],[Työvoima-koulutus 9]]+Opv.kohd.[[#This Row],[Nuorisotyöt. väh. ja osaamistarp. vast., työvoima-koulutus 9]])-Opv.kohd.[[#This Row],[Työvoima-koulutus 7e]]</f>
        <v>100</v>
      </c>
      <c r="CJ155" s="207">
        <f>Opv.kohd.[[#This Row],[Tavoitteelliset opiskelijavuodet yhteensä 9]]-Opv.kohd.[[#This Row],[Yhteensä 7e]]</f>
        <v>2635</v>
      </c>
      <c r="CK155" s="207">
        <f>Opv.kohd.[[#This Row],[Järjestämisluvan mukaiset 4]]+Opv.kohd.[[#This Row],[Järjestämisluvan mukaiset 13]]</f>
        <v>0</v>
      </c>
      <c r="CL155" s="207">
        <f>Opv.kohd.[[#This Row],[Kohdentamat-tomat 4]]+Opv.kohd.[[#This Row],[Kohdentamat-tomat 13]]</f>
        <v>0</v>
      </c>
      <c r="CM155" s="207">
        <f>Opv.kohd.[[#This Row],[Työvoima-koulutus 4]]+Opv.kohd.[[#This Row],[Työvoima-koulutus 13]]</f>
        <v>0</v>
      </c>
      <c r="CN155" s="207">
        <f>Opv.kohd.[[#This Row],[Maahan-muuttajien koulutus 4]]+Opv.kohd.[[#This Row],[Maahan-muuttajien koulutus 13]]</f>
        <v>0</v>
      </c>
      <c r="CO155" s="207">
        <f>Opv.kohd.[[#This Row],[Nuorisotyöt. väh. ja osaamistarp. vast., muu kuin työvoima-koulutus 4]]+Opv.kohd.[[#This Row],[Nuorisotyöt. väh. ja osaamistarp. vast., muu kuin työvoima-koulutus 13]]</f>
        <v>0</v>
      </c>
      <c r="CP155" s="207">
        <f>Opv.kohd.[[#This Row],[Nuorisotyöt. väh. ja osaamistarp. vast., työvoima-koulutus 4]]+Opv.kohd.[[#This Row],[Nuorisotyöt. väh. ja osaamistarp. vast., työvoima-koulutus 13]]</f>
        <v>0</v>
      </c>
      <c r="CQ155" s="207">
        <f>Opv.kohd.[[#This Row],[Yhteensä 4]]+Opv.kohd.[[#This Row],[Yhteensä 13]]</f>
        <v>0</v>
      </c>
      <c r="CR155" s="207">
        <f>Opv.kohd.[[#This Row],[Ensikertaisella suoritepäätöksellä jaetut tavoitteelliset opiskelijavuodet yhteensä 4]]+Opv.kohd.[[#This Row],[Tavoitteelliset opiskelijavuodet yhteensä 13]]</f>
        <v>0</v>
      </c>
      <c r="CS155" s="120">
        <v>0</v>
      </c>
      <c r="CT155" s="120">
        <v>0</v>
      </c>
      <c r="CU155" s="120">
        <v>0</v>
      </c>
      <c r="CV155" s="120">
        <v>0</v>
      </c>
      <c r="CW155" s="120">
        <v>0</v>
      </c>
      <c r="CX155" s="120">
        <v>0</v>
      </c>
      <c r="CY155" s="120">
        <v>0</v>
      </c>
      <c r="CZ155" s="120">
        <v>0</v>
      </c>
      <c r="DA155" s="209">
        <f>IFERROR(Opv.kohd.[[#This Row],[Järjestämisluvan mukaiset 13]]/Opv.kohd.[[#This Row],[Järjestämisluvan mukaiset 12]],0)</f>
        <v>0</v>
      </c>
      <c r="DB155" s="209">
        <f>IFERROR(Opv.kohd.[[#This Row],[Kohdentamat-tomat 13]]/Opv.kohd.[[#This Row],[Kohdentamat-tomat 12]],0)</f>
        <v>0</v>
      </c>
      <c r="DC155" s="209">
        <f>IFERROR(Opv.kohd.[[#This Row],[Työvoima-koulutus 13]]/Opv.kohd.[[#This Row],[Työvoima-koulutus 12]],0)</f>
        <v>0</v>
      </c>
      <c r="DD155" s="209">
        <f>IFERROR(Opv.kohd.[[#This Row],[Maahan-muuttajien koulutus 13]]/Opv.kohd.[[#This Row],[Maahan-muuttajien koulutus 12]],0)</f>
        <v>0</v>
      </c>
      <c r="DE155" s="209">
        <f>IFERROR(Opv.kohd.[[#This Row],[Nuorisotyöt. väh. ja osaamistarp. vast., muu kuin työvoima-koulutus 13]]/Opv.kohd.[[#This Row],[Nuorisotyöt. väh. ja osaamistarp. vast., muu kuin työvoima-koulutus 12]],0)</f>
        <v>0</v>
      </c>
      <c r="DF155" s="209">
        <f>IFERROR(Opv.kohd.[[#This Row],[Nuorisotyöt. väh. ja osaamistarp. vast., työvoima-koulutus 13]]/Opv.kohd.[[#This Row],[Nuorisotyöt. väh. ja osaamistarp. vast., työvoima-koulutus 12]],0)</f>
        <v>0</v>
      </c>
      <c r="DG155" s="209">
        <f>IFERROR(Opv.kohd.[[#This Row],[Yhteensä 13]]/Opv.kohd.[[#This Row],[Yhteensä 12]],0)</f>
        <v>0</v>
      </c>
      <c r="DH155" s="209">
        <f>IFERROR(Opv.kohd.[[#This Row],[Tavoitteelliset opiskelijavuodet yhteensä 13]]/Opv.kohd.[[#This Row],[Tavoitteelliset opiskelijavuodet yhteensä 12]],0)</f>
        <v>0</v>
      </c>
      <c r="DI155" s="207">
        <f>Opv.kohd.[[#This Row],[Järjestämisluvan mukaiset 12]]-Opv.kohd.[[#This Row],[Järjestämisluvan mukaiset 9]]</f>
        <v>-2401</v>
      </c>
      <c r="DJ155" s="207">
        <f>Opv.kohd.[[#This Row],[Kohdentamat-tomat 12]]-Opv.kohd.[[#This Row],[Kohdentamat-tomat 9]]</f>
        <v>-84</v>
      </c>
      <c r="DK155" s="207">
        <f>Opv.kohd.[[#This Row],[Työvoima-koulutus 12]]-Opv.kohd.[[#This Row],[Työvoima-koulutus 9]]</f>
        <v>-100</v>
      </c>
      <c r="DL155" s="207">
        <f>Opv.kohd.[[#This Row],[Maahan-muuttajien koulutus 12]]-Opv.kohd.[[#This Row],[Maahan-muuttajien koulutus 9]]</f>
        <v>-50</v>
      </c>
      <c r="DM155" s="207">
        <f>Opv.kohd.[[#This Row],[Nuorisotyöt. väh. ja osaamistarp. vast., muu kuin työvoima-koulutus 12]]-Opv.kohd.[[#This Row],[Nuorisotyöt. väh. ja osaamistarp. vast., muu kuin työvoima-koulutus 9]]</f>
        <v>0</v>
      </c>
      <c r="DN155" s="207">
        <f>Opv.kohd.[[#This Row],[Nuorisotyöt. väh. ja osaamistarp. vast., työvoima-koulutus 12]]-Opv.kohd.[[#This Row],[Nuorisotyöt. väh. ja osaamistarp. vast., työvoima-koulutus 9]]</f>
        <v>0</v>
      </c>
      <c r="DO155" s="207">
        <f>Opv.kohd.[[#This Row],[Yhteensä 12]]-Opv.kohd.[[#This Row],[Yhteensä 9]]</f>
        <v>-234</v>
      </c>
      <c r="DP155" s="207">
        <f>Opv.kohd.[[#This Row],[Tavoitteelliset opiskelijavuodet yhteensä 12]]-Opv.kohd.[[#This Row],[Tavoitteelliset opiskelijavuodet yhteensä 9]]</f>
        <v>-2635</v>
      </c>
      <c r="DQ155" s="209">
        <f>IFERROR(Opv.kohd.[[#This Row],[Järjestämisluvan mukaiset 15]]/Opv.kohd.[[#This Row],[Järjestämisluvan mukaiset 9]],0)</f>
        <v>-1</v>
      </c>
      <c r="DR155" s="209">
        <f t="shared" si="40"/>
        <v>0</v>
      </c>
      <c r="DS155" s="209">
        <f t="shared" si="41"/>
        <v>0</v>
      </c>
      <c r="DT155" s="209">
        <f t="shared" si="42"/>
        <v>0</v>
      </c>
      <c r="DU155" s="209">
        <f t="shared" si="43"/>
        <v>0</v>
      </c>
      <c r="DV155" s="209">
        <f t="shared" si="44"/>
        <v>0</v>
      </c>
      <c r="DW155" s="209">
        <f t="shared" si="45"/>
        <v>0</v>
      </c>
      <c r="DX155" s="209">
        <f t="shared" si="46"/>
        <v>0</v>
      </c>
    </row>
    <row r="156" spans="1:128" x14ac:dyDescent="0.25">
      <c r="A156" s="204" t="e">
        <f>IF(INDEX(#REF!,ROW(156:156)-1,1)=0,"",INDEX(#REF!,ROW(156:156)-1,1))</f>
        <v>#REF!</v>
      </c>
      <c r="B156" s="205" t="str">
        <f>IFERROR(VLOOKUP(Opv.kohd.[[#This Row],[Y-tunnus]],'0 Järjestäjätiedot'!$A:$H,2,FALSE),"")</f>
        <v/>
      </c>
      <c r="C156" s="204" t="str">
        <f>IFERROR(VLOOKUP(Opv.kohd.[[#This Row],[Y-tunnus]],'0 Järjestäjätiedot'!$A:$H,COLUMN('0 Järjestäjätiedot'!D:D),FALSE),"")</f>
        <v/>
      </c>
      <c r="D156" s="204" t="str">
        <f>IFERROR(VLOOKUP(Opv.kohd.[[#This Row],[Y-tunnus]],'0 Järjestäjätiedot'!$A:$H,COLUMN('0 Järjestäjätiedot'!H:H),FALSE),"")</f>
        <v/>
      </c>
      <c r="E156" s="204">
        <f>IFERROR(VLOOKUP(Opv.kohd.[[#This Row],[Y-tunnus]],#REF!,COLUMN(#REF!),FALSE),0)</f>
        <v>0</v>
      </c>
      <c r="F156" s="204">
        <f>IFERROR(VLOOKUP(Opv.kohd.[[#This Row],[Y-tunnus]],#REF!,COLUMN(#REF!),FALSE),0)</f>
        <v>0</v>
      </c>
      <c r="G156" s="204">
        <f>IFERROR(VLOOKUP(Opv.kohd.[[#This Row],[Y-tunnus]],#REF!,COLUMN(#REF!),FALSE),0)</f>
        <v>0</v>
      </c>
      <c r="H156" s="204">
        <f>IFERROR(VLOOKUP(Opv.kohd.[[#This Row],[Y-tunnus]],#REF!,COLUMN(#REF!),FALSE),0)</f>
        <v>0</v>
      </c>
      <c r="I156" s="204">
        <f>IFERROR(VLOOKUP(Opv.kohd.[[#This Row],[Y-tunnus]],#REF!,COLUMN(#REF!),FALSE),0)</f>
        <v>0</v>
      </c>
      <c r="J156" s="204">
        <f>IFERROR(VLOOKUP(Opv.kohd.[[#This Row],[Y-tunnus]],#REF!,COLUMN(#REF!),FALSE),0)</f>
        <v>0</v>
      </c>
      <c r="K15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56" s="204">
        <f>Opv.kohd.[[#This Row],[Järjestämisluvan mukaiset 1]]+Opv.kohd.[[#This Row],[Yhteensä  1]]</f>
        <v>0</v>
      </c>
      <c r="M156" s="204">
        <f>IFERROR(VLOOKUP(Opv.kohd.[[#This Row],[Y-tunnus]],#REF!,COLUMN(#REF!),FALSE),0)</f>
        <v>0</v>
      </c>
      <c r="N156" s="204">
        <f>IFERROR(VLOOKUP(Opv.kohd.[[#This Row],[Y-tunnus]],#REF!,COLUMN(#REF!),FALSE),0)</f>
        <v>0</v>
      </c>
      <c r="O156" s="204">
        <f>IFERROR(VLOOKUP(Opv.kohd.[[#This Row],[Y-tunnus]],#REF!,COLUMN(#REF!),FALSE)+VLOOKUP(Opv.kohd.[[#This Row],[Y-tunnus]],#REF!,COLUMN(#REF!),FALSE),0)</f>
        <v>0</v>
      </c>
      <c r="P156" s="204">
        <f>Opv.kohd.[[#This Row],[Talousarvion perusteella kohdentamattomat]]+Opv.kohd.[[#This Row],[Talousarvion perusteella työvoimakoulutus 1]]+Opv.kohd.[[#This Row],[Lisätalousarvioiden perusteella]]</f>
        <v>0</v>
      </c>
      <c r="Q156" s="204">
        <f>IFERROR(VLOOKUP(Opv.kohd.[[#This Row],[Y-tunnus]],#REF!,COLUMN(#REF!),FALSE),0)</f>
        <v>0</v>
      </c>
      <c r="R156" s="210">
        <f>IFERROR(VLOOKUP(Opv.kohd.[[#This Row],[Y-tunnus]],#REF!,COLUMN(#REF!),FALSE)-(Opv.kohd.[[#This Row],[Kohdentamaton työvoima-koulutus 2]]+Opv.kohd.[[#This Row],[Maahan-muuttajien koulutus 2]]+Opv.kohd.[[#This Row],[Lisätalousarvioiden perusteella jaetut 2]]),0)</f>
        <v>0</v>
      </c>
      <c r="S156" s="210">
        <f>IFERROR(VLOOKUP(Opv.kohd.[[#This Row],[Y-tunnus]],#REF!,COLUMN(#REF!),FALSE)+VLOOKUP(Opv.kohd.[[#This Row],[Y-tunnus]],#REF!,COLUMN(#REF!),FALSE),0)</f>
        <v>0</v>
      </c>
      <c r="T156" s="210">
        <f>IFERROR(VLOOKUP(Opv.kohd.[[#This Row],[Y-tunnus]],#REF!,COLUMN(#REF!),FALSE)+VLOOKUP(Opv.kohd.[[#This Row],[Y-tunnus]],#REF!,COLUMN(#REF!),FALSE),0)</f>
        <v>0</v>
      </c>
      <c r="U15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56" s="210">
        <f>Opv.kohd.[[#This Row],[Kohdentamat-tomat 2]]+Opv.kohd.[[#This Row],[Kohdentamaton työvoima-koulutus 2]]+Opv.kohd.[[#This Row],[Maahan-muuttajien koulutus 2]]+Opv.kohd.[[#This Row],[Lisätalousarvioiden perusteella jaetut 2]]</f>
        <v>0</v>
      </c>
      <c r="W156" s="210">
        <f>Opv.kohd.[[#This Row],[Kohdentamat-tomat 2]]-(Opv.kohd.[[#This Row],[Järjestämisluvan mukaiset 1]]+Opv.kohd.[[#This Row],[Kohdentamat-tomat 1]]+Opv.kohd.[[#This Row],[Nuorisotyöt. väh. ja osaamistarp. vast., muu kuin työvoima-koulutus 1]]+Opv.kohd.[[#This Row],[Talousarvion perusteella kohdentamattomat]])</f>
        <v>0</v>
      </c>
      <c r="X156" s="210">
        <f>Opv.kohd.[[#This Row],[Kohdentamaton työvoima-koulutus 2]]-(Opv.kohd.[[#This Row],[Työvoima-koulutus 1]]+Opv.kohd.[[#This Row],[Nuorisotyöt. väh. ja osaamistarp. vast., työvoima-koulutus 1]]+Opv.kohd.[[#This Row],[Talousarvion perusteella työvoimakoulutus 1]])</f>
        <v>0</v>
      </c>
      <c r="Y156" s="210">
        <f>Opv.kohd.[[#This Row],[Maahan-muuttajien koulutus 2]]-Opv.kohd.[[#This Row],[Maahan-muuttajien koulutus 1]]</f>
        <v>0</v>
      </c>
      <c r="Z156" s="210">
        <f>Opv.kohd.[[#This Row],[Lisätalousarvioiden perusteella jaetut 2]]-Opv.kohd.[[#This Row],[Lisätalousarvioiden perusteella]]</f>
        <v>0</v>
      </c>
      <c r="AA156" s="210">
        <f>Opv.kohd.[[#This Row],[Toteutuneet opiskelijavuodet yhteensä 2]]-Opv.kohd.[[#This Row],[Vuoden 2018 tavoitteelliset opiskelijavuodet yhteensä 1]]</f>
        <v>0</v>
      </c>
      <c r="AB156" s="207">
        <f>IFERROR(VLOOKUP(Opv.kohd.[[#This Row],[Y-tunnus]],#REF!,3,FALSE),0)</f>
        <v>0</v>
      </c>
      <c r="AC156" s="207">
        <f>IFERROR(VLOOKUP(Opv.kohd.[[#This Row],[Y-tunnus]],#REF!,4,FALSE),0)</f>
        <v>0</v>
      </c>
      <c r="AD156" s="207">
        <f>IFERROR(VLOOKUP(Opv.kohd.[[#This Row],[Y-tunnus]],#REF!,5,FALSE),0)</f>
        <v>0</v>
      </c>
      <c r="AE156" s="207">
        <f>IFERROR(VLOOKUP(Opv.kohd.[[#This Row],[Y-tunnus]],#REF!,6,FALSE),0)</f>
        <v>0</v>
      </c>
      <c r="AF156" s="207">
        <f>IFERROR(VLOOKUP(Opv.kohd.[[#This Row],[Y-tunnus]],#REF!,7,FALSE),0)</f>
        <v>0</v>
      </c>
      <c r="AG156" s="207">
        <f>IFERROR(VLOOKUP(Opv.kohd.[[#This Row],[Y-tunnus]],#REF!,8,FALSE),0)</f>
        <v>0</v>
      </c>
      <c r="AH156" s="207">
        <f>IFERROR(VLOOKUP(Opv.kohd.[[#This Row],[Y-tunnus]],#REF!,9,FALSE),0)</f>
        <v>0</v>
      </c>
      <c r="AI156" s="207">
        <f>IFERROR(VLOOKUP(Opv.kohd.[[#This Row],[Y-tunnus]],#REF!,10,FALSE),0)</f>
        <v>0</v>
      </c>
      <c r="AJ156" s="204">
        <f>Opv.kohd.[[#This Row],[Järjestämisluvan mukaiset 4]]-Opv.kohd.[[#This Row],[Järjestämisluvan mukaiset 1]]</f>
        <v>0</v>
      </c>
      <c r="AK156" s="204">
        <f>Opv.kohd.[[#This Row],[Kohdentamat-tomat 4]]-Opv.kohd.[[#This Row],[Kohdentamat-tomat 1]]</f>
        <v>0</v>
      </c>
      <c r="AL156" s="204">
        <f>Opv.kohd.[[#This Row],[Työvoima-koulutus 4]]-Opv.kohd.[[#This Row],[Työvoima-koulutus 1]]</f>
        <v>0</v>
      </c>
      <c r="AM156" s="204">
        <f>Opv.kohd.[[#This Row],[Maahan-muuttajien koulutus 4]]-Opv.kohd.[[#This Row],[Maahan-muuttajien koulutus 1]]</f>
        <v>0</v>
      </c>
      <c r="AN156" s="204">
        <f>Opv.kohd.[[#This Row],[Nuorisotyöt. väh. ja osaamistarp. vast., muu kuin työvoima-koulutus 4]]-Opv.kohd.[[#This Row],[Nuorisotyöt. väh. ja osaamistarp. vast., muu kuin työvoima-koulutus 1]]</f>
        <v>0</v>
      </c>
      <c r="AO156" s="204">
        <f>Opv.kohd.[[#This Row],[Nuorisotyöt. väh. ja osaamistarp. vast., työvoima-koulutus 4]]-Opv.kohd.[[#This Row],[Nuorisotyöt. väh. ja osaamistarp. vast., työvoima-koulutus 1]]</f>
        <v>0</v>
      </c>
      <c r="AP156" s="204">
        <f>Opv.kohd.[[#This Row],[Yhteensä 4]]-Opv.kohd.[[#This Row],[Yhteensä  1]]</f>
        <v>0</v>
      </c>
      <c r="AQ156" s="204">
        <f>Opv.kohd.[[#This Row],[Ensikertaisella suoritepäätöksellä jaetut tavoitteelliset opiskelijavuodet yhteensä 4]]-Opv.kohd.[[#This Row],[Ensikertaisella suoritepäätöksellä jaetut tavoitteelliset opiskelijavuodet yhteensä 1]]</f>
        <v>0</v>
      </c>
      <c r="AR156" s="208">
        <f>IFERROR(Opv.kohd.[[#This Row],[Järjestämisluvan mukaiset 5]]/Opv.kohd.[[#This Row],[Järjestämisluvan mukaiset 4]],0)</f>
        <v>0</v>
      </c>
      <c r="AS156" s="208">
        <f>IFERROR(Opv.kohd.[[#This Row],[Kohdentamat-tomat 5]]/Opv.kohd.[[#This Row],[Kohdentamat-tomat 4]],0)</f>
        <v>0</v>
      </c>
      <c r="AT156" s="208">
        <f>IFERROR(Opv.kohd.[[#This Row],[Työvoima-koulutus 5]]/Opv.kohd.[[#This Row],[Työvoima-koulutus 4]],0)</f>
        <v>0</v>
      </c>
      <c r="AU156" s="208">
        <f>IFERROR(Opv.kohd.[[#This Row],[Maahan-muuttajien koulutus 5]]/Opv.kohd.[[#This Row],[Maahan-muuttajien koulutus 4]],0)</f>
        <v>0</v>
      </c>
      <c r="AV156" s="208">
        <f>IFERROR(Opv.kohd.[[#This Row],[Nuorisotyöt. väh. ja osaamistarp. vast., muu kuin työvoima-koulutus 5]]/Opv.kohd.[[#This Row],[Nuorisotyöt. väh. ja osaamistarp. vast., muu kuin työvoima-koulutus 4]],0)</f>
        <v>0</v>
      </c>
      <c r="AW156" s="208">
        <f>IFERROR(Opv.kohd.[[#This Row],[Nuorisotyöt. väh. ja osaamistarp. vast., työvoima-koulutus 5]]/Opv.kohd.[[#This Row],[Nuorisotyöt. väh. ja osaamistarp. vast., työvoima-koulutus 4]],0)</f>
        <v>0</v>
      </c>
      <c r="AX156" s="208">
        <f>IFERROR(Opv.kohd.[[#This Row],[Yhteensä 5]]/Opv.kohd.[[#This Row],[Yhteensä 4]],0)</f>
        <v>0</v>
      </c>
      <c r="AY156" s="208">
        <f>IFERROR(Opv.kohd.[[#This Row],[Ensikertaisella suoritepäätöksellä jaetut tavoitteelliset opiskelijavuodet yhteensä 5]]/Opv.kohd.[[#This Row],[Ensikertaisella suoritepäätöksellä jaetut tavoitteelliset opiskelijavuodet yhteensä 4]],0)</f>
        <v>0</v>
      </c>
      <c r="AZ156" s="207">
        <f>Opv.kohd.[[#This Row],[Yhteensä 7a]]-Opv.kohd.[[#This Row],[Työvoima-koulutus 7a]]</f>
        <v>0</v>
      </c>
      <c r="BA156" s="207">
        <f>IFERROR(VLOOKUP(Opv.kohd.[[#This Row],[Y-tunnus]],#REF!,COLUMN(#REF!),FALSE),0)</f>
        <v>0</v>
      </c>
      <c r="BB156" s="207">
        <f>IFERROR(VLOOKUP(Opv.kohd.[[#This Row],[Y-tunnus]],#REF!,COLUMN(#REF!),FALSE),0)</f>
        <v>0</v>
      </c>
      <c r="BC156" s="207">
        <f>Opv.kohd.[[#This Row],[Muu kuin työvoima-koulutus 7c]]-Opv.kohd.[[#This Row],[Muu kuin työvoima-koulutus 7a]]</f>
        <v>0</v>
      </c>
      <c r="BD156" s="207">
        <f>Opv.kohd.[[#This Row],[Työvoima-koulutus 7c]]-Opv.kohd.[[#This Row],[Työvoima-koulutus 7a]]</f>
        <v>0</v>
      </c>
      <c r="BE156" s="207">
        <f>Opv.kohd.[[#This Row],[Yhteensä 7c]]-Opv.kohd.[[#This Row],[Yhteensä 7a]]</f>
        <v>0</v>
      </c>
      <c r="BF156" s="207">
        <f>Opv.kohd.[[#This Row],[Yhteensä 7c]]-Opv.kohd.[[#This Row],[Työvoima-koulutus 7c]]</f>
        <v>0</v>
      </c>
      <c r="BG156" s="207">
        <f>IFERROR(VLOOKUP(Opv.kohd.[[#This Row],[Y-tunnus]],#REF!,COLUMN(#REF!),FALSE),0)</f>
        <v>0</v>
      </c>
      <c r="BH156" s="207">
        <f>IFERROR(VLOOKUP(Opv.kohd.[[#This Row],[Y-tunnus]],#REF!,COLUMN(#REF!),FALSE),0)</f>
        <v>0</v>
      </c>
      <c r="BI156" s="207">
        <f>IFERROR(VLOOKUP(Opv.kohd.[[#This Row],[Y-tunnus]],#REF!,COLUMN(#REF!),FALSE),0)</f>
        <v>0</v>
      </c>
      <c r="BJ156" s="207">
        <f>IFERROR(VLOOKUP(Opv.kohd.[[#This Row],[Y-tunnus]],#REF!,COLUMN(#REF!),FALSE),0)</f>
        <v>0</v>
      </c>
      <c r="BK156" s="207">
        <f>Opv.kohd.[[#This Row],[Muu kuin työvoima-koulutus 7d]]+Opv.kohd.[[#This Row],[Työvoima-koulutus 7d]]</f>
        <v>0</v>
      </c>
      <c r="BL156" s="207">
        <f>Opv.kohd.[[#This Row],[Muu kuin työvoima-koulutus 7c]]-Opv.kohd.[[#This Row],[Muu kuin työvoima-koulutus 7d]]</f>
        <v>0</v>
      </c>
      <c r="BM156" s="207">
        <f>Opv.kohd.[[#This Row],[Työvoima-koulutus 7c]]-Opv.kohd.[[#This Row],[Työvoima-koulutus 7d]]</f>
        <v>0</v>
      </c>
      <c r="BN156" s="207">
        <f>Opv.kohd.[[#This Row],[Yhteensä 7c]]-Opv.kohd.[[#This Row],[Yhteensä 7d]]</f>
        <v>0</v>
      </c>
      <c r="BO156" s="207">
        <f>Opv.kohd.[[#This Row],[Muu kuin työvoima-koulutus 7e]]-(Opv.kohd.[[#This Row],[Järjestämisluvan mukaiset 4]]+Opv.kohd.[[#This Row],[Kohdentamat-tomat 4]]+Opv.kohd.[[#This Row],[Maahan-muuttajien koulutus 4]]+Opv.kohd.[[#This Row],[Nuorisotyöt. väh. ja osaamistarp. vast., muu kuin työvoima-koulutus 4]])</f>
        <v>0</v>
      </c>
      <c r="BP156" s="207">
        <f>Opv.kohd.[[#This Row],[Työvoima-koulutus 7e]]-(Opv.kohd.[[#This Row],[Työvoima-koulutus 4]]+Opv.kohd.[[#This Row],[Nuorisotyöt. väh. ja osaamistarp. vast., työvoima-koulutus 4]])</f>
        <v>0</v>
      </c>
      <c r="BQ156" s="207">
        <f>Opv.kohd.[[#This Row],[Yhteensä 7e]]-Opv.kohd.[[#This Row],[Ensikertaisella suoritepäätöksellä jaetut tavoitteelliset opiskelijavuodet yhteensä 4]]</f>
        <v>0</v>
      </c>
      <c r="BR156" s="263">
        <v>1000</v>
      </c>
      <c r="BS156" s="263">
        <v>50</v>
      </c>
      <c r="BT156" s="263">
        <v>20</v>
      </c>
      <c r="BU156" s="263">
        <v>0</v>
      </c>
      <c r="BV156" s="263">
        <v>6</v>
      </c>
      <c r="BW156" s="263">
        <v>0</v>
      </c>
      <c r="BX156" s="263">
        <v>76</v>
      </c>
      <c r="BY156" s="263">
        <v>1076</v>
      </c>
      <c r="BZ156" s="207">
        <f t="shared" si="32"/>
        <v>1000</v>
      </c>
      <c r="CA156" s="207">
        <f t="shared" si="33"/>
        <v>50</v>
      </c>
      <c r="CB156" s="207">
        <f t="shared" si="34"/>
        <v>20</v>
      </c>
      <c r="CC156" s="207">
        <f t="shared" si="35"/>
        <v>0</v>
      </c>
      <c r="CD156" s="207">
        <f t="shared" si="36"/>
        <v>6</v>
      </c>
      <c r="CE156" s="207">
        <f t="shared" si="37"/>
        <v>0</v>
      </c>
      <c r="CF156" s="207">
        <f t="shared" si="38"/>
        <v>76</v>
      </c>
      <c r="CG156" s="207">
        <f t="shared" si="39"/>
        <v>1076</v>
      </c>
      <c r="CH156" s="207">
        <f>Opv.kohd.[[#This Row],[Tavoitteelliset opiskelijavuodet yhteensä 9]]-Opv.kohd.[[#This Row],[Työvoima-koulutus 9]]-Opv.kohd.[[#This Row],[Nuorisotyöt. väh. ja osaamistarp. vast., työvoima-koulutus 9]]-Opv.kohd.[[#This Row],[Muu kuin työvoima-koulutus 7e]]</f>
        <v>1056</v>
      </c>
      <c r="CI156" s="207">
        <f>(Opv.kohd.[[#This Row],[Työvoima-koulutus 9]]+Opv.kohd.[[#This Row],[Nuorisotyöt. väh. ja osaamistarp. vast., työvoima-koulutus 9]])-Opv.kohd.[[#This Row],[Työvoima-koulutus 7e]]</f>
        <v>20</v>
      </c>
      <c r="CJ156" s="207">
        <f>Opv.kohd.[[#This Row],[Tavoitteelliset opiskelijavuodet yhteensä 9]]-Opv.kohd.[[#This Row],[Yhteensä 7e]]</f>
        <v>1076</v>
      </c>
      <c r="CK156" s="207">
        <f>Opv.kohd.[[#This Row],[Järjestämisluvan mukaiset 4]]+Opv.kohd.[[#This Row],[Järjestämisluvan mukaiset 13]]</f>
        <v>0</v>
      </c>
      <c r="CL156" s="207">
        <f>Opv.kohd.[[#This Row],[Kohdentamat-tomat 4]]+Opv.kohd.[[#This Row],[Kohdentamat-tomat 13]]</f>
        <v>0</v>
      </c>
      <c r="CM156" s="207">
        <f>Opv.kohd.[[#This Row],[Työvoima-koulutus 4]]+Opv.kohd.[[#This Row],[Työvoima-koulutus 13]]</f>
        <v>0</v>
      </c>
      <c r="CN156" s="207">
        <f>Opv.kohd.[[#This Row],[Maahan-muuttajien koulutus 4]]+Opv.kohd.[[#This Row],[Maahan-muuttajien koulutus 13]]</f>
        <v>0</v>
      </c>
      <c r="CO156" s="207">
        <f>Opv.kohd.[[#This Row],[Nuorisotyöt. väh. ja osaamistarp. vast., muu kuin työvoima-koulutus 4]]+Opv.kohd.[[#This Row],[Nuorisotyöt. väh. ja osaamistarp. vast., muu kuin työvoima-koulutus 13]]</f>
        <v>0</v>
      </c>
      <c r="CP156" s="207">
        <f>Opv.kohd.[[#This Row],[Nuorisotyöt. väh. ja osaamistarp. vast., työvoima-koulutus 4]]+Opv.kohd.[[#This Row],[Nuorisotyöt. väh. ja osaamistarp. vast., työvoima-koulutus 13]]</f>
        <v>0</v>
      </c>
      <c r="CQ156" s="207">
        <f>Opv.kohd.[[#This Row],[Yhteensä 4]]+Opv.kohd.[[#This Row],[Yhteensä 13]]</f>
        <v>0</v>
      </c>
      <c r="CR156" s="207">
        <f>Opv.kohd.[[#This Row],[Ensikertaisella suoritepäätöksellä jaetut tavoitteelliset opiskelijavuodet yhteensä 4]]+Opv.kohd.[[#This Row],[Tavoitteelliset opiskelijavuodet yhteensä 13]]</f>
        <v>0</v>
      </c>
      <c r="CS156" s="120">
        <v>0</v>
      </c>
      <c r="CT156" s="120">
        <v>0</v>
      </c>
      <c r="CU156" s="120">
        <v>0</v>
      </c>
      <c r="CV156" s="120">
        <v>0</v>
      </c>
      <c r="CW156" s="120">
        <v>0</v>
      </c>
      <c r="CX156" s="120">
        <v>0</v>
      </c>
      <c r="CY156" s="120">
        <v>0</v>
      </c>
      <c r="CZ156" s="120">
        <v>0</v>
      </c>
      <c r="DA156" s="209">
        <f>IFERROR(Opv.kohd.[[#This Row],[Järjestämisluvan mukaiset 13]]/Opv.kohd.[[#This Row],[Järjestämisluvan mukaiset 12]],0)</f>
        <v>0</v>
      </c>
      <c r="DB156" s="209">
        <f>IFERROR(Opv.kohd.[[#This Row],[Kohdentamat-tomat 13]]/Opv.kohd.[[#This Row],[Kohdentamat-tomat 12]],0)</f>
        <v>0</v>
      </c>
      <c r="DC156" s="209">
        <f>IFERROR(Opv.kohd.[[#This Row],[Työvoima-koulutus 13]]/Opv.kohd.[[#This Row],[Työvoima-koulutus 12]],0)</f>
        <v>0</v>
      </c>
      <c r="DD156" s="209">
        <f>IFERROR(Opv.kohd.[[#This Row],[Maahan-muuttajien koulutus 13]]/Opv.kohd.[[#This Row],[Maahan-muuttajien koulutus 12]],0)</f>
        <v>0</v>
      </c>
      <c r="DE156" s="209">
        <f>IFERROR(Opv.kohd.[[#This Row],[Nuorisotyöt. väh. ja osaamistarp. vast., muu kuin työvoima-koulutus 13]]/Opv.kohd.[[#This Row],[Nuorisotyöt. väh. ja osaamistarp. vast., muu kuin työvoima-koulutus 12]],0)</f>
        <v>0</v>
      </c>
      <c r="DF156" s="209">
        <f>IFERROR(Opv.kohd.[[#This Row],[Nuorisotyöt. väh. ja osaamistarp. vast., työvoima-koulutus 13]]/Opv.kohd.[[#This Row],[Nuorisotyöt. väh. ja osaamistarp. vast., työvoima-koulutus 12]],0)</f>
        <v>0</v>
      </c>
      <c r="DG156" s="209">
        <f>IFERROR(Opv.kohd.[[#This Row],[Yhteensä 13]]/Opv.kohd.[[#This Row],[Yhteensä 12]],0)</f>
        <v>0</v>
      </c>
      <c r="DH156" s="209">
        <f>IFERROR(Opv.kohd.[[#This Row],[Tavoitteelliset opiskelijavuodet yhteensä 13]]/Opv.kohd.[[#This Row],[Tavoitteelliset opiskelijavuodet yhteensä 12]],0)</f>
        <v>0</v>
      </c>
      <c r="DI156" s="207">
        <f>Opv.kohd.[[#This Row],[Järjestämisluvan mukaiset 12]]-Opv.kohd.[[#This Row],[Järjestämisluvan mukaiset 9]]</f>
        <v>-1000</v>
      </c>
      <c r="DJ156" s="207">
        <f>Opv.kohd.[[#This Row],[Kohdentamat-tomat 12]]-Opv.kohd.[[#This Row],[Kohdentamat-tomat 9]]</f>
        <v>-50</v>
      </c>
      <c r="DK156" s="207">
        <f>Opv.kohd.[[#This Row],[Työvoima-koulutus 12]]-Opv.kohd.[[#This Row],[Työvoima-koulutus 9]]</f>
        <v>-20</v>
      </c>
      <c r="DL156" s="207">
        <f>Opv.kohd.[[#This Row],[Maahan-muuttajien koulutus 12]]-Opv.kohd.[[#This Row],[Maahan-muuttajien koulutus 9]]</f>
        <v>0</v>
      </c>
      <c r="DM156" s="207">
        <f>Opv.kohd.[[#This Row],[Nuorisotyöt. väh. ja osaamistarp. vast., muu kuin työvoima-koulutus 12]]-Opv.kohd.[[#This Row],[Nuorisotyöt. väh. ja osaamistarp. vast., muu kuin työvoima-koulutus 9]]</f>
        <v>-6</v>
      </c>
      <c r="DN156" s="207">
        <f>Opv.kohd.[[#This Row],[Nuorisotyöt. väh. ja osaamistarp. vast., työvoima-koulutus 12]]-Opv.kohd.[[#This Row],[Nuorisotyöt. väh. ja osaamistarp. vast., työvoima-koulutus 9]]</f>
        <v>0</v>
      </c>
      <c r="DO156" s="207">
        <f>Opv.kohd.[[#This Row],[Yhteensä 12]]-Opv.kohd.[[#This Row],[Yhteensä 9]]</f>
        <v>-76</v>
      </c>
      <c r="DP156" s="207">
        <f>Opv.kohd.[[#This Row],[Tavoitteelliset opiskelijavuodet yhteensä 12]]-Opv.kohd.[[#This Row],[Tavoitteelliset opiskelijavuodet yhteensä 9]]</f>
        <v>-1076</v>
      </c>
      <c r="DQ156" s="209">
        <f>IFERROR(Opv.kohd.[[#This Row],[Järjestämisluvan mukaiset 15]]/Opv.kohd.[[#This Row],[Järjestämisluvan mukaiset 9]],0)</f>
        <v>-1</v>
      </c>
      <c r="DR156" s="209">
        <f t="shared" si="40"/>
        <v>0</v>
      </c>
      <c r="DS156" s="209">
        <f t="shared" si="41"/>
        <v>0</v>
      </c>
      <c r="DT156" s="209">
        <f t="shared" si="42"/>
        <v>0</v>
      </c>
      <c r="DU156" s="209">
        <f t="shared" si="43"/>
        <v>0</v>
      </c>
      <c r="DV156" s="209">
        <f t="shared" si="44"/>
        <v>0</v>
      </c>
      <c r="DW156" s="209">
        <f t="shared" si="45"/>
        <v>0</v>
      </c>
      <c r="DX156" s="209">
        <f t="shared" si="46"/>
        <v>0</v>
      </c>
    </row>
    <row r="157" spans="1:128" x14ac:dyDescent="0.25">
      <c r="A157" s="204" t="e">
        <f>IF(INDEX(#REF!,ROW(157:157)-1,1)=0,"",INDEX(#REF!,ROW(157:157)-1,1))</f>
        <v>#REF!</v>
      </c>
      <c r="B157" s="205" t="str">
        <f>IFERROR(VLOOKUP(Opv.kohd.[[#This Row],[Y-tunnus]],'0 Järjestäjätiedot'!$A:$H,2,FALSE),"")</f>
        <v/>
      </c>
      <c r="C157" s="204" t="str">
        <f>IFERROR(VLOOKUP(Opv.kohd.[[#This Row],[Y-tunnus]],'0 Järjestäjätiedot'!$A:$H,COLUMN('0 Järjestäjätiedot'!D:D),FALSE),"")</f>
        <v/>
      </c>
      <c r="D157" s="204" t="str">
        <f>IFERROR(VLOOKUP(Opv.kohd.[[#This Row],[Y-tunnus]],'0 Järjestäjätiedot'!$A:$H,COLUMN('0 Järjestäjätiedot'!H:H),FALSE),"")</f>
        <v/>
      </c>
      <c r="E157" s="204">
        <f>IFERROR(VLOOKUP(Opv.kohd.[[#This Row],[Y-tunnus]],#REF!,COLUMN(#REF!),FALSE),0)</f>
        <v>0</v>
      </c>
      <c r="F157" s="204">
        <f>IFERROR(VLOOKUP(Opv.kohd.[[#This Row],[Y-tunnus]],#REF!,COLUMN(#REF!),FALSE),0)</f>
        <v>0</v>
      </c>
      <c r="G157" s="204">
        <f>IFERROR(VLOOKUP(Opv.kohd.[[#This Row],[Y-tunnus]],#REF!,COLUMN(#REF!),FALSE),0)</f>
        <v>0</v>
      </c>
      <c r="H157" s="204">
        <f>IFERROR(VLOOKUP(Opv.kohd.[[#This Row],[Y-tunnus]],#REF!,COLUMN(#REF!),FALSE),0)</f>
        <v>0</v>
      </c>
      <c r="I157" s="204">
        <f>IFERROR(VLOOKUP(Opv.kohd.[[#This Row],[Y-tunnus]],#REF!,COLUMN(#REF!),FALSE),0)</f>
        <v>0</v>
      </c>
      <c r="J157" s="204">
        <f>IFERROR(VLOOKUP(Opv.kohd.[[#This Row],[Y-tunnus]],#REF!,COLUMN(#REF!),FALSE),0)</f>
        <v>0</v>
      </c>
      <c r="K15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57" s="204">
        <f>Opv.kohd.[[#This Row],[Järjestämisluvan mukaiset 1]]+Opv.kohd.[[#This Row],[Yhteensä  1]]</f>
        <v>0</v>
      </c>
      <c r="M157" s="204">
        <f>IFERROR(VLOOKUP(Opv.kohd.[[#This Row],[Y-tunnus]],#REF!,COLUMN(#REF!),FALSE),0)</f>
        <v>0</v>
      </c>
      <c r="N157" s="204">
        <f>IFERROR(VLOOKUP(Opv.kohd.[[#This Row],[Y-tunnus]],#REF!,COLUMN(#REF!),FALSE),0)</f>
        <v>0</v>
      </c>
      <c r="O157" s="204">
        <f>IFERROR(VLOOKUP(Opv.kohd.[[#This Row],[Y-tunnus]],#REF!,COLUMN(#REF!),FALSE)+VLOOKUP(Opv.kohd.[[#This Row],[Y-tunnus]],#REF!,COLUMN(#REF!),FALSE),0)</f>
        <v>0</v>
      </c>
      <c r="P157" s="204">
        <f>Opv.kohd.[[#This Row],[Talousarvion perusteella kohdentamattomat]]+Opv.kohd.[[#This Row],[Talousarvion perusteella työvoimakoulutus 1]]+Opv.kohd.[[#This Row],[Lisätalousarvioiden perusteella]]</f>
        <v>0</v>
      </c>
      <c r="Q157" s="204">
        <f>IFERROR(VLOOKUP(Opv.kohd.[[#This Row],[Y-tunnus]],#REF!,COLUMN(#REF!),FALSE),0)</f>
        <v>0</v>
      </c>
      <c r="R157" s="210">
        <f>IFERROR(VLOOKUP(Opv.kohd.[[#This Row],[Y-tunnus]],#REF!,COLUMN(#REF!),FALSE)-(Opv.kohd.[[#This Row],[Kohdentamaton työvoima-koulutus 2]]+Opv.kohd.[[#This Row],[Maahan-muuttajien koulutus 2]]+Opv.kohd.[[#This Row],[Lisätalousarvioiden perusteella jaetut 2]]),0)</f>
        <v>0</v>
      </c>
      <c r="S157" s="210">
        <f>IFERROR(VLOOKUP(Opv.kohd.[[#This Row],[Y-tunnus]],#REF!,COLUMN(#REF!),FALSE)+VLOOKUP(Opv.kohd.[[#This Row],[Y-tunnus]],#REF!,COLUMN(#REF!),FALSE),0)</f>
        <v>0</v>
      </c>
      <c r="T157" s="210">
        <f>IFERROR(VLOOKUP(Opv.kohd.[[#This Row],[Y-tunnus]],#REF!,COLUMN(#REF!),FALSE)+VLOOKUP(Opv.kohd.[[#This Row],[Y-tunnus]],#REF!,COLUMN(#REF!),FALSE),0)</f>
        <v>0</v>
      </c>
      <c r="U15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57" s="210">
        <f>Opv.kohd.[[#This Row],[Kohdentamat-tomat 2]]+Opv.kohd.[[#This Row],[Kohdentamaton työvoima-koulutus 2]]+Opv.kohd.[[#This Row],[Maahan-muuttajien koulutus 2]]+Opv.kohd.[[#This Row],[Lisätalousarvioiden perusteella jaetut 2]]</f>
        <v>0</v>
      </c>
      <c r="W157" s="210">
        <f>Opv.kohd.[[#This Row],[Kohdentamat-tomat 2]]-(Opv.kohd.[[#This Row],[Järjestämisluvan mukaiset 1]]+Opv.kohd.[[#This Row],[Kohdentamat-tomat 1]]+Opv.kohd.[[#This Row],[Nuorisotyöt. väh. ja osaamistarp. vast., muu kuin työvoima-koulutus 1]]+Opv.kohd.[[#This Row],[Talousarvion perusteella kohdentamattomat]])</f>
        <v>0</v>
      </c>
      <c r="X157" s="210">
        <f>Opv.kohd.[[#This Row],[Kohdentamaton työvoima-koulutus 2]]-(Opv.kohd.[[#This Row],[Työvoima-koulutus 1]]+Opv.kohd.[[#This Row],[Nuorisotyöt. väh. ja osaamistarp. vast., työvoima-koulutus 1]]+Opv.kohd.[[#This Row],[Talousarvion perusteella työvoimakoulutus 1]])</f>
        <v>0</v>
      </c>
      <c r="Y157" s="210">
        <f>Opv.kohd.[[#This Row],[Maahan-muuttajien koulutus 2]]-Opv.kohd.[[#This Row],[Maahan-muuttajien koulutus 1]]</f>
        <v>0</v>
      </c>
      <c r="Z157" s="210">
        <f>Opv.kohd.[[#This Row],[Lisätalousarvioiden perusteella jaetut 2]]-Opv.kohd.[[#This Row],[Lisätalousarvioiden perusteella]]</f>
        <v>0</v>
      </c>
      <c r="AA157" s="210">
        <f>Opv.kohd.[[#This Row],[Toteutuneet opiskelijavuodet yhteensä 2]]-Opv.kohd.[[#This Row],[Vuoden 2018 tavoitteelliset opiskelijavuodet yhteensä 1]]</f>
        <v>0</v>
      </c>
      <c r="AB157" s="207">
        <f>IFERROR(VLOOKUP(Opv.kohd.[[#This Row],[Y-tunnus]],#REF!,3,FALSE),0)</f>
        <v>0</v>
      </c>
      <c r="AC157" s="207">
        <f>IFERROR(VLOOKUP(Opv.kohd.[[#This Row],[Y-tunnus]],#REF!,4,FALSE),0)</f>
        <v>0</v>
      </c>
      <c r="AD157" s="207">
        <f>IFERROR(VLOOKUP(Opv.kohd.[[#This Row],[Y-tunnus]],#REF!,5,FALSE),0)</f>
        <v>0</v>
      </c>
      <c r="AE157" s="207">
        <f>IFERROR(VLOOKUP(Opv.kohd.[[#This Row],[Y-tunnus]],#REF!,6,FALSE),0)</f>
        <v>0</v>
      </c>
      <c r="AF157" s="207">
        <f>IFERROR(VLOOKUP(Opv.kohd.[[#This Row],[Y-tunnus]],#REF!,7,FALSE),0)</f>
        <v>0</v>
      </c>
      <c r="AG157" s="207">
        <f>IFERROR(VLOOKUP(Opv.kohd.[[#This Row],[Y-tunnus]],#REF!,8,FALSE),0)</f>
        <v>0</v>
      </c>
      <c r="AH157" s="207">
        <f>IFERROR(VLOOKUP(Opv.kohd.[[#This Row],[Y-tunnus]],#REF!,9,FALSE),0)</f>
        <v>0</v>
      </c>
      <c r="AI157" s="207">
        <f>IFERROR(VLOOKUP(Opv.kohd.[[#This Row],[Y-tunnus]],#REF!,10,FALSE),0)</f>
        <v>0</v>
      </c>
      <c r="AJ157" s="204">
        <f>Opv.kohd.[[#This Row],[Järjestämisluvan mukaiset 4]]-Opv.kohd.[[#This Row],[Järjestämisluvan mukaiset 1]]</f>
        <v>0</v>
      </c>
      <c r="AK157" s="204">
        <f>Opv.kohd.[[#This Row],[Kohdentamat-tomat 4]]-Opv.kohd.[[#This Row],[Kohdentamat-tomat 1]]</f>
        <v>0</v>
      </c>
      <c r="AL157" s="204">
        <f>Opv.kohd.[[#This Row],[Työvoima-koulutus 4]]-Opv.kohd.[[#This Row],[Työvoima-koulutus 1]]</f>
        <v>0</v>
      </c>
      <c r="AM157" s="204">
        <f>Opv.kohd.[[#This Row],[Maahan-muuttajien koulutus 4]]-Opv.kohd.[[#This Row],[Maahan-muuttajien koulutus 1]]</f>
        <v>0</v>
      </c>
      <c r="AN157" s="204">
        <f>Opv.kohd.[[#This Row],[Nuorisotyöt. väh. ja osaamistarp. vast., muu kuin työvoima-koulutus 4]]-Opv.kohd.[[#This Row],[Nuorisotyöt. väh. ja osaamistarp. vast., muu kuin työvoima-koulutus 1]]</f>
        <v>0</v>
      </c>
      <c r="AO157" s="204">
        <f>Opv.kohd.[[#This Row],[Nuorisotyöt. väh. ja osaamistarp. vast., työvoima-koulutus 4]]-Opv.kohd.[[#This Row],[Nuorisotyöt. väh. ja osaamistarp. vast., työvoima-koulutus 1]]</f>
        <v>0</v>
      </c>
      <c r="AP157" s="204">
        <f>Opv.kohd.[[#This Row],[Yhteensä 4]]-Opv.kohd.[[#This Row],[Yhteensä  1]]</f>
        <v>0</v>
      </c>
      <c r="AQ157" s="204">
        <f>Opv.kohd.[[#This Row],[Ensikertaisella suoritepäätöksellä jaetut tavoitteelliset opiskelijavuodet yhteensä 4]]-Opv.kohd.[[#This Row],[Ensikertaisella suoritepäätöksellä jaetut tavoitteelliset opiskelijavuodet yhteensä 1]]</f>
        <v>0</v>
      </c>
      <c r="AR157" s="208">
        <f>IFERROR(Opv.kohd.[[#This Row],[Järjestämisluvan mukaiset 5]]/Opv.kohd.[[#This Row],[Järjestämisluvan mukaiset 4]],0)</f>
        <v>0</v>
      </c>
      <c r="AS157" s="208">
        <f>IFERROR(Opv.kohd.[[#This Row],[Kohdentamat-tomat 5]]/Opv.kohd.[[#This Row],[Kohdentamat-tomat 4]],0)</f>
        <v>0</v>
      </c>
      <c r="AT157" s="208">
        <f>IFERROR(Opv.kohd.[[#This Row],[Työvoima-koulutus 5]]/Opv.kohd.[[#This Row],[Työvoima-koulutus 4]],0)</f>
        <v>0</v>
      </c>
      <c r="AU157" s="208">
        <f>IFERROR(Opv.kohd.[[#This Row],[Maahan-muuttajien koulutus 5]]/Opv.kohd.[[#This Row],[Maahan-muuttajien koulutus 4]],0)</f>
        <v>0</v>
      </c>
      <c r="AV157" s="208">
        <f>IFERROR(Opv.kohd.[[#This Row],[Nuorisotyöt. väh. ja osaamistarp. vast., muu kuin työvoima-koulutus 5]]/Opv.kohd.[[#This Row],[Nuorisotyöt. väh. ja osaamistarp. vast., muu kuin työvoima-koulutus 4]],0)</f>
        <v>0</v>
      </c>
      <c r="AW157" s="208">
        <f>IFERROR(Opv.kohd.[[#This Row],[Nuorisotyöt. väh. ja osaamistarp. vast., työvoima-koulutus 5]]/Opv.kohd.[[#This Row],[Nuorisotyöt. väh. ja osaamistarp. vast., työvoima-koulutus 4]],0)</f>
        <v>0</v>
      </c>
      <c r="AX157" s="208">
        <f>IFERROR(Opv.kohd.[[#This Row],[Yhteensä 5]]/Opv.kohd.[[#This Row],[Yhteensä 4]],0)</f>
        <v>0</v>
      </c>
      <c r="AY157" s="208">
        <f>IFERROR(Opv.kohd.[[#This Row],[Ensikertaisella suoritepäätöksellä jaetut tavoitteelliset opiskelijavuodet yhteensä 5]]/Opv.kohd.[[#This Row],[Ensikertaisella suoritepäätöksellä jaetut tavoitteelliset opiskelijavuodet yhteensä 4]],0)</f>
        <v>0</v>
      </c>
      <c r="AZ157" s="207">
        <f>Opv.kohd.[[#This Row],[Yhteensä 7a]]-Opv.kohd.[[#This Row],[Työvoima-koulutus 7a]]</f>
        <v>0</v>
      </c>
      <c r="BA157" s="207">
        <f>IFERROR(VLOOKUP(Opv.kohd.[[#This Row],[Y-tunnus]],#REF!,COLUMN(#REF!),FALSE),0)</f>
        <v>0</v>
      </c>
      <c r="BB157" s="207">
        <f>IFERROR(VLOOKUP(Opv.kohd.[[#This Row],[Y-tunnus]],#REF!,COLUMN(#REF!),FALSE),0)</f>
        <v>0</v>
      </c>
      <c r="BC157" s="207">
        <f>Opv.kohd.[[#This Row],[Muu kuin työvoima-koulutus 7c]]-Opv.kohd.[[#This Row],[Muu kuin työvoima-koulutus 7a]]</f>
        <v>0</v>
      </c>
      <c r="BD157" s="207">
        <f>Opv.kohd.[[#This Row],[Työvoima-koulutus 7c]]-Opv.kohd.[[#This Row],[Työvoima-koulutus 7a]]</f>
        <v>0</v>
      </c>
      <c r="BE157" s="207">
        <f>Opv.kohd.[[#This Row],[Yhteensä 7c]]-Opv.kohd.[[#This Row],[Yhteensä 7a]]</f>
        <v>0</v>
      </c>
      <c r="BF157" s="207">
        <f>Opv.kohd.[[#This Row],[Yhteensä 7c]]-Opv.kohd.[[#This Row],[Työvoima-koulutus 7c]]</f>
        <v>0</v>
      </c>
      <c r="BG157" s="207">
        <f>IFERROR(VLOOKUP(Opv.kohd.[[#This Row],[Y-tunnus]],#REF!,COLUMN(#REF!),FALSE),0)</f>
        <v>0</v>
      </c>
      <c r="BH157" s="207">
        <f>IFERROR(VLOOKUP(Opv.kohd.[[#This Row],[Y-tunnus]],#REF!,COLUMN(#REF!),FALSE),0)</f>
        <v>0</v>
      </c>
      <c r="BI157" s="207">
        <f>IFERROR(VLOOKUP(Opv.kohd.[[#This Row],[Y-tunnus]],#REF!,COLUMN(#REF!),FALSE),0)</f>
        <v>0</v>
      </c>
      <c r="BJ157" s="207">
        <f>IFERROR(VLOOKUP(Opv.kohd.[[#This Row],[Y-tunnus]],#REF!,COLUMN(#REF!),FALSE),0)</f>
        <v>0</v>
      </c>
      <c r="BK157" s="207">
        <f>Opv.kohd.[[#This Row],[Muu kuin työvoima-koulutus 7d]]+Opv.kohd.[[#This Row],[Työvoima-koulutus 7d]]</f>
        <v>0</v>
      </c>
      <c r="BL157" s="207">
        <f>Opv.kohd.[[#This Row],[Muu kuin työvoima-koulutus 7c]]-Opv.kohd.[[#This Row],[Muu kuin työvoima-koulutus 7d]]</f>
        <v>0</v>
      </c>
      <c r="BM157" s="207">
        <f>Opv.kohd.[[#This Row],[Työvoima-koulutus 7c]]-Opv.kohd.[[#This Row],[Työvoima-koulutus 7d]]</f>
        <v>0</v>
      </c>
      <c r="BN157" s="207">
        <f>Opv.kohd.[[#This Row],[Yhteensä 7c]]-Opv.kohd.[[#This Row],[Yhteensä 7d]]</f>
        <v>0</v>
      </c>
      <c r="BO157" s="207">
        <f>Opv.kohd.[[#This Row],[Muu kuin työvoima-koulutus 7e]]-(Opv.kohd.[[#This Row],[Järjestämisluvan mukaiset 4]]+Opv.kohd.[[#This Row],[Kohdentamat-tomat 4]]+Opv.kohd.[[#This Row],[Maahan-muuttajien koulutus 4]]+Opv.kohd.[[#This Row],[Nuorisotyöt. väh. ja osaamistarp. vast., muu kuin työvoima-koulutus 4]])</f>
        <v>0</v>
      </c>
      <c r="BP157" s="207">
        <f>Opv.kohd.[[#This Row],[Työvoima-koulutus 7e]]-(Opv.kohd.[[#This Row],[Työvoima-koulutus 4]]+Opv.kohd.[[#This Row],[Nuorisotyöt. väh. ja osaamistarp. vast., työvoima-koulutus 4]])</f>
        <v>0</v>
      </c>
      <c r="BQ157" s="207">
        <f>Opv.kohd.[[#This Row],[Yhteensä 7e]]-Opv.kohd.[[#This Row],[Ensikertaisella suoritepäätöksellä jaetut tavoitteelliset opiskelijavuodet yhteensä 4]]</f>
        <v>0</v>
      </c>
      <c r="BR157" s="263">
        <v>17</v>
      </c>
      <c r="BS157" s="263">
        <v>2</v>
      </c>
      <c r="BT157" s="263">
        <v>0</v>
      </c>
      <c r="BU157" s="263">
        <v>0</v>
      </c>
      <c r="BV157" s="263">
        <v>0</v>
      </c>
      <c r="BW157" s="263">
        <v>0</v>
      </c>
      <c r="BX157" s="263">
        <v>2</v>
      </c>
      <c r="BY157" s="263">
        <v>19</v>
      </c>
      <c r="BZ157" s="207">
        <f t="shared" si="32"/>
        <v>17</v>
      </c>
      <c r="CA157" s="207">
        <f t="shared" si="33"/>
        <v>2</v>
      </c>
      <c r="CB157" s="207">
        <f t="shared" si="34"/>
        <v>0</v>
      </c>
      <c r="CC157" s="207">
        <f t="shared" si="35"/>
        <v>0</v>
      </c>
      <c r="CD157" s="207">
        <f t="shared" si="36"/>
        <v>0</v>
      </c>
      <c r="CE157" s="207">
        <f t="shared" si="37"/>
        <v>0</v>
      </c>
      <c r="CF157" s="207">
        <f t="shared" si="38"/>
        <v>2</v>
      </c>
      <c r="CG157" s="207">
        <f t="shared" si="39"/>
        <v>19</v>
      </c>
      <c r="CH157" s="207">
        <f>Opv.kohd.[[#This Row],[Tavoitteelliset opiskelijavuodet yhteensä 9]]-Opv.kohd.[[#This Row],[Työvoima-koulutus 9]]-Opv.kohd.[[#This Row],[Nuorisotyöt. väh. ja osaamistarp. vast., työvoima-koulutus 9]]-Opv.kohd.[[#This Row],[Muu kuin työvoima-koulutus 7e]]</f>
        <v>19</v>
      </c>
      <c r="CI157" s="207">
        <f>(Opv.kohd.[[#This Row],[Työvoima-koulutus 9]]+Opv.kohd.[[#This Row],[Nuorisotyöt. väh. ja osaamistarp. vast., työvoima-koulutus 9]])-Opv.kohd.[[#This Row],[Työvoima-koulutus 7e]]</f>
        <v>0</v>
      </c>
      <c r="CJ157" s="207">
        <f>Opv.kohd.[[#This Row],[Tavoitteelliset opiskelijavuodet yhteensä 9]]-Opv.kohd.[[#This Row],[Yhteensä 7e]]</f>
        <v>19</v>
      </c>
      <c r="CK157" s="207">
        <f>Opv.kohd.[[#This Row],[Järjestämisluvan mukaiset 4]]+Opv.kohd.[[#This Row],[Järjestämisluvan mukaiset 13]]</f>
        <v>0</v>
      </c>
      <c r="CL157" s="207">
        <f>Opv.kohd.[[#This Row],[Kohdentamat-tomat 4]]+Opv.kohd.[[#This Row],[Kohdentamat-tomat 13]]</f>
        <v>0</v>
      </c>
      <c r="CM157" s="207">
        <f>Opv.kohd.[[#This Row],[Työvoima-koulutus 4]]+Opv.kohd.[[#This Row],[Työvoima-koulutus 13]]</f>
        <v>0</v>
      </c>
      <c r="CN157" s="207">
        <f>Opv.kohd.[[#This Row],[Maahan-muuttajien koulutus 4]]+Opv.kohd.[[#This Row],[Maahan-muuttajien koulutus 13]]</f>
        <v>0</v>
      </c>
      <c r="CO157" s="207">
        <f>Opv.kohd.[[#This Row],[Nuorisotyöt. väh. ja osaamistarp. vast., muu kuin työvoima-koulutus 4]]+Opv.kohd.[[#This Row],[Nuorisotyöt. väh. ja osaamistarp. vast., muu kuin työvoima-koulutus 13]]</f>
        <v>0</v>
      </c>
      <c r="CP157" s="207">
        <f>Opv.kohd.[[#This Row],[Nuorisotyöt. väh. ja osaamistarp. vast., työvoima-koulutus 4]]+Opv.kohd.[[#This Row],[Nuorisotyöt. väh. ja osaamistarp. vast., työvoima-koulutus 13]]</f>
        <v>0</v>
      </c>
      <c r="CQ157" s="207">
        <f>Opv.kohd.[[#This Row],[Yhteensä 4]]+Opv.kohd.[[#This Row],[Yhteensä 13]]</f>
        <v>0</v>
      </c>
      <c r="CR157" s="207">
        <f>Opv.kohd.[[#This Row],[Ensikertaisella suoritepäätöksellä jaetut tavoitteelliset opiskelijavuodet yhteensä 4]]+Opv.kohd.[[#This Row],[Tavoitteelliset opiskelijavuodet yhteensä 13]]</f>
        <v>0</v>
      </c>
      <c r="CS157" s="120">
        <v>0</v>
      </c>
      <c r="CT157" s="120">
        <v>0</v>
      </c>
      <c r="CU157" s="120">
        <v>0</v>
      </c>
      <c r="CV157" s="120">
        <v>0</v>
      </c>
      <c r="CW157" s="120">
        <v>0</v>
      </c>
      <c r="CX157" s="120">
        <v>0</v>
      </c>
      <c r="CY157" s="120">
        <v>0</v>
      </c>
      <c r="CZ157" s="120">
        <v>0</v>
      </c>
      <c r="DA157" s="209">
        <f>IFERROR(Opv.kohd.[[#This Row],[Järjestämisluvan mukaiset 13]]/Opv.kohd.[[#This Row],[Järjestämisluvan mukaiset 12]],0)</f>
        <v>0</v>
      </c>
      <c r="DB157" s="209">
        <f>IFERROR(Opv.kohd.[[#This Row],[Kohdentamat-tomat 13]]/Opv.kohd.[[#This Row],[Kohdentamat-tomat 12]],0)</f>
        <v>0</v>
      </c>
      <c r="DC157" s="209">
        <f>IFERROR(Opv.kohd.[[#This Row],[Työvoima-koulutus 13]]/Opv.kohd.[[#This Row],[Työvoima-koulutus 12]],0)</f>
        <v>0</v>
      </c>
      <c r="DD157" s="209">
        <f>IFERROR(Opv.kohd.[[#This Row],[Maahan-muuttajien koulutus 13]]/Opv.kohd.[[#This Row],[Maahan-muuttajien koulutus 12]],0)</f>
        <v>0</v>
      </c>
      <c r="DE157" s="209">
        <f>IFERROR(Opv.kohd.[[#This Row],[Nuorisotyöt. väh. ja osaamistarp. vast., muu kuin työvoima-koulutus 13]]/Opv.kohd.[[#This Row],[Nuorisotyöt. väh. ja osaamistarp. vast., muu kuin työvoima-koulutus 12]],0)</f>
        <v>0</v>
      </c>
      <c r="DF157" s="209">
        <f>IFERROR(Opv.kohd.[[#This Row],[Nuorisotyöt. väh. ja osaamistarp. vast., työvoima-koulutus 13]]/Opv.kohd.[[#This Row],[Nuorisotyöt. väh. ja osaamistarp. vast., työvoima-koulutus 12]],0)</f>
        <v>0</v>
      </c>
      <c r="DG157" s="209">
        <f>IFERROR(Opv.kohd.[[#This Row],[Yhteensä 13]]/Opv.kohd.[[#This Row],[Yhteensä 12]],0)</f>
        <v>0</v>
      </c>
      <c r="DH157" s="209">
        <f>IFERROR(Opv.kohd.[[#This Row],[Tavoitteelliset opiskelijavuodet yhteensä 13]]/Opv.kohd.[[#This Row],[Tavoitteelliset opiskelijavuodet yhteensä 12]],0)</f>
        <v>0</v>
      </c>
      <c r="DI157" s="207">
        <f>Opv.kohd.[[#This Row],[Järjestämisluvan mukaiset 12]]-Opv.kohd.[[#This Row],[Järjestämisluvan mukaiset 9]]</f>
        <v>-17</v>
      </c>
      <c r="DJ157" s="207">
        <f>Opv.kohd.[[#This Row],[Kohdentamat-tomat 12]]-Opv.kohd.[[#This Row],[Kohdentamat-tomat 9]]</f>
        <v>-2</v>
      </c>
      <c r="DK157" s="207">
        <f>Opv.kohd.[[#This Row],[Työvoima-koulutus 12]]-Opv.kohd.[[#This Row],[Työvoima-koulutus 9]]</f>
        <v>0</v>
      </c>
      <c r="DL157" s="207">
        <f>Opv.kohd.[[#This Row],[Maahan-muuttajien koulutus 12]]-Opv.kohd.[[#This Row],[Maahan-muuttajien koulutus 9]]</f>
        <v>0</v>
      </c>
      <c r="DM157" s="207">
        <f>Opv.kohd.[[#This Row],[Nuorisotyöt. väh. ja osaamistarp. vast., muu kuin työvoima-koulutus 12]]-Opv.kohd.[[#This Row],[Nuorisotyöt. väh. ja osaamistarp. vast., muu kuin työvoima-koulutus 9]]</f>
        <v>0</v>
      </c>
      <c r="DN157" s="207">
        <f>Opv.kohd.[[#This Row],[Nuorisotyöt. väh. ja osaamistarp. vast., työvoima-koulutus 12]]-Opv.kohd.[[#This Row],[Nuorisotyöt. väh. ja osaamistarp. vast., työvoima-koulutus 9]]</f>
        <v>0</v>
      </c>
      <c r="DO157" s="207">
        <f>Opv.kohd.[[#This Row],[Yhteensä 12]]-Opv.kohd.[[#This Row],[Yhteensä 9]]</f>
        <v>-2</v>
      </c>
      <c r="DP157" s="207">
        <f>Opv.kohd.[[#This Row],[Tavoitteelliset opiskelijavuodet yhteensä 12]]-Opv.kohd.[[#This Row],[Tavoitteelliset opiskelijavuodet yhteensä 9]]</f>
        <v>-19</v>
      </c>
      <c r="DQ157" s="209">
        <f>IFERROR(Opv.kohd.[[#This Row],[Järjestämisluvan mukaiset 15]]/Opv.kohd.[[#This Row],[Järjestämisluvan mukaiset 9]],0)</f>
        <v>-1</v>
      </c>
      <c r="DR157" s="209">
        <f t="shared" si="40"/>
        <v>0</v>
      </c>
      <c r="DS157" s="209">
        <f t="shared" si="41"/>
        <v>0</v>
      </c>
      <c r="DT157" s="209">
        <f t="shared" si="42"/>
        <v>0</v>
      </c>
      <c r="DU157" s="209">
        <f t="shared" si="43"/>
        <v>0</v>
      </c>
      <c r="DV157" s="209">
        <f t="shared" si="44"/>
        <v>0</v>
      </c>
      <c r="DW157" s="209">
        <f t="shared" si="45"/>
        <v>0</v>
      </c>
      <c r="DX157" s="209">
        <f t="shared" si="46"/>
        <v>0</v>
      </c>
    </row>
    <row r="158" spans="1:128" x14ac:dyDescent="0.25">
      <c r="A158" s="204" t="e">
        <f>IF(INDEX(#REF!,ROW(158:158)-1,1)=0,"",INDEX(#REF!,ROW(158:158)-1,1))</f>
        <v>#REF!</v>
      </c>
      <c r="B158" s="205" t="str">
        <f>IFERROR(VLOOKUP(Opv.kohd.[[#This Row],[Y-tunnus]],'0 Järjestäjätiedot'!$A:$H,2,FALSE),"")</f>
        <v/>
      </c>
      <c r="C158" s="204" t="str">
        <f>IFERROR(VLOOKUP(Opv.kohd.[[#This Row],[Y-tunnus]],'0 Järjestäjätiedot'!$A:$H,COLUMN('0 Järjestäjätiedot'!D:D),FALSE),"")</f>
        <v/>
      </c>
      <c r="D158" s="204" t="str">
        <f>IFERROR(VLOOKUP(Opv.kohd.[[#This Row],[Y-tunnus]],'0 Järjestäjätiedot'!$A:$H,COLUMN('0 Järjestäjätiedot'!H:H),FALSE),"")</f>
        <v/>
      </c>
      <c r="E158" s="204">
        <f>IFERROR(VLOOKUP(Opv.kohd.[[#This Row],[Y-tunnus]],#REF!,COLUMN(#REF!),FALSE),0)</f>
        <v>0</v>
      </c>
      <c r="F158" s="204">
        <f>IFERROR(VLOOKUP(Opv.kohd.[[#This Row],[Y-tunnus]],#REF!,COLUMN(#REF!),FALSE),0)</f>
        <v>0</v>
      </c>
      <c r="G158" s="204">
        <f>IFERROR(VLOOKUP(Opv.kohd.[[#This Row],[Y-tunnus]],#REF!,COLUMN(#REF!),FALSE),0)</f>
        <v>0</v>
      </c>
      <c r="H158" s="204">
        <f>IFERROR(VLOOKUP(Opv.kohd.[[#This Row],[Y-tunnus]],#REF!,COLUMN(#REF!),FALSE),0)</f>
        <v>0</v>
      </c>
      <c r="I158" s="204">
        <f>IFERROR(VLOOKUP(Opv.kohd.[[#This Row],[Y-tunnus]],#REF!,COLUMN(#REF!),FALSE),0)</f>
        <v>0</v>
      </c>
      <c r="J158" s="204">
        <f>IFERROR(VLOOKUP(Opv.kohd.[[#This Row],[Y-tunnus]],#REF!,COLUMN(#REF!),FALSE),0)</f>
        <v>0</v>
      </c>
      <c r="K15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58" s="204">
        <f>Opv.kohd.[[#This Row],[Järjestämisluvan mukaiset 1]]+Opv.kohd.[[#This Row],[Yhteensä  1]]</f>
        <v>0</v>
      </c>
      <c r="M158" s="204">
        <f>IFERROR(VLOOKUP(Opv.kohd.[[#This Row],[Y-tunnus]],#REF!,COLUMN(#REF!),FALSE),0)</f>
        <v>0</v>
      </c>
      <c r="N158" s="204">
        <f>IFERROR(VLOOKUP(Opv.kohd.[[#This Row],[Y-tunnus]],#REF!,COLUMN(#REF!),FALSE),0)</f>
        <v>0</v>
      </c>
      <c r="O158" s="204">
        <f>IFERROR(VLOOKUP(Opv.kohd.[[#This Row],[Y-tunnus]],#REF!,COLUMN(#REF!),FALSE)+VLOOKUP(Opv.kohd.[[#This Row],[Y-tunnus]],#REF!,COLUMN(#REF!),FALSE),0)</f>
        <v>0</v>
      </c>
      <c r="P158" s="204">
        <f>Opv.kohd.[[#This Row],[Talousarvion perusteella kohdentamattomat]]+Opv.kohd.[[#This Row],[Talousarvion perusteella työvoimakoulutus 1]]+Opv.kohd.[[#This Row],[Lisätalousarvioiden perusteella]]</f>
        <v>0</v>
      </c>
      <c r="Q158" s="204">
        <f>IFERROR(VLOOKUP(Opv.kohd.[[#This Row],[Y-tunnus]],#REF!,COLUMN(#REF!),FALSE),0)</f>
        <v>0</v>
      </c>
      <c r="R158" s="210">
        <f>IFERROR(VLOOKUP(Opv.kohd.[[#This Row],[Y-tunnus]],#REF!,COLUMN(#REF!),FALSE)-(Opv.kohd.[[#This Row],[Kohdentamaton työvoima-koulutus 2]]+Opv.kohd.[[#This Row],[Maahan-muuttajien koulutus 2]]+Opv.kohd.[[#This Row],[Lisätalousarvioiden perusteella jaetut 2]]),0)</f>
        <v>0</v>
      </c>
      <c r="S158" s="210">
        <f>IFERROR(VLOOKUP(Opv.kohd.[[#This Row],[Y-tunnus]],#REF!,COLUMN(#REF!),FALSE)+VLOOKUP(Opv.kohd.[[#This Row],[Y-tunnus]],#REF!,COLUMN(#REF!),FALSE),0)</f>
        <v>0</v>
      </c>
      <c r="T158" s="210">
        <f>IFERROR(VLOOKUP(Opv.kohd.[[#This Row],[Y-tunnus]],#REF!,COLUMN(#REF!),FALSE)+VLOOKUP(Opv.kohd.[[#This Row],[Y-tunnus]],#REF!,COLUMN(#REF!),FALSE),0)</f>
        <v>0</v>
      </c>
      <c r="U15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58" s="210">
        <f>Opv.kohd.[[#This Row],[Kohdentamat-tomat 2]]+Opv.kohd.[[#This Row],[Kohdentamaton työvoima-koulutus 2]]+Opv.kohd.[[#This Row],[Maahan-muuttajien koulutus 2]]+Opv.kohd.[[#This Row],[Lisätalousarvioiden perusteella jaetut 2]]</f>
        <v>0</v>
      </c>
      <c r="W158" s="210">
        <f>Opv.kohd.[[#This Row],[Kohdentamat-tomat 2]]-(Opv.kohd.[[#This Row],[Järjestämisluvan mukaiset 1]]+Opv.kohd.[[#This Row],[Kohdentamat-tomat 1]]+Opv.kohd.[[#This Row],[Nuorisotyöt. väh. ja osaamistarp. vast., muu kuin työvoima-koulutus 1]]+Opv.kohd.[[#This Row],[Talousarvion perusteella kohdentamattomat]])</f>
        <v>0</v>
      </c>
      <c r="X158" s="210">
        <f>Opv.kohd.[[#This Row],[Kohdentamaton työvoima-koulutus 2]]-(Opv.kohd.[[#This Row],[Työvoima-koulutus 1]]+Opv.kohd.[[#This Row],[Nuorisotyöt. väh. ja osaamistarp. vast., työvoima-koulutus 1]]+Opv.kohd.[[#This Row],[Talousarvion perusteella työvoimakoulutus 1]])</f>
        <v>0</v>
      </c>
      <c r="Y158" s="210">
        <f>Opv.kohd.[[#This Row],[Maahan-muuttajien koulutus 2]]-Opv.kohd.[[#This Row],[Maahan-muuttajien koulutus 1]]</f>
        <v>0</v>
      </c>
      <c r="Z158" s="210">
        <f>Opv.kohd.[[#This Row],[Lisätalousarvioiden perusteella jaetut 2]]-Opv.kohd.[[#This Row],[Lisätalousarvioiden perusteella]]</f>
        <v>0</v>
      </c>
      <c r="AA158" s="210">
        <f>Opv.kohd.[[#This Row],[Toteutuneet opiskelijavuodet yhteensä 2]]-Opv.kohd.[[#This Row],[Vuoden 2018 tavoitteelliset opiskelijavuodet yhteensä 1]]</f>
        <v>0</v>
      </c>
      <c r="AB158" s="207">
        <f>IFERROR(VLOOKUP(Opv.kohd.[[#This Row],[Y-tunnus]],#REF!,3,FALSE),0)</f>
        <v>0</v>
      </c>
      <c r="AC158" s="207">
        <f>IFERROR(VLOOKUP(Opv.kohd.[[#This Row],[Y-tunnus]],#REF!,4,FALSE),0)</f>
        <v>0</v>
      </c>
      <c r="AD158" s="207">
        <f>IFERROR(VLOOKUP(Opv.kohd.[[#This Row],[Y-tunnus]],#REF!,5,FALSE),0)</f>
        <v>0</v>
      </c>
      <c r="AE158" s="207">
        <f>IFERROR(VLOOKUP(Opv.kohd.[[#This Row],[Y-tunnus]],#REF!,6,FALSE),0)</f>
        <v>0</v>
      </c>
      <c r="AF158" s="207">
        <f>IFERROR(VLOOKUP(Opv.kohd.[[#This Row],[Y-tunnus]],#REF!,7,FALSE),0)</f>
        <v>0</v>
      </c>
      <c r="AG158" s="207">
        <f>IFERROR(VLOOKUP(Opv.kohd.[[#This Row],[Y-tunnus]],#REF!,8,FALSE),0)</f>
        <v>0</v>
      </c>
      <c r="AH158" s="207">
        <f>IFERROR(VLOOKUP(Opv.kohd.[[#This Row],[Y-tunnus]],#REF!,9,FALSE),0)</f>
        <v>0</v>
      </c>
      <c r="AI158" s="207">
        <f>IFERROR(VLOOKUP(Opv.kohd.[[#This Row],[Y-tunnus]],#REF!,10,FALSE),0)</f>
        <v>0</v>
      </c>
      <c r="AJ158" s="204">
        <f>Opv.kohd.[[#This Row],[Järjestämisluvan mukaiset 4]]-Opv.kohd.[[#This Row],[Järjestämisluvan mukaiset 1]]</f>
        <v>0</v>
      </c>
      <c r="AK158" s="204">
        <f>Opv.kohd.[[#This Row],[Kohdentamat-tomat 4]]-Opv.kohd.[[#This Row],[Kohdentamat-tomat 1]]</f>
        <v>0</v>
      </c>
      <c r="AL158" s="204">
        <f>Opv.kohd.[[#This Row],[Työvoima-koulutus 4]]-Opv.kohd.[[#This Row],[Työvoima-koulutus 1]]</f>
        <v>0</v>
      </c>
      <c r="AM158" s="204">
        <f>Opv.kohd.[[#This Row],[Maahan-muuttajien koulutus 4]]-Opv.kohd.[[#This Row],[Maahan-muuttajien koulutus 1]]</f>
        <v>0</v>
      </c>
      <c r="AN158" s="204">
        <f>Opv.kohd.[[#This Row],[Nuorisotyöt. väh. ja osaamistarp. vast., muu kuin työvoima-koulutus 4]]-Opv.kohd.[[#This Row],[Nuorisotyöt. väh. ja osaamistarp. vast., muu kuin työvoima-koulutus 1]]</f>
        <v>0</v>
      </c>
      <c r="AO158" s="204">
        <f>Opv.kohd.[[#This Row],[Nuorisotyöt. väh. ja osaamistarp. vast., työvoima-koulutus 4]]-Opv.kohd.[[#This Row],[Nuorisotyöt. väh. ja osaamistarp. vast., työvoima-koulutus 1]]</f>
        <v>0</v>
      </c>
      <c r="AP158" s="204">
        <f>Opv.kohd.[[#This Row],[Yhteensä 4]]-Opv.kohd.[[#This Row],[Yhteensä  1]]</f>
        <v>0</v>
      </c>
      <c r="AQ158" s="204">
        <f>Opv.kohd.[[#This Row],[Ensikertaisella suoritepäätöksellä jaetut tavoitteelliset opiskelijavuodet yhteensä 4]]-Opv.kohd.[[#This Row],[Ensikertaisella suoritepäätöksellä jaetut tavoitteelliset opiskelijavuodet yhteensä 1]]</f>
        <v>0</v>
      </c>
      <c r="AR158" s="208">
        <f>IFERROR(Opv.kohd.[[#This Row],[Järjestämisluvan mukaiset 5]]/Opv.kohd.[[#This Row],[Järjestämisluvan mukaiset 4]],0)</f>
        <v>0</v>
      </c>
      <c r="AS158" s="208">
        <f>IFERROR(Opv.kohd.[[#This Row],[Kohdentamat-tomat 5]]/Opv.kohd.[[#This Row],[Kohdentamat-tomat 4]],0)</f>
        <v>0</v>
      </c>
      <c r="AT158" s="208">
        <f>IFERROR(Opv.kohd.[[#This Row],[Työvoima-koulutus 5]]/Opv.kohd.[[#This Row],[Työvoima-koulutus 4]],0)</f>
        <v>0</v>
      </c>
      <c r="AU158" s="208">
        <f>IFERROR(Opv.kohd.[[#This Row],[Maahan-muuttajien koulutus 5]]/Opv.kohd.[[#This Row],[Maahan-muuttajien koulutus 4]],0)</f>
        <v>0</v>
      </c>
      <c r="AV158" s="208">
        <f>IFERROR(Opv.kohd.[[#This Row],[Nuorisotyöt. väh. ja osaamistarp. vast., muu kuin työvoima-koulutus 5]]/Opv.kohd.[[#This Row],[Nuorisotyöt. väh. ja osaamistarp. vast., muu kuin työvoima-koulutus 4]],0)</f>
        <v>0</v>
      </c>
      <c r="AW158" s="208">
        <f>IFERROR(Opv.kohd.[[#This Row],[Nuorisotyöt. väh. ja osaamistarp. vast., työvoima-koulutus 5]]/Opv.kohd.[[#This Row],[Nuorisotyöt. väh. ja osaamistarp. vast., työvoima-koulutus 4]],0)</f>
        <v>0</v>
      </c>
      <c r="AX158" s="208">
        <f>IFERROR(Opv.kohd.[[#This Row],[Yhteensä 5]]/Opv.kohd.[[#This Row],[Yhteensä 4]],0)</f>
        <v>0</v>
      </c>
      <c r="AY158" s="208">
        <f>IFERROR(Opv.kohd.[[#This Row],[Ensikertaisella suoritepäätöksellä jaetut tavoitteelliset opiskelijavuodet yhteensä 5]]/Opv.kohd.[[#This Row],[Ensikertaisella suoritepäätöksellä jaetut tavoitteelliset opiskelijavuodet yhteensä 4]],0)</f>
        <v>0</v>
      </c>
      <c r="AZ158" s="207">
        <f>Opv.kohd.[[#This Row],[Yhteensä 7a]]-Opv.kohd.[[#This Row],[Työvoima-koulutus 7a]]</f>
        <v>0</v>
      </c>
      <c r="BA158" s="207">
        <f>IFERROR(VLOOKUP(Opv.kohd.[[#This Row],[Y-tunnus]],#REF!,COLUMN(#REF!),FALSE),0)</f>
        <v>0</v>
      </c>
      <c r="BB158" s="207">
        <f>IFERROR(VLOOKUP(Opv.kohd.[[#This Row],[Y-tunnus]],#REF!,COLUMN(#REF!),FALSE),0)</f>
        <v>0</v>
      </c>
      <c r="BC158" s="207">
        <f>Opv.kohd.[[#This Row],[Muu kuin työvoima-koulutus 7c]]-Opv.kohd.[[#This Row],[Muu kuin työvoima-koulutus 7a]]</f>
        <v>0</v>
      </c>
      <c r="BD158" s="207">
        <f>Opv.kohd.[[#This Row],[Työvoima-koulutus 7c]]-Opv.kohd.[[#This Row],[Työvoima-koulutus 7a]]</f>
        <v>0</v>
      </c>
      <c r="BE158" s="207">
        <f>Opv.kohd.[[#This Row],[Yhteensä 7c]]-Opv.kohd.[[#This Row],[Yhteensä 7a]]</f>
        <v>0</v>
      </c>
      <c r="BF158" s="207">
        <f>Opv.kohd.[[#This Row],[Yhteensä 7c]]-Opv.kohd.[[#This Row],[Työvoima-koulutus 7c]]</f>
        <v>0</v>
      </c>
      <c r="BG158" s="207">
        <f>IFERROR(VLOOKUP(Opv.kohd.[[#This Row],[Y-tunnus]],#REF!,COLUMN(#REF!),FALSE),0)</f>
        <v>0</v>
      </c>
      <c r="BH158" s="207">
        <f>IFERROR(VLOOKUP(Opv.kohd.[[#This Row],[Y-tunnus]],#REF!,COLUMN(#REF!),FALSE),0)</f>
        <v>0</v>
      </c>
      <c r="BI158" s="207">
        <f>IFERROR(VLOOKUP(Opv.kohd.[[#This Row],[Y-tunnus]],#REF!,COLUMN(#REF!),FALSE),0)</f>
        <v>0</v>
      </c>
      <c r="BJ158" s="207">
        <f>IFERROR(VLOOKUP(Opv.kohd.[[#This Row],[Y-tunnus]],#REF!,COLUMN(#REF!),FALSE),0)</f>
        <v>0</v>
      </c>
      <c r="BK158" s="207">
        <f>Opv.kohd.[[#This Row],[Muu kuin työvoima-koulutus 7d]]+Opv.kohd.[[#This Row],[Työvoima-koulutus 7d]]</f>
        <v>0</v>
      </c>
      <c r="BL158" s="207">
        <f>Opv.kohd.[[#This Row],[Muu kuin työvoima-koulutus 7c]]-Opv.kohd.[[#This Row],[Muu kuin työvoima-koulutus 7d]]</f>
        <v>0</v>
      </c>
      <c r="BM158" s="207">
        <f>Opv.kohd.[[#This Row],[Työvoima-koulutus 7c]]-Opv.kohd.[[#This Row],[Työvoima-koulutus 7d]]</f>
        <v>0</v>
      </c>
      <c r="BN158" s="207">
        <f>Opv.kohd.[[#This Row],[Yhteensä 7c]]-Opv.kohd.[[#This Row],[Yhteensä 7d]]</f>
        <v>0</v>
      </c>
      <c r="BO158" s="207">
        <f>Opv.kohd.[[#This Row],[Muu kuin työvoima-koulutus 7e]]-(Opv.kohd.[[#This Row],[Järjestämisluvan mukaiset 4]]+Opv.kohd.[[#This Row],[Kohdentamat-tomat 4]]+Opv.kohd.[[#This Row],[Maahan-muuttajien koulutus 4]]+Opv.kohd.[[#This Row],[Nuorisotyöt. väh. ja osaamistarp. vast., muu kuin työvoima-koulutus 4]])</f>
        <v>0</v>
      </c>
      <c r="BP158" s="207">
        <f>Opv.kohd.[[#This Row],[Työvoima-koulutus 7e]]-(Opv.kohd.[[#This Row],[Työvoima-koulutus 4]]+Opv.kohd.[[#This Row],[Nuorisotyöt. väh. ja osaamistarp. vast., työvoima-koulutus 4]])</f>
        <v>0</v>
      </c>
      <c r="BQ158" s="207">
        <f>Opv.kohd.[[#This Row],[Yhteensä 7e]]-Opv.kohd.[[#This Row],[Ensikertaisella suoritepäätöksellä jaetut tavoitteelliset opiskelijavuodet yhteensä 4]]</f>
        <v>0</v>
      </c>
      <c r="BR158" s="263">
        <v>0</v>
      </c>
      <c r="BS158" s="263">
        <v>0</v>
      </c>
      <c r="BT158" s="263">
        <v>15</v>
      </c>
      <c r="BU158" s="263">
        <v>0</v>
      </c>
      <c r="BV158" s="263">
        <v>0</v>
      </c>
      <c r="BW158" s="263">
        <v>0</v>
      </c>
      <c r="BX158" s="263">
        <v>15</v>
      </c>
      <c r="BY158" s="263">
        <v>15</v>
      </c>
      <c r="BZ158" s="207">
        <f t="shared" si="32"/>
        <v>0</v>
      </c>
      <c r="CA158" s="207">
        <f t="shared" si="33"/>
        <v>0</v>
      </c>
      <c r="CB158" s="207">
        <f t="shared" si="34"/>
        <v>15</v>
      </c>
      <c r="CC158" s="207">
        <f t="shared" si="35"/>
        <v>0</v>
      </c>
      <c r="CD158" s="207">
        <f t="shared" si="36"/>
        <v>0</v>
      </c>
      <c r="CE158" s="207">
        <f t="shared" si="37"/>
        <v>0</v>
      </c>
      <c r="CF158" s="207">
        <f t="shared" si="38"/>
        <v>15</v>
      </c>
      <c r="CG158" s="207">
        <f t="shared" si="39"/>
        <v>15</v>
      </c>
      <c r="CH158" s="207">
        <f>Opv.kohd.[[#This Row],[Tavoitteelliset opiskelijavuodet yhteensä 9]]-Opv.kohd.[[#This Row],[Työvoima-koulutus 9]]-Opv.kohd.[[#This Row],[Nuorisotyöt. väh. ja osaamistarp. vast., työvoima-koulutus 9]]-Opv.kohd.[[#This Row],[Muu kuin työvoima-koulutus 7e]]</f>
        <v>0</v>
      </c>
      <c r="CI158" s="207">
        <f>(Opv.kohd.[[#This Row],[Työvoima-koulutus 9]]+Opv.kohd.[[#This Row],[Nuorisotyöt. väh. ja osaamistarp. vast., työvoima-koulutus 9]])-Opv.kohd.[[#This Row],[Työvoima-koulutus 7e]]</f>
        <v>15</v>
      </c>
      <c r="CJ158" s="207">
        <f>Opv.kohd.[[#This Row],[Tavoitteelliset opiskelijavuodet yhteensä 9]]-Opv.kohd.[[#This Row],[Yhteensä 7e]]</f>
        <v>15</v>
      </c>
      <c r="CK158" s="207">
        <f>Opv.kohd.[[#This Row],[Järjestämisluvan mukaiset 4]]+Opv.kohd.[[#This Row],[Järjestämisluvan mukaiset 13]]</f>
        <v>0</v>
      </c>
      <c r="CL158" s="207">
        <f>Opv.kohd.[[#This Row],[Kohdentamat-tomat 4]]+Opv.kohd.[[#This Row],[Kohdentamat-tomat 13]]</f>
        <v>0</v>
      </c>
      <c r="CM158" s="207">
        <f>Opv.kohd.[[#This Row],[Työvoima-koulutus 4]]+Opv.kohd.[[#This Row],[Työvoima-koulutus 13]]</f>
        <v>0</v>
      </c>
      <c r="CN158" s="207">
        <f>Opv.kohd.[[#This Row],[Maahan-muuttajien koulutus 4]]+Opv.kohd.[[#This Row],[Maahan-muuttajien koulutus 13]]</f>
        <v>0</v>
      </c>
      <c r="CO158" s="207">
        <f>Opv.kohd.[[#This Row],[Nuorisotyöt. väh. ja osaamistarp. vast., muu kuin työvoima-koulutus 4]]+Opv.kohd.[[#This Row],[Nuorisotyöt. väh. ja osaamistarp. vast., muu kuin työvoima-koulutus 13]]</f>
        <v>0</v>
      </c>
      <c r="CP158" s="207">
        <f>Opv.kohd.[[#This Row],[Nuorisotyöt. väh. ja osaamistarp. vast., työvoima-koulutus 4]]+Opv.kohd.[[#This Row],[Nuorisotyöt. väh. ja osaamistarp. vast., työvoima-koulutus 13]]</f>
        <v>0</v>
      </c>
      <c r="CQ158" s="207">
        <f>Opv.kohd.[[#This Row],[Yhteensä 4]]+Opv.kohd.[[#This Row],[Yhteensä 13]]</f>
        <v>0</v>
      </c>
      <c r="CR158" s="207">
        <f>Opv.kohd.[[#This Row],[Ensikertaisella suoritepäätöksellä jaetut tavoitteelliset opiskelijavuodet yhteensä 4]]+Opv.kohd.[[#This Row],[Tavoitteelliset opiskelijavuodet yhteensä 13]]</f>
        <v>0</v>
      </c>
      <c r="CS158" s="120">
        <v>0</v>
      </c>
      <c r="CT158" s="120">
        <v>0</v>
      </c>
      <c r="CU158" s="120">
        <v>0</v>
      </c>
      <c r="CV158" s="120">
        <v>0</v>
      </c>
      <c r="CW158" s="120">
        <v>0</v>
      </c>
      <c r="CX158" s="120">
        <v>0</v>
      </c>
      <c r="CY158" s="120">
        <v>0</v>
      </c>
      <c r="CZ158" s="120">
        <v>0</v>
      </c>
      <c r="DA158" s="209">
        <f>IFERROR(Opv.kohd.[[#This Row],[Järjestämisluvan mukaiset 13]]/Opv.kohd.[[#This Row],[Järjestämisluvan mukaiset 12]],0)</f>
        <v>0</v>
      </c>
      <c r="DB158" s="209">
        <f>IFERROR(Opv.kohd.[[#This Row],[Kohdentamat-tomat 13]]/Opv.kohd.[[#This Row],[Kohdentamat-tomat 12]],0)</f>
        <v>0</v>
      </c>
      <c r="DC158" s="209">
        <f>IFERROR(Opv.kohd.[[#This Row],[Työvoima-koulutus 13]]/Opv.kohd.[[#This Row],[Työvoima-koulutus 12]],0)</f>
        <v>0</v>
      </c>
      <c r="DD158" s="209">
        <f>IFERROR(Opv.kohd.[[#This Row],[Maahan-muuttajien koulutus 13]]/Opv.kohd.[[#This Row],[Maahan-muuttajien koulutus 12]],0)</f>
        <v>0</v>
      </c>
      <c r="DE158" s="209">
        <f>IFERROR(Opv.kohd.[[#This Row],[Nuorisotyöt. väh. ja osaamistarp. vast., muu kuin työvoima-koulutus 13]]/Opv.kohd.[[#This Row],[Nuorisotyöt. väh. ja osaamistarp. vast., muu kuin työvoima-koulutus 12]],0)</f>
        <v>0</v>
      </c>
      <c r="DF158" s="209">
        <f>IFERROR(Opv.kohd.[[#This Row],[Nuorisotyöt. väh. ja osaamistarp. vast., työvoima-koulutus 13]]/Opv.kohd.[[#This Row],[Nuorisotyöt. väh. ja osaamistarp. vast., työvoima-koulutus 12]],0)</f>
        <v>0</v>
      </c>
      <c r="DG158" s="209">
        <f>IFERROR(Opv.kohd.[[#This Row],[Yhteensä 13]]/Opv.kohd.[[#This Row],[Yhteensä 12]],0)</f>
        <v>0</v>
      </c>
      <c r="DH158" s="209">
        <f>IFERROR(Opv.kohd.[[#This Row],[Tavoitteelliset opiskelijavuodet yhteensä 13]]/Opv.kohd.[[#This Row],[Tavoitteelliset opiskelijavuodet yhteensä 12]],0)</f>
        <v>0</v>
      </c>
      <c r="DI158" s="207">
        <f>Opv.kohd.[[#This Row],[Järjestämisluvan mukaiset 12]]-Opv.kohd.[[#This Row],[Järjestämisluvan mukaiset 9]]</f>
        <v>0</v>
      </c>
      <c r="DJ158" s="207">
        <f>Opv.kohd.[[#This Row],[Kohdentamat-tomat 12]]-Opv.kohd.[[#This Row],[Kohdentamat-tomat 9]]</f>
        <v>0</v>
      </c>
      <c r="DK158" s="207">
        <f>Opv.kohd.[[#This Row],[Työvoima-koulutus 12]]-Opv.kohd.[[#This Row],[Työvoima-koulutus 9]]</f>
        <v>-15</v>
      </c>
      <c r="DL158" s="207">
        <f>Opv.kohd.[[#This Row],[Maahan-muuttajien koulutus 12]]-Opv.kohd.[[#This Row],[Maahan-muuttajien koulutus 9]]</f>
        <v>0</v>
      </c>
      <c r="DM158" s="207">
        <f>Opv.kohd.[[#This Row],[Nuorisotyöt. väh. ja osaamistarp. vast., muu kuin työvoima-koulutus 12]]-Opv.kohd.[[#This Row],[Nuorisotyöt. väh. ja osaamistarp. vast., muu kuin työvoima-koulutus 9]]</f>
        <v>0</v>
      </c>
      <c r="DN158" s="207">
        <f>Opv.kohd.[[#This Row],[Nuorisotyöt. väh. ja osaamistarp. vast., työvoima-koulutus 12]]-Opv.kohd.[[#This Row],[Nuorisotyöt. väh. ja osaamistarp. vast., työvoima-koulutus 9]]</f>
        <v>0</v>
      </c>
      <c r="DO158" s="207">
        <f>Opv.kohd.[[#This Row],[Yhteensä 12]]-Opv.kohd.[[#This Row],[Yhteensä 9]]</f>
        <v>-15</v>
      </c>
      <c r="DP158" s="207">
        <f>Opv.kohd.[[#This Row],[Tavoitteelliset opiskelijavuodet yhteensä 12]]-Opv.kohd.[[#This Row],[Tavoitteelliset opiskelijavuodet yhteensä 9]]</f>
        <v>-15</v>
      </c>
      <c r="DQ158" s="209">
        <f>IFERROR(Opv.kohd.[[#This Row],[Järjestämisluvan mukaiset 15]]/Opv.kohd.[[#This Row],[Järjestämisluvan mukaiset 9]],0)</f>
        <v>0</v>
      </c>
      <c r="DR158" s="209">
        <f t="shared" si="40"/>
        <v>0</v>
      </c>
      <c r="DS158" s="209">
        <f t="shared" si="41"/>
        <v>0</v>
      </c>
      <c r="DT158" s="209">
        <f t="shared" si="42"/>
        <v>0</v>
      </c>
      <c r="DU158" s="209">
        <f t="shared" si="43"/>
        <v>0</v>
      </c>
      <c r="DV158" s="209">
        <f t="shared" si="44"/>
        <v>0</v>
      </c>
      <c r="DW158" s="209">
        <f t="shared" si="45"/>
        <v>0</v>
      </c>
      <c r="DX158" s="209">
        <f t="shared" si="46"/>
        <v>0</v>
      </c>
    </row>
    <row r="159" spans="1:128" x14ac:dyDescent="0.25">
      <c r="A159" s="204" t="e">
        <f>IF(INDEX(#REF!,ROW(159:159)-1,1)=0,"",INDEX(#REF!,ROW(159:159)-1,1))</f>
        <v>#REF!</v>
      </c>
      <c r="B159" s="205" t="str">
        <f>IFERROR(VLOOKUP(Opv.kohd.[[#This Row],[Y-tunnus]],'0 Järjestäjätiedot'!$A:$H,2,FALSE),"")</f>
        <v/>
      </c>
      <c r="C159" s="204" t="str">
        <f>IFERROR(VLOOKUP(Opv.kohd.[[#This Row],[Y-tunnus]],'0 Järjestäjätiedot'!$A:$H,COLUMN('0 Järjestäjätiedot'!D:D),FALSE),"")</f>
        <v/>
      </c>
      <c r="D159" s="204" t="str">
        <f>IFERROR(VLOOKUP(Opv.kohd.[[#This Row],[Y-tunnus]],'0 Järjestäjätiedot'!$A:$H,COLUMN('0 Järjestäjätiedot'!H:H),FALSE),"")</f>
        <v/>
      </c>
      <c r="E159" s="204">
        <f>IFERROR(VLOOKUP(Opv.kohd.[[#This Row],[Y-tunnus]],#REF!,COLUMN(#REF!),FALSE),0)</f>
        <v>0</v>
      </c>
      <c r="F159" s="204">
        <f>IFERROR(VLOOKUP(Opv.kohd.[[#This Row],[Y-tunnus]],#REF!,COLUMN(#REF!),FALSE),0)</f>
        <v>0</v>
      </c>
      <c r="G159" s="204">
        <f>IFERROR(VLOOKUP(Opv.kohd.[[#This Row],[Y-tunnus]],#REF!,COLUMN(#REF!),FALSE),0)</f>
        <v>0</v>
      </c>
      <c r="H159" s="204">
        <f>IFERROR(VLOOKUP(Opv.kohd.[[#This Row],[Y-tunnus]],#REF!,COLUMN(#REF!),FALSE),0)</f>
        <v>0</v>
      </c>
      <c r="I159" s="204">
        <f>IFERROR(VLOOKUP(Opv.kohd.[[#This Row],[Y-tunnus]],#REF!,COLUMN(#REF!),FALSE),0)</f>
        <v>0</v>
      </c>
      <c r="J159" s="204">
        <f>IFERROR(VLOOKUP(Opv.kohd.[[#This Row],[Y-tunnus]],#REF!,COLUMN(#REF!),FALSE),0)</f>
        <v>0</v>
      </c>
      <c r="K15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59" s="204">
        <f>Opv.kohd.[[#This Row],[Järjestämisluvan mukaiset 1]]+Opv.kohd.[[#This Row],[Yhteensä  1]]</f>
        <v>0</v>
      </c>
      <c r="M159" s="204">
        <f>IFERROR(VLOOKUP(Opv.kohd.[[#This Row],[Y-tunnus]],#REF!,COLUMN(#REF!),FALSE),0)</f>
        <v>0</v>
      </c>
      <c r="N159" s="204">
        <f>IFERROR(VLOOKUP(Opv.kohd.[[#This Row],[Y-tunnus]],#REF!,COLUMN(#REF!),FALSE),0)</f>
        <v>0</v>
      </c>
      <c r="O159" s="204">
        <f>IFERROR(VLOOKUP(Opv.kohd.[[#This Row],[Y-tunnus]],#REF!,COLUMN(#REF!),FALSE)+VLOOKUP(Opv.kohd.[[#This Row],[Y-tunnus]],#REF!,COLUMN(#REF!),FALSE),0)</f>
        <v>0</v>
      </c>
      <c r="P159" s="204">
        <f>Opv.kohd.[[#This Row],[Talousarvion perusteella kohdentamattomat]]+Opv.kohd.[[#This Row],[Talousarvion perusteella työvoimakoulutus 1]]+Opv.kohd.[[#This Row],[Lisätalousarvioiden perusteella]]</f>
        <v>0</v>
      </c>
      <c r="Q159" s="204">
        <f>IFERROR(VLOOKUP(Opv.kohd.[[#This Row],[Y-tunnus]],#REF!,COLUMN(#REF!),FALSE),0)</f>
        <v>0</v>
      </c>
      <c r="R159" s="210">
        <f>IFERROR(VLOOKUP(Opv.kohd.[[#This Row],[Y-tunnus]],#REF!,COLUMN(#REF!),FALSE)-(Opv.kohd.[[#This Row],[Kohdentamaton työvoima-koulutus 2]]+Opv.kohd.[[#This Row],[Maahan-muuttajien koulutus 2]]+Opv.kohd.[[#This Row],[Lisätalousarvioiden perusteella jaetut 2]]),0)</f>
        <v>0</v>
      </c>
      <c r="S159" s="210">
        <f>IFERROR(VLOOKUP(Opv.kohd.[[#This Row],[Y-tunnus]],#REF!,COLUMN(#REF!),FALSE)+VLOOKUP(Opv.kohd.[[#This Row],[Y-tunnus]],#REF!,COLUMN(#REF!),FALSE),0)</f>
        <v>0</v>
      </c>
      <c r="T159" s="210">
        <f>IFERROR(VLOOKUP(Opv.kohd.[[#This Row],[Y-tunnus]],#REF!,COLUMN(#REF!),FALSE)+VLOOKUP(Opv.kohd.[[#This Row],[Y-tunnus]],#REF!,COLUMN(#REF!),FALSE),0)</f>
        <v>0</v>
      </c>
      <c r="U15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59" s="210">
        <f>Opv.kohd.[[#This Row],[Kohdentamat-tomat 2]]+Opv.kohd.[[#This Row],[Kohdentamaton työvoima-koulutus 2]]+Opv.kohd.[[#This Row],[Maahan-muuttajien koulutus 2]]+Opv.kohd.[[#This Row],[Lisätalousarvioiden perusteella jaetut 2]]</f>
        <v>0</v>
      </c>
      <c r="W159" s="210">
        <f>Opv.kohd.[[#This Row],[Kohdentamat-tomat 2]]-(Opv.kohd.[[#This Row],[Järjestämisluvan mukaiset 1]]+Opv.kohd.[[#This Row],[Kohdentamat-tomat 1]]+Opv.kohd.[[#This Row],[Nuorisotyöt. väh. ja osaamistarp. vast., muu kuin työvoima-koulutus 1]]+Opv.kohd.[[#This Row],[Talousarvion perusteella kohdentamattomat]])</f>
        <v>0</v>
      </c>
      <c r="X159" s="210">
        <f>Opv.kohd.[[#This Row],[Kohdentamaton työvoima-koulutus 2]]-(Opv.kohd.[[#This Row],[Työvoima-koulutus 1]]+Opv.kohd.[[#This Row],[Nuorisotyöt. väh. ja osaamistarp. vast., työvoima-koulutus 1]]+Opv.kohd.[[#This Row],[Talousarvion perusteella työvoimakoulutus 1]])</f>
        <v>0</v>
      </c>
      <c r="Y159" s="210">
        <f>Opv.kohd.[[#This Row],[Maahan-muuttajien koulutus 2]]-Opv.kohd.[[#This Row],[Maahan-muuttajien koulutus 1]]</f>
        <v>0</v>
      </c>
      <c r="Z159" s="210">
        <f>Opv.kohd.[[#This Row],[Lisätalousarvioiden perusteella jaetut 2]]-Opv.kohd.[[#This Row],[Lisätalousarvioiden perusteella]]</f>
        <v>0</v>
      </c>
      <c r="AA159" s="210">
        <f>Opv.kohd.[[#This Row],[Toteutuneet opiskelijavuodet yhteensä 2]]-Opv.kohd.[[#This Row],[Vuoden 2018 tavoitteelliset opiskelijavuodet yhteensä 1]]</f>
        <v>0</v>
      </c>
      <c r="AB159" s="207">
        <f>IFERROR(VLOOKUP(Opv.kohd.[[#This Row],[Y-tunnus]],#REF!,3,FALSE),0)</f>
        <v>0</v>
      </c>
      <c r="AC159" s="207">
        <f>IFERROR(VLOOKUP(Opv.kohd.[[#This Row],[Y-tunnus]],#REF!,4,FALSE),0)</f>
        <v>0</v>
      </c>
      <c r="AD159" s="207">
        <f>IFERROR(VLOOKUP(Opv.kohd.[[#This Row],[Y-tunnus]],#REF!,5,FALSE),0)</f>
        <v>0</v>
      </c>
      <c r="AE159" s="207">
        <f>IFERROR(VLOOKUP(Opv.kohd.[[#This Row],[Y-tunnus]],#REF!,6,FALSE),0)</f>
        <v>0</v>
      </c>
      <c r="AF159" s="207">
        <f>IFERROR(VLOOKUP(Opv.kohd.[[#This Row],[Y-tunnus]],#REF!,7,FALSE),0)</f>
        <v>0</v>
      </c>
      <c r="AG159" s="207">
        <f>IFERROR(VLOOKUP(Opv.kohd.[[#This Row],[Y-tunnus]],#REF!,8,FALSE),0)</f>
        <v>0</v>
      </c>
      <c r="AH159" s="207">
        <f>IFERROR(VLOOKUP(Opv.kohd.[[#This Row],[Y-tunnus]],#REF!,9,FALSE),0)</f>
        <v>0</v>
      </c>
      <c r="AI159" s="207">
        <f>IFERROR(VLOOKUP(Opv.kohd.[[#This Row],[Y-tunnus]],#REF!,10,FALSE),0)</f>
        <v>0</v>
      </c>
      <c r="AJ159" s="204">
        <f>Opv.kohd.[[#This Row],[Järjestämisluvan mukaiset 4]]-Opv.kohd.[[#This Row],[Järjestämisluvan mukaiset 1]]</f>
        <v>0</v>
      </c>
      <c r="AK159" s="204">
        <f>Opv.kohd.[[#This Row],[Kohdentamat-tomat 4]]-Opv.kohd.[[#This Row],[Kohdentamat-tomat 1]]</f>
        <v>0</v>
      </c>
      <c r="AL159" s="204">
        <f>Opv.kohd.[[#This Row],[Työvoima-koulutus 4]]-Opv.kohd.[[#This Row],[Työvoima-koulutus 1]]</f>
        <v>0</v>
      </c>
      <c r="AM159" s="204">
        <f>Opv.kohd.[[#This Row],[Maahan-muuttajien koulutus 4]]-Opv.kohd.[[#This Row],[Maahan-muuttajien koulutus 1]]</f>
        <v>0</v>
      </c>
      <c r="AN159" s="204">
        <f>Opv.kohd.[[#This Row],[Nuorisotyöt. väh. ja osaamistarp. vast., muu kuin työvoima-koulutus 4]]-Opv.kohd.[[#This Row],[Nuorisotyöt. väh. ja osaamistarp. vast., muu kuin työvoima-koulutus 1]]</f>
        <v>0</v>
      </c>
      <c r="AO159" s="204">
        <f>Opv.kohd.[[#This Row],[Nuorisotyöt. väh. ja osaamistarp. vast., työvoima-koulutus 4]]-Opv.kohd.[[#This Row],[Nuorisotyöt. väh. ja osaamistarp. vast., työvoima-koulutus 1]]</f>
        <v>0</v>
      </c>
      <c r="AP159" s="204">
        <f>Opv.kohd.[[#This Row],[Yhteensä 4]]-Opv.kohd.[[#This Row],[Yhteensä  1]]</f>
        <v>0</v>
      </c>
      <c r="AQ159" s="204">
        <f>Opv.kohd.[[#This Row],[Ensikertaisella suoritepäätöksellä jaetut tavoitteelliset opiskelijavuodet yhteensä 4]]-Opv.kohd.[[#This Row],[Ensikertaisella suoritepäätöksellä jaetut tavoitteelliset opiskelijavuodet yhteensä 1]]</f>
        <v>0</v>
      </c>
      <c r="AR159" s="208">
        <f>IFERROR(Opv.kohd.[[#This Row],[Järjestämisluvan mukaiset 5]]/Opv.kohd.[[#This Row],[Järjestämisluvan mukaiset 4]],0)</f>
        <v>0</v>
      </c>
      <c r="AS159" s="208">
        <f>IFERROR(Opv.kohd.[[#This Row],[Kohdentamat-tomat 5]]/Opv.kohd.[[#This Row],[Kohdentamat-tomat 4]],0)</f>
        <v>0</v>
      </c>
      <c r="AT159" s="208">
        <f>IFERROR(Opv.kohd.[[#This Row],[Työvoima-koulutus 5]]/Opv.kohd.[[#This Row],[Työvoima-koulutus 4]],0)</f>
        <v>0</v>
      </c>
      <c r="AU159" s="208">
        <f>IFERROR(Opv.kohd.[[#This Row],[Maahan-muuttajien koulutus 5]]/Opv.kohd.[[#This Row],[Maahan-muuttajien koulutus 4]],0)</f>
        <v>0</v>
      </c>
      <c r="AV159" s="208">
        <f>IFERROR(Opv.kohd.[[#This Row],[Nuorisotyöt. väh. ja osaamistarp. vast., muu kuin työvoima-koulutus 5]]/Opv.kohd.[[#This Row],[Nuorisotyöt. väh. ja osaamistarp. vast., muu kuin työvoima-koulutus 4]],0)</f>
        <v>0</v>
      </c>
      <c r="AW159" s="208">
        <f>IFERROR(Opv.kohd.[[#This Row],[Nuorisotyöt. väh. ja osaamistarp. vast., työvoima-koulutus 5]]/Opv.kohd.[[#This Row],[Nuorisotyöt. väh. ja osaamistarp. vast., työvoima-koulutus 4]],0)</f>
        <v>0</v>
      </c>
      <c r="AX159" s="208">
        <f>IFERROR(Opv.kohd.[[#This Row],[Yhteensä 5]]/Opv.kohd.[[#This Row],[Yhteensä 4]],0)</f>
        <v>0</v>
      </c>
      <c r="AY159" s="208">
        <f>IFERROR(Opv.kohd.[[#This Row],[Ensikertaisella suoritepäätöksellä jaetut tavoitteelliset opiskelijavuodet yhteensä 5]]/Opv.kohd.[[#This Row],[Ensikertaisella suoritepäätöksellä jaetut tavoitteelliset opiskelijavuodet yhteensä 4]],0)</f>
        <v>0</v>
      </c>
      <c r="AZ159" s="207">
        <f>Opv.kohd.[[#This Row],[Yhteensä 7a]]-Opv.kohd.[[#This Row],[Työvoima-koulutus 7a]]</f>
        <v>0</v>
      </c>
      <c r="BA159" s="207">
        <f>IFERROR(VLOOKUP(Opv.kohd.[[#This Row],[Y-tunnus]],#REF!,COLUMN(#REF!),FALSE),0)</f>
        <v>0</v>
      </c>
      <c r="BB159" s="207">
        <f>IFERROR(VLOOKUP(Opv.kohd.[[#This Row],[Y-tunnus]],#REF!,COLUMN(#REF!),FALSE),0)</f>
        <v>0</v>
      </c>
      <c r="BC159" s="207">
        <f>Opv.kohd.[[#This Row],[Muu kuin työvoima-koulutus 7c]]-Opv.kohd.[[#This Row],[Muu kuin työvoima-koulutus 7a]]</f>
        <v>0</v>
      </c>
      <c r="BD159" s="207">
        <f>Opv.kohd.[[#This Row],[Työvoima-koulutus 7c]]-Opv.kohd.[[#This Row],[Työvoima-koulutus 7a]]</f>
        <v>0</v>
      </c>
      <c r="BE159" s="207">
        <f>Opv.kohd.[[#This Row],[Yhteensä 7c]]-Opv.kohd.[[#This Row],[Yhteensä 7a]]</f>
        <v>0</v>
      </c>
      <c r="BF159" s="207">
        <f>Opv.kohd.[[#This Row],[Yhteensä 7c]]-Opv.kohd.[[#This Row],[Työvoima-koulutus 7c]]</f>
        <v>0</v>
      </c>
      <c r="BG159" s="207">
        <f>IFERROR(VLOOKUP(Opv.kohd.[[#This Row],[Y-tunnus]],#REF!,COLUMN(#REF!),FALSE),0)</f>
        <v>0</v>
      </c>
      <c r="BH159" s="207">
        <f>IFERROR(VLOOKUP(Opv.kohd.[[#This Row],[Y-tunnus]],#REF!,COLUMN(#REF!),FALSE),0)</f>
        <v>0</v>
      </c>
      <c r="BI159" s="207">
        <f>IFERROR(VLOOKUP(Opv.kohd.[[#This Row],[Y-tunnus]],#REF!,COLUMN(#REF!),FALSE),0)</f>
        <v>0</v>
      </c>
      <c r="BJ159" s="207">
        <f>IFERROR(VLOOKUP(Opv.kohd.[[#This Row],[Y-tunnus]],#REF!,COLUMN(#REF!),FALSE),0)</f>
        <v>0</v>
      </c>
      <c r="BK159" s="207">
        <f>Opv.kohd.[[#This Row],[Muu kuin työvoima-koulutus 7d]]+Opv.kohd.[[#This Row],[Työvoima-koulutus 7d]]</f>
        <v>0</v>
      </c>
      <c r="BL159" s="207">
        <f>Opv.kohd.[[#This Row],[Muu kuin työvoima-koulutus 7c]]-Opv.kohd.[[#This Row],[Muu kuin työvoima-koulutus 7d]]</f>
        <v>0</v>
      </c>
      <c r="BM159" s="207">
        <f>Opv.kohd.[[#This Row],[Työvoima-koulutus 7c]]-Opv.kohd.[[#This Row],[Työvoima-koulutus 7d]]</f>
        <v>0</v>
      </c>
      <c r="BN159" s="207">
        <f>Opv.kohd.[[#This Row],[Yhteensä 7c]]-Opv.kohd.[[#This Row],[Yhteensä 7d]]</f>
        <v>0</v>
      </c>
      <c r="BO159" s="207">
        <f>Opv.kohd.[[#This Row],[Muu kuin työvoima-koulutus 7e]]-(Opv.kohd.[[#This Row],[Järjestämisluvan mukaiset 4]]+Opv.kohd.[[#This Row],[Kohdentamat-tomat 4]]+Opv.kohd.[[#This Row],[Maahan-muuttajien koulutus 4]]+Opv.kohd.[[#This Row],[Nuorisotyöt. väh. ja osaamistarp. vast., muu kuin työvoima-koulutus 4]])</f>
        <v>0</v>
      </c>
      <c r="BP159" s="207">
        <f>Opv.kohd.[[#This Row],[Työvoima-koulutus 7e]]-(Opv.kohd.[[#This Row],[Työvoima-koulutus 4]]+Opv.kohd.[[#This Row],[Nuorisotyöt. väh. ja osaamistarp. vast., työvoima-koulutus 4]])</f>
        <v>0</v>
      </c>
      <c r="BQ159" s="207">
        <f>Opv.kohd.[[#This Row],[Yhteensä 7e]]-Opv.kohd.[[#This Row],[Ensikertaisella suoritepäätöksellä jaetut tavoitteelliset opiskelijavuodet yhteensä 4]]</f>
        <v>0</v>
      </c>
      <c r="BR159" s="263">
        <v>158</v>
      </c>
      <c r="BS159" s="263">
        <v>15</v>
      </c>
      <c r="BT159" s="263">
        <v>0</v>
      </c>
      <c r="BU159" s="263">
        <v>0</v>
      </c>
      <c r="BV159" s="263">
        <v>0</v>
      </c>
      <c r="BW159" s="263">
        <v>0</v>
      </c>
      <c r="BX159" s="263">
        <v>15</v>
      </c>
      <c r="BY159" s="263">
        <v>173</v>
      </c>
      <c r="BZ159" s="207">
        <f t="shared" si="32"/>
        <v>158</v>
      </c>
      <c r="CA159" s="207">
        <f t="shared" si="33"/>
        <v>15</v>
      </c>
      <c r="CB159" s="207">
        <f t="shared" si="34"/>
        <v>0</v>
      </c>
      <c r="CC159" s="207">
        <f t="shared" si="35"/>
        <v>0</v>
      </c>
      <c r="CD159" s="207">
        <f t="shared" si="36"/>
        <v>0</v>
      </c>
      <c r="CE159" s="207">
        <f t="shared" si="37"/>
        <v>0</v>
      </c>
      <c r="CF159" s="207">
        <f t="shared" si="38"/>
        <v>15</v>
      </c>
      <c r="CG159" s="207">
        <f t="shared" si="39"/>
        <v>173</v>
      </c>
      <c r="CH159" s="207">
        <f>Opv.kohd.[[#This Row],[Tavoitteelliset opiskelijavuodet yhteensä 9]]-Opv.kohd.[[#This Row],[Työvoima-koulutus 9]]-Opv.kohd.[[#This Row],[Nuorisotyöt. väh. ja osaamistarp. vast., työvoima-koulutus 9]]-Opv.kohd.[[#This Row],[Muu kuin työvoima-koulutus 7e]]</f>
        <v>173</v>
      </c>
      <c r="CI159" s="207">
        <f>(Opv.kohd.[[#This Row],[Työvoima-koulutus 9]]+Opv.kohd.[[#This Row],[Nuorisotyöt. väh. ja osaamistarp. vast., työvoima-koulutus 9]])-Opv.kohd.[[#This Row],[Työvoima-koulutus 7e]]</f>
        <v>0</v>
      </c>
      <c r="CJ159" s="207">
        <f>Opv.kohd.[[#This Row],[Tavoitteelliset opiskelijavuodet yhteensä 9]]-Opv.kohd.[[#This Row],[Yhteensä 7e]]</f>
        <v>173</v>
      </c>
      <c r="CK159" s="207">
        <f>Opv.kohd.[[#This Row],[Järjestämisluvan mukaiset 4]]+Opv.kohd.[[#This Row],[Järjestämisluvan mukaiset 13]]</f>
        <v>0</v>
      </c>
      <c r="CL159" s="207">
        <f>Opv.kohd.[[#This Row],[Kohdentamat-tomat 4]]+Opv.kohd.[[#This Row],[Kohdentamat-tomat 13]]</f>
        <v>0</v>
      </c>
      <c r="CM159" s="207">
        <f>Opv.kohd.[[#This Row],[Työvoima-koulutus 4]]+Opv.kohd.[[#This Row],[Työvoima-koulutus 13]]</f>
        <v>0</v>
      </c>
      <c r="CN159" s="207">
        <f>Opv.kohd.[[#This Row],[Maahan-muuttajien koulutus 4]]+Opv.kohd.[[#This Row],[Maahan-muuttajien koulutus 13]]</f>
        <v>0</v>
      </c>
      <c r="CO159" s="207">
        <f>Opv.kohd.[[#This Row],[Nuorisotyöt. väh. ja osaamistarp. vast., muu kuin työvoima-koulutus 4]]+Opv.kohd.[[#This Row],[Nuorisotyöt. väh. ja osaamistarp. vast., muu kuin työvoima-koulutus 13]]</f>
        <v>0</v>
      </c>
      <c r="CP159" s="207">
        <f>Opv.kohd.[[#This Row],[Nuorisotyöt. väh. ja osaamistarp. vast., työvoima-koulutus 4]]+Opv.kohd.[[#This Row],[Nuorisotyöt. väh. ja osaamistarp. vast., työvoima-koulutus 13]]</f>
        <v>0</v>
      </c>
      <c r="CQ159" s="207">
        <f>Opv.kohd.[[#This Row],[Yhteensä 4]]+Opv.kohd.[[#This Row],[Yhteensä 13]]</f>
        <v>0</v>
      </c>
      <c r="CR159" s="207">
        <f>Opv.kohd.[[#This Row],[Ensikertaisella suoritepäätöksellä jaetut tavoitteelliset opiskelijavuodet yhteensä 4]]+Opv.kohd.[[#This Row],[Tavoitteelliset opiskelijavuodet yhteensä 13]]</f>
        <v>0</v>
      </c>
      <c r="CS159" s="120">
        <v>0</v>
      </c>
      <c r="CT159" s="120">
        <v>0</v>
      </c>
      <c r="CU159" s="120">
        <v>0</v>
      </c>
      <c r="CV159" s="120">
        <v>0</v>
      </c>
      <c r="CW159" s="120">
        <v>0</v>
      </c>
      <c r="CX159" s="120">
        <v>0</v>
      </c>
      <c r="CY159" s="120">
        <v>0</v>
      </c>
      <c r="CZ159" s="120">
        <v>0</v>
      </c>
      <c r="DA159" s="209">
        <f>IFERROR(Opv.kohd.[[#This Row],[Järjestämisluvan mukaiset 13]]/Opv.kohd.[[#This Row],[Järjestämisluvan mukaiset 12]],0)</f>
        <v>0</v>
      </c>
      <c r="DB159" s="209">
        <f>IFERROR(Opv.kohd.[[#This Row],[Kohdentamat-tomat 13]]/Opv.kohd.[[#This Row],[Kohdentamat-tomat 12]],0)</f>
        <v>0</v>
      </c>
      <c r="DC159" s="209">
        <f>IFERROR(Opv.kohd.[[#This Row],[Työvoima-koulutus 13]]/Opv.kohd.[[#This Row],[Työvoima-koulutus 12]],0)</f>
        <v>0</v>
      </c>
      <c r="DD159" s="209">
        <f>IFERROR(Opv.kohd.[[#This Row],[Maahan-muuttajien koulutus 13]]/Opv.kohd.[[#This Row],[Maahan-muuttajien koulutus 12]],0)</f>
        <v>0</v>
      </c>
      <c r="DE159" s="209">
        <f>IFERROR(Opv.kohd.[[#This Row],[Nuorisotyöt. väh. ja osaamistarp. vast., muu kuin työvoima-koulutus 13]]/Opv.kohd.[[#This Row],[Nuorisotyöt. väh. ja osaamistarp. vast., muu kuin työvoima-koulutus 12]],0)</f>
        <v>0</v>
      </c>
      <c r="DF159" s="209">
        <f>IFERROR(Opv.kohd.[[#This Row],[Nuorisotyöt. väh. ja osaamistarp. vast., työvoima-koulutus 13]]/Opv.kohd.[[#This Row],[Nuorisotyöt. väh. ja osaamistarp. vast., työvoima-koulutus 12]],0)</f>
        <v>0</v>
      </c>
      <c r="DG159" s="209">
        <f>IFERROR(Opv.kohd.[[#This Row],[Yhteensä 13]]/Opv.kohd.[[#This Row],[Yhteensä 12]],0)</f>
        <v>0</v>
      </c>
      <c r="DH159" s="209">
        <f>IFERROR(Opv.kohd.[[#This Row],[Tavoitteelliset opiskelijavuodet yhteensä 13]]/Opv.kohd.[[#This Row],[Tavoitteelliset opiskelijavuodet yhteensä 12]],0)</f>
        <v>0</v>
      </c>
      <c r="DI159" s="207">
        <f>Opv.kohd.[[#This Row],[Järjestämisluvan mukaiset 12]]-Opv.kohd.[[#This Row],[Järjestämisluvan mukaiset 9]]</f>
        <v>-158</v>
      </c>
      <c r="DJ159" s="207">
        <f>Opv.kohd.[[#This Row],[Kohdentamat-tomat 12]]-Opv.kohd.[[#This Row],[Kohdentamat-tomat 9]]</f>
        <v>-15</v>
      </c>
      <c r="DK159" s="207">
        <f>Opv.kohd.[[#This Row],[Työvoima-koulutus 12]]-Opv.kohd.[[#This Row],[Työvoima-koulutus 9]]</f>
        <v>0</v>
      </c>
      <c r="DL159" s="207">
        <f>Opv.kohd.[[#This Row],[Maahan-muuttajien koulutus 12]]-Opv.kohd.[[#This Row],[Maahan-muuttajien koulutus 9]]</f>
        <v>0</v>
      </c>
      <c r="DM159" s="207">
        <f>Opv.kohd.[[#This Row],[Nuorisotyöt. väh. ja osaamistarp. vast., muu kuin työvoima-koulutus 12]]-Opv.kohd.[[#This Row],[Nuorisotyöt. väh. ja osaamistarp. vast., muu kuin työvoima-koulutus 9]]</f>
        <v>0</v>
      </c>
      <c r="DN159" s="207">
        <f>Opv.kohd.[[#This Row],[Nuorisotyöt. väh. ja osaamistarp. vast., työvoima-koulutus 12]]-Opv.kohd.[[#This Row],[Nuorisotyöt. väh. ja osaamistarp. vast., työvoima-koulutus 9]]</f>
        <v>0</v>
      </c>
      <c r="DO159" s="207">
        <f>Opv.kohd.[[#This Row],[Yhteensä 12]]-Opv.kohd.[[#This Row],[Yhteensä 9]]</f>
        <v>-15</v>
      </c>
      <c r="DP159" s="207">
        <f>Opv.kohd.[[#This Row],[Tavoitteelliset opiskelijavuodet yhteensä 12]]-Opv.kohd.[[#This Row],[Tavoitteelliset opiskelijavuodet yhteensä 9]]</f>
        <v>-173</v>
      </c>
      <c r="DQ159" s="209">
        <f>IFERROR(Opv.kohd.[[#This Row],[Järjestämisluvan mukaiset 15]]/Opv.kohd.[[#This Row],[Järjestämisluvan mukaiset 9]],0)</f>
        <v>-1</v>
      </c>
      <c r="DR159" s="209">
        <f t="shared" si="40"/>
        <v>0</v>
      </c>
      <c r="DS159" s="209">
        <f t="shared" si="41"/>
        <v>0</v>
      </c>
      <c r="DT159" s="209">
        <f t="shared" si="42"/>
        <v>0</v>
      </c>
      <c r="DU159" s="209">
        <f t="shared" si="43"/>
        <v>0</v>
      </c>
      <c r="DV159" s="209">
        <f t="shared" si="44"/>
        <v>0</v>
      </c>
      <c r="DW159" s="209">
        <f t="shared" si="45"/>
        <v>0</v>
      </c>
      <c r="DX159" s="209">
        <f t="shared" si="46"/>
        <v>0</v>
      </c>
    </row>
    <row r="160" spans="1:128" x14ac:dyDescent="0.25">
      <c r="A160" s="204" t="e">
        <f>IF(INDEX(#REF!,ROW(160:160)-1,1)=0,"",INDEX(#REF!,ROW(160:160)-1,1))</f>
        <v>#REF!</v>
      </c>
      <c r="B160" s="205" t="str">
        <f>IFERROR(VLOOKUP(Opv.kohd.[[#This Row],[Y-tunnus]],'0 Järjestäjätiedot'!$A:$H,2,FALSE),"")</f>
        <v/>
      </c>
      <c r="C160" s="204" t="str">
        <f>IFERROR(VLOOKUP(Opv.kohd.[[#This Row],[Y-tunnus]],'0 Järjestäjätiedot'!$A:$H,COLUMN('0 Järjestäjätiedot'!D:D),FALSE),"")</f>
        <v/>
      </c>
      <c r="D160" s="204" t="str">
        <f>IFERROR(VLOOKUP(Opv.kohd.[[#This Row],[Y-tunnus]],'0 Järjestäjätiedot'!$A:$H,COLUMN('0 Järjestäjätiedot'!H:H),FALSE),"")</f>
        <v/>
      </c>
      <c r="E160" s="204">
        <f>IFERROR(VLOOKUP(Opv.kohd.[[#This Row],[Y-tunnus]],#REF!,COLUMN(#REF!),FALSE),0)</f>
        <v>0</v>
      </c>
      <c r="F160" s="204">
        <f>IFERROR(VLOOKUP(Opv.kohd.[[#This Row],[Y-tunnus]],#REF!,COLUMN(#REF!),FALSE),0)</f>
        <v>0</v>
      </c>
      <c r="G160" s="204">
        <f>IFERROR(VLOOKUP(Opv.kohd.[[#This Row],[Y-tunnus]],#REF!,COLUMN(#REF!),FALSE),0)</f>
        <v>0</v>
      </c>
      <c r="H160" s="204">
        <f>IFERROR(VLOOKUP(Opv.kohd.[[#This Row],[Y-tunnus]],#REF!,COLUMN(#REF!),FALSE),0)</f>
        <v>0</v>
      </c>
      <c r="I160" s="204">
        <f>IFERROR(VLOOKUP(Opv.kohd.[[#This Row],[Y-tunnus]],#REF!,COLUMN(#REF!),FALSE),0)</f>
        <v>0</v>
      </c>
      <c r="J160" s="204">
        <f>IFERROR(VLOOKUP(Opv.kohd.[[#This Row],[Y-tunnus]],#REF!,COLUMN(#REF!),FALSE),0)</f>
        <v>0</v>
      </c>
      <c r="K16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60" s="204">
        <f>Opv.kohd.[[#This Row],[Järjestämisluvan mukaiset 1]]+Opv.kohd.[[#This Row],[Yhteensä  1]]</f>
        <v>0</v>
      </c>
      <c r="M160" s="204">
        <f>IFERROR(VLOOKUP(Opv.kohd.[[#This Row],[Y-tunnus]],#REF!,COLUMN(#REF!),FALSE),0)</f>
        <v>0</v>
      </c>
      <c r="N160" s="204">
        <f>IFERROR(VLOOKUP(Opv.kohd.[[#This Row],[Y-tunnus]],#REF!,COLUMN(#REF!),FALSE),0)</f>
        <v>0</v>
      </c>
      <c r="O160" s="204">
        <f>IFERROR(VLOOKUP(Opv.kohd.[[#This Row],[Y-tunnus]],#REF!,COLUMN(#REF!),FALSE)+VLOOKUP(Opv.kohd.[[#This Row],[Y-tunnus]],#REF!,COLUMN(#REF!),FALSE),0)</f>
        <v>0</v>
      </c>
      <c r="P160" s="204">
        <f>Opv.kohd.[[#This Row],[Talousarvion perusteella kohdentamattomat]]+Opv.kohd.[[#This Row],[Talousarvion perusteella työvoimakoulutus 1]]+Opv.kohd.[[#This Row],[Lisätalousarvioiden perusteella]]</f>
        <v>0</v>
      </c>
      <c r="Q160" s="204">
        <f>IFERROR(VLOOKUP(Opv.kohd.[[#This Row],[Y-tunnus]],#REF!,COLUMN(#REF!),FALSE),0)</f>
        <v>0</v>
      </c>
      <c r="R160" s="210">
        <f>IFERROR(VLOOKUP(Opv.kohd.[[#This Row],[Y-tunnus]],#REF!,COLUMN(#REF!),FALSE)-(Opv.kohd.[[#This Row],[Kohdentamaton työvoima-koulutus 2]]+Opv.kohd.[[#This Row],[Maahan-muuttajien koulutus 2]]+Opv.kohd.[[#This Row],[Lisätalousarvioiden perusteella jaetut 2]]),0)</f>
        <v>0</v>
      </c>
      <c r="S160" s="210">
        <f>IFERROR(VLOOKUP(Opv.kohd.[[#This Row],[Y-tunnus]],#REF!,COLUMN(#REF!),FALSE)+VLOOKUP(Opv.kohd.[[#This Row],[Y-tunnus]],#REF!,COLUMN(#REF!),FALSE),0)</f>
        <v>0</v>
      </c>
      <c r="T160" s="210">
        <f>IFERROR(VLOOKUP(Opv.kohd.[[#This Row],[Y-tunnus]],#REF!,COLUMN(#REF!),FALSE)+VLOOKUP(Opv.kohd.[[#This Row],[Y-tunnus]],#REF!,COLUMN(#REF!),FALSE),0)</f>
        <v>0</v>
      </c>
      <c r="U16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60" s="210">
        <f>Opv.kohd.[[#This Row],[Kohdentamat-tomat 2]]+Opv.kohd.[[#This Row],[Kohdentamaton työvoima-koulutus 2]]+Opv.kohd.[[#This Row],[Maahan-muuttajien koulutus 2]]+Opv.kohd.[[#This Row],[Lisätalousarvioiden perusteella jaetut 2]]</f>
        <v>0</v>
      </c>
      <c r="W160" s="210">
        <f>Opv.kohd.[[#This Row],[Kohdentamat-tomat 2]]-(Opv.kohd.[[#This Row],[Järjestämisluvan mukaiset 1]]+Opv.kohd.[[#This Row],[Kohdentamat-tomat 1]]+Opv.kohd.[[#This Row],[Nuorisotyöt. väh. ja osaamistarp. vast., muu kuin työvoima-koulutus 1]]+Opv.kohd.[[#This Row],[Talousarvion perusteella kohdentamattomat]])</f>
        <v>0</v>
      </c>
      <c r="X160" s="210">
        <f>Opv.kohd.[[#This Row],[Kohdentamaton työvoima-koulutus 2]]-(Opv.kohd.[[#This Row],[Työvoima-koulutus 1]]+Opv.kohd.[[#This Row],[Nuorisotyöt. väh. ja osaamistarp. vast., työvoima-koulutus 1]]+Opv.kohd.[[#This Row],[Talousarvion perusteella työvoimakoulutus 1]])</f>
        <v>0</v>
      </c>
      <c r="Y160" s="210">
        <f>Opv.kohd.[[#This Row],[Maahan-muuttajien koulutus 2]]-Opv.kohd.[[#This Row],[Maahan-muuttajien koulutus 1]]</f>
        <v>0</v>
      </c>
      <c r="Z160" s="210">
        <f>Opv.kohd.[[#This Row],[Lisätalousarvioiden perusteella jaetut 2]]-Opv.kohd.[[#This Row],[Lisätalousarvioiden perusteella]]</f>
        <v>0</v>
      </c>
      <c r="AA160" s="210">
        <f>Opv.kohd.[[#This Row],[Toteutuneet opiskelijavuodet yhteensä 2]]-Opv.kohd.[[#This Row],[Vuoden 2018 tavoitteelliset opiskelijavuodet yhteensä 1]]</f>
        <v>0</v>
      </c>
      <c r="AB160" s="207">
        <f>IFERROR(VLOOKUP(Opv.kohd.[[#This Row],[Y-tunnus]],#REF!,3,FALSE),0)</f>
        <v>0</v>
      </c>
      <c r="AC160" s="207">
        <f>IFERROR(VLOOKUP(Opv.kohd.[[#This Row],[Y-tunnus]],#REF!,4,FALSE),0)</f>
        <v>0</v>
      </c>
      <c r="AD160" s="207">
        <f>IFERROR(VLOOKUP(Opv.kohd.[[#This Row],[Y-tunnus]],#REF!,5,FALSE),0)</f>
        <v>0</v>
      </c>
      <c r="AE160" s="207">
        <f>IFERROR(VLOOKUP(Opv.kohd.[[#This Row],[Y-tunnus]],#REF!,6,FALSE),0)</f>
        <v>0</v>
      </c>
      <c r="AF160" s="207">
        <f>IFERROR(VLOOKUP(Opv.kohd.[[#This Row],[Y-tunnus]],#REF!,7,FALSE),0)</f>
        <v>0</v>
      </c>
      <c r="AG160" s="207">
        <f>IFERROR(VLOOKUP(Opv.kohd.[[#This Row],[Y-tunnus]],#REF!,8,FALSE),0)</f>
        <v>0</v>
      </c>
      <c r="AH160" s="207">
        <f>IFERROR(VLOOKUP(Opv.kohd.[[#This Row],[Y-tunnus]],#REF!,9,FALSE),0)</f>
        <v>0</v>
      </c>
      <c r="AI160" s="207">
        <f>IFERROR(VLOOKUP(Opv.kohd.[[#This Row],[Y-tunnus]],#REF!,10,FALSE),0)</f>
        <v>0</v>
      </c>
      <c r="AJ160" s="204">
        <f>Opv.kohd.[[#This Row],[Järjestämisluvan mukaiset 4]]-Opv.kohd.[[#This Row],[Järjestämisluvan mukaiset 1]]</f>
        <v>0</v>
      </c>
      <c r="AK160" s="204">
        <f>Opv.kohd.[[#This Row],[Kohdentamat-tomat 4]]-Opv.kohd.[[#This Row],[Kohdentamat-tomat 1]]</f>
        <v>0</v>
      </c>
      <c r="AL160" s="204">
        <f>Opv.kohd.[[#This Row],[Työvoima-koulutus 4]]-Opv.kohd.[[#This Row],[Työvoima-koulutus 1]]</f>
        <v>0</v>
      </c>
      <c r="AM160" s="204">
        <f>Opv.kohd.[[#This Row],[Maahan-muuttajien koulutus 4]]-Opv.kohd.[[#This Row],[Maahan-muuttajien koulutus 1]]</f>
        <v>0</v>
      </c>
      <c r="AN160" s="204">
        <f>Opv.kohd.[[#This Row],[Nuorisotyöt. väh. ja osaamistarp. vast., muu kuin työvoima-koulutus 4]]-Opv.kohd.[[#This Row],[Nuorisotyöt. väh. ja osaamistarp. vast., muu kuin työvoima-koulutus 1]]</f>
        <v>0</v>
      </c>
      <c r="AO160" s="204">
        <f>Opv.kohd.[[#This Row],[Nuorisotyöt. väh. ja osaamistarp. vast., työvoima-koulutus 4]]-Opv.kohd.[[#This Row],[Nuorisotyöt. väh. ja osaamistarp. vast., työvoima-koulutus 1]]</f>
        <v>0</v>
      </c>
      <c r="AP160" s="204">
        <f>Opv.kohd.[[#This Row],[Yhteensä 4]]-Opv.kohd.[[#This Row],[Yhteensä  1]]</f>
        <v>0</v>
      </c>
      <c r="AQ160" s="204">
        <f>Opv.kohd.[[#This Row],[Ensikertaisella suoritepäätöksellä jaetut tavoitteelliset opiskelijavuodet yhteensä 4]]-Opv.kohd.[[#This Row],[Ensikertaisella suoritepäätöksellä jaetut tavoitteelliset opiskelijavuodet yhteensä 1]]</f>
        <v>0</v>
      </c>
      <c r="AR160" s="208">
        <f>IFERROR(Opv.kohd.[[#This Row],[Järjestämisluvan mukaiset 5]]/Opv.kohd.[[#This Row],[Järjestämisluvan mukaiset 4]],0)</f>
        <v>0</v>
      </c>
      <c r="AS160" s="208">
        <f>IFERROR(Opv.kohd.[[#This Row],[Kohdentamat-tomat 5]]/Opv.kohd.[[#This Row],[Kohdentamat-tomat 4]],0)</f>
        <v>0</v>
      </c>
      <c r="AT160" s="208">
        <f>IFERROR(Opv.kohd.[[#This Row],[Työvoima-koulutus 5]]/Opv.kohd.[[#This Row],[Työvoima-koulutus 4]],0)</f>
        <v>0</v>
      </c>
      <c r="AU160" s="208">
        <f>IFERROR(Opv.kohd.[[#This Row],[Maahan-muuttajien koulutus 5]]/Opv.kohd.[[#This Row],[Maahan-muuttajien koulutus 4]],0)</f>
        <v>0</v>
      </c>
      <c r="AV160" s="208">
        <f>IFERROR(Opv.kohd.[[#This Row],[Nuorisotyöt. väh. ja osaamistarp. vast., muu kuin työvoima-koulutus 5]]/Opv.kohd.[[#This Row],[Nuorisotyöt. väh. ja osaamistarp. vast., muu kuin työvoima-koulutus 4]],0)</f>
        <v>0</v>
      </c>
      <c r="AW160" s="208">
        <f>IFERROR(Opv.kohd.[[#This Row],[Nuorisotyöt. väh. ja osaamistarp. vast., työvoima-koulutus 5]]/Opv.kohd.[[#This Row],[Nuorisotyöt. väh. ja osaamistarp. vast., työvoima-koulutus 4]],0)</f>
        <v>0</v>
      </c>
      <c r="AX160" s="208">
        <f>IFERROR(Opv.kohd.[[#This Row],[Yhteensä 5]]/Opv.kohd.[[#This Row],[Yhteensä 4]],0)</f>
        <v>0</v>
      </c>
      <c r="AY160" s="208">
        <f>IFERROR(Opv.kohd.[[#This Row],[Ensikertaisella suoritepäätöksellä jaetut tavoitteelliset opiskelijavuodet yhteensä 5]]/Opv.kohd.[[#This Row],[Ensikertaisella suoritepäätöksellä jaetut tavoitteelliset opiskelijavuodet yhteensä 4]],0)</f>
        <v>0</v>
      </c>
      <c r="AZ160" s="207">
        <f>Opv.kohd.[[#This Row],[Yhteensä 7a]]-Opv.kohd.[[#This Row],[Työvoima-koulutus 7a]]</f>
        <v>0</v>
      </c>
      <c r="BA160" s="207">
        <f>IFERROR(VLOOKUP(Opv.kohd.[[#This Row],[Y-tunnus]],#REF!,COLUMN(#REF!),FALSE),0)</f>
        <v>0</v>
      </c>
      <c r="BB160" s="207">
        <f>IFERROR(VLOOKUP(Opv.kohd.[[#This Row],[Y-tunnus]],#REF!,COLUMN(#REF!),FALSE),0)</f>
        <v>0</v>
      </c>
      <c r="BC160" s="207">
        <f>Opv.kohd.[[#This Row],[Muu kuin työvoima-koulutus 7c]]-Opv.kohd.[[#This Row],[Muu kuin työvoima-koulutus 7a]]</f>
        <v>0</v>
      </c>
      <c r="BD160" s="207">
        <f>Opv.kohd.[[#This Row],[Työvoima-koulutus 7c]]-Opv.kohd.[[#This Row],[Työvoima-koulutus 7a]]</f>
        <v>0</v>
      </c>
      <c r="BE160" s="207">
        <f>Opv.kohd.[[#This Row],[Yhteensä 7c]]-Opv.kohd.[[#This Row],[Yhteensä 7a]]</f>
        <v>0</v>
      </c>
      <c r="BF160" s="207">
        <f>Opv.kohd.[[#This Row],[Yhteensä 7c]]-Opv.kohd.[[#This Row],[Työvoima-koulutus 7c]]</f>
        <v>0</v>
      </c>
      <c r="BG160" s="207">
        <f>IFERROR(VLOOKUP(Opv.kohd.[[#This Row],[Y-tunnus]],#REF!,COLUMN(#REF!),FALSE),0)</f>
        <v>0</v>
      </c>
      <c r="BH160" s="207">
        <f>IFERROR(VLOOKUP(Opv.kohd.[[#This Row],[Y-tunnus]],#REF!,COLUMN(#REF!),FALSE),0)</f>
        <v>0</v>
      </c>
      <c r="BI160" s="207">
        <f>IFERROR(VLOOKUP(Opv.kohd.[[#This Row],[Y-tunnus]],#REF!,COLUMN(#REF!),FALSE),0)</f>
        <v>0</v>
      </c>
      <c r="BJ160" s="207">
        <f>IFERROR(VLOOKUP(Opv.kohd.[[#This Row],[Y-tunnus]],#REF!,COLUMN(#REF!),FALSE),0)</f>
        <v>0</v>
      </c>
      <c r="BK160" s="207">
        <f>Opv.kohd.[[#This Row],[Muu kuin työvoima-koulutus 7d]]+Opv.kohd.[[#This Row],[Työvoima-koulutus 7d]]</f>
        <v>0</v>
      </c>
      <c r="BL160" s="207">
        <f>Opv.kohd.[[#This Row],[Muu kuin työvoima-koulutus 7c]]-Opv.kohd.[[#This Row],[Muu kuin työvoima-koulutus 7d]]</f>
        <v>0</v>
      </c>
      <c r="BM160" s="207">
        <f>Opv.kohd.[[#This Row],[Työvoima-koulutus 7c]]-Opv.kohd.[[#This Row],[Työvoima-koulutus 7d]]</f>
        <v>0</v>
      </c>
      <c r="BN160" s="207">
        <f>Opv.kohd.[[#This Row],[Yhteensä 7c]]-Opv.kohd.[[#This Row],[Yhteensä 7d]]</f>
        <v>0</v>
      </c>
      <c r="BO160" s="207">
        <f>Opv.kohd.[[#This Row],[Muu kuin työvoima-koulutus 7e]]-(Opv.kohd.[[#This Row],[Järjestämisluvan mukaiset 4]]+Opv.kohd.[[#This Row],[Kohdentamat-tomat 4]]+Opv.kohd.[[#This Row],[Maahan-muuttajien koulutus 4]]+Opv.kohd.[[#This Row],[Nuorisotyöt. väh. ja osaamistarp. vast., muu kuin työvoima-koulutus 4]])</f>
        <v>0</v>
      </c>
      <c r="BP160" s="207">
        <f>Opv.kohd.[[#This Row],[Työvoima-koulutus 7e]]-(Opv.kohd.[[#This Row],[Työvoima-koulutus 4]]+Opv.kohd.[[#This Row],[Nuorisotyöt. väh. ja osaamistarp. vast., työvoima-koulutus 4]])</f>
        <v>0</v>
      </c>
      <c r="BQ160" s="207">
        <f>Opv.kohd.[[#This Row],[Yhteensä 7e]]-Opv.kohd.[[#This Row],[Ensikertaisella suoritepäätöksellä jaetut tavoitteelliset opiskelijavuodet yhteensä 4]]</f>
        <v>0</v>
      </c>
      <c r="BR160" s="263">
        <v>3063</v>
      </c>
      <c r="BS160" s="263">
        <v>150</v>
      </c>
      <c r="BT160" s="263">
        <v>100</v>
      </c>
      <c r="BU160" s="263">
        <v>300</v>
      </c>
      <c r="BV160" s="263">
        <v>0</v>
      </c>
      <c r="BW160" s="263">
        <v>0</v>
      </c>
      <c r="BX160" s="263">
        <v>550</v>
      </c>
      <c r="BY160" s="263">
        <v>3613</v>
      </c>
      <c r="BZ160" s="207">
        <f t="shared" si="32"/>
        <v>3063</v>
      </c>
      <c r="CA160" s="207">
        <f t="shared" si="33"/>
        <v>150</v>
      </c>
      <c r="CB160" s="207">
        <f t="shared" si="34"/>
        <v>100</v>
      </c>
      <c r="CC160" s="207">
        <f t="shared" si="35"/>
        <v>300</v>
      </c>
      <c r="CD160" s="207">
        <f t="shared" si="36"/>
        <v>0</v>
      </c>
      <c r="CE160" s="207">
        <f t="shared" si="37"/>
        <v>0</v>
      </c>
      <c r="CF160" s="207">
        <f t="shared" si="38"/>
        <v>550</v>
      </c>
      <c r="CG160" s="207">
        <f t="shared" si="39"/>
        <v>3613</v>
      </c>
      <c r="CH160" s="207">
        <f>Opv.kohd.[[#This Row],[Tavoitteelliset opiskelijavuodet yhteensä 9]]-Opv.kohd.[[#This Row],[Työvoima-koulutus 9]]-Opv.kohd.[[#This Row],[Nuorisotyöt. väh. ja osaamistarp. vast., työvoima-koulutus 9]]-Opv.kohd.[[#This Row],[Muu kuin työvoima-koulutus 7e]]</f>
        <v>3513</v>
      </c>
      <c r="CI160" s="207">
        <f>(Opv.kohd.[[#This Row],[Työvoima-koulutus 9]]+Opv.kohd.[[#This Row],[Nuorisotyöt. väh. ja osaamistarp. vast., työvoima-koulutus 9]])-Opv.kohd.[[#This Row],[Työvoima-koulutus 7e]]</f>
        <v>100</v>
      </c>
      <c r="CJ160" s="207">
        <f>Opv.kohd.[[#This Row],[Tavoitteelliset opiskelijavuodet yhteensä 9]]-Opv.kohd.[[#This Row],[Yhteensä 7e]]</f>
        <v>3613</v>
      </c>
      <c r="CK160" s="207">
        <f>Opv.kohd.[[#This Row],[Järjestämisluvan mukaiset 4]]+Opv.kohd.[[#This Row],[Järjestämisluvan mukaiset 13]]</f>
        <v>0</v>
      </c>
      <c r="CL160" s="207">
        <f>Opv.kohd.[[#This Row],[Kohdentamat-tomat 4]]+Opv.kohd.[[#This Row],[Kohdentamat-tomat 13]]</f>
        <v>0</v>
      </c>
      <c r="CM160" s="207">
        <f>Opv.kohd.[[#This Row],[Työvoima-koulutus 4]]+Opv.kohd.[[#This Row],[Työvoima-koulutus 13]]</f>
        <v>0</v>
      </c>
      <c r="CN160" s="207">
        <f>Opv.kohd.[[#This Row],[Maahan-muuttajien koulutus 4]]+Opv.kohd.[[#This Row],[Maahan-muuttajien koulutus 13]]</f>
        <v>0</v>
      </c>
      <c r="CO160" s="207">
        <f>Opv.kohd.[[#This Row],[Nuorisotyöt. väh. ja osaamistarp. vast., muu kuin työvoima-koulutus 4]]+Opv.kohd.[[#This Row],[Nuorisotyöt. väh. ja osaamistarp. vast., muu kuin työvoima-koulutus 13]]</f>
        <v>0</v>
      </c>
      <c r="CP160" s="207">
        <f>Opv.kohd.[[#This Row],[Nuorisotyöt. väh. ja osaamistarp. vast., työvoima-koulutus 4]]+Opv.kohd.[[#This Row],[Nuorisotyöt. väh. ja osaamistarp. vast., työvoima-koulutus 13]]</f>
        <v>0</v>
      </c>
      <c r="CQ160" s="207">
        <f>Opv.kohd.[[#This Row],[Yhteensä 4]]+Opv.kohd.[[#This Row],[Yhteensä 13]]</f>
        <v>0</v>
      </c>
      <c r="CR160" s="207">
        <f>Opv.kohd.[[#This Row],[Ensikertaisella suoritepäätöksellä jaetut tavoitteelliset opiskelijavuodet yhteensä 4]]+Opv.kohd.[[#This Row],[Tavoitteelliset opiskelijavuodet yhteensä 13]]</f>
        <v>0</v>
      </c>
      <c r="CS160" s="120">
        <v>0</v>
      </c>
      <c r="CT160" s="120">
        <v>0</v>
      </c>
      <c r="CU160" s="120">
        <v>0</v>
      </c>
      <c r="CV160" s="120">
        <v>0</v>
      </c>
      <c r="CW160" s="120">
        <v>0</v>
      </c>
      <c r="CX160" s="120">
        <v>0</v>
      </c>
      <c r="CY160" s="120">
        <v>0</v>
      </c>
      <c r="CZ160" s="120">
        <v>0</v>
      </c>
      <c r="DA160" s="209">
        <f>IFERROR(Opv.kohd.[[#This Row],[Järjestämisluvan mukaiset 13]]/Opv.kohd.[[#This Row],[Järjestämisluvan mukaiset 12]],0)</f>
        <v>0</v>
      </c>
      <c r="DB160" s="209">
        <f>IFERROR(Opv.kohd.[[#This Row],[Kohdentamat-tomat 13]]/Opv.kohd.[[#This Row],[Kohdentamat-tomat 12]],0)</f>
        <v>0</v>
      </c>
      <c r="DC160" s="209">
        <f>IFERROR(Opv.kohd.[[#This Row],[Työvoima-koulutus 13]]/Opv.kohd.[[#This Row],[Työvoima-koulutus 12]],0)</f>
        <v>0</v>
      </c>
      <c r="DD160" s="209">
        <f>IFERROR(Opv.kohd.[[#This Row],[Maahan-muuttajien koulutus 13]]/Opv.kohd.[[#This Row],[Maahan-muuttajien koulutus 12]],0)</f>
        <v>0</v>
      </c>
      <c r="DE160" s="209">
        <f>IFERROR(Opv.kohd.[[#This Row],[Nuorisotyöt. väh. ja osaamistarp. vast., muu kuin työvoima-koulutus 13]]/Opv.kohd.[[#This Row],[Nuorisotyöt. väh. ja osaamistarp. vast., muu kuin työvoima-koulutus 12]],0)</f>
        <v>0</v>
      </c>
      <c r="DF160" s="209">
        <f>IFERROR(Opv.kohd.[[#This Row],[Nuorisotyöt. väh. ja osaamistarp. vast., työvoima-koulutus 13]]/Opv.kohd.[[#This Row],[Nuorisotyöt. väh. ja osaamistarp. vast., työvoima-koulutus 12]],0)</f>
        <v>0</v>
      </c>
      <c r="DG160" s="209">
        <f>IFERROR(Opv.kohd.[[#This Row],[Yhteensä 13]]/Opv.kohd.[[#This Row],[Yhteensä 12]],0)</f>
        <v>0</v>
      </c>
      <c r="DH160" s="209">
        <f>IFERROR(Opv.kohd.[[#This Row],[Tavoitteelliset opiskelijavuodet yhteensä 13]]/Opv.kohd.[[#This Row],[Tavoitteelliset opiskelijavuodet yhteensä 12]],0)</f>
        <v>0</v>
      </c>
      <c r="DI160" s="207">
        <f>Opv.kohd.[[#This Row],[Järjestämisluvan mukaiset 12]]-Opv.kohd.[[#This Row],[Järjestämisluvan mukaiset 9]]</f>
        <v>-3063</v>
      </c>
      <c r="DJ160" s="207">
        <f>Opv.kohd.[[#This Row],[Kohdentamat-tomat 12]]-Opv.kohd.[[#This Row],[Kohdentamat-tomat 9]]</f>
        <v>-150</v>
      </c>
      <c r="DK160" s="207">
        <f>Opv.kohd.[[#This Row],[Työvoima-koulutus 12]]-Opv.kohd.[[#This Row],[Työvoima-koulutus 9]]</f>
        <v>-100</v>
      </c>
      <c r="DL160" s="207">
        <f>Opv.kohd.[[#This Row],[Maahan-muuttajien koulutus 12]]-Opv.kohd.[[#This Row],[Maahan-muuttajien koulutus 9]]</f>
        <v>-300</v>
      </c>
      <c r="DM160" s="207">
        <f>Opv.kohd.[[#This Row],[Nuorisotyöt. väh. ja osaamistarp. vast., muu kuin työvoima-koulutus 12]]-Opv.kohd.[[#This Row],[Nuorisotyöt. väh. ja osaamistarp. vast., muu kuin työvoima-koulutus 9]]</f>
        <v>0</v>
      </c>
      <c r="DN160" s="207">
        <f>Opv.kohd.[[#This Row],[Nuorisotyöt. väh. ja osaamistarp. vast., työvoima-koulutus 12]]-Opv.kohd.[[#This Row],[Nuorisotyöt. väh. ja osaamistarp. vast., työvoima-koulutus 9]]</f>
        <v>0</v>
      </c>
      <c r="DO160" s="207">
        <f>Opv.kohd.[[#This Row],[Yhteensä 12]]-Opv.kohd.[[#This Row],[Yhteensä 9]]</f>
        <v>-550</v>
      </c>
      <c r="DP160" s="207">
        <f>Opv.kohd.[[#This Row],[Tavoitteelliset opiskelijavuodet yhteensä 12]]-Opv.kohd.[[#This Row],[Tavoitteelliset opiskelijavuodet yhteensä 9]]</f>
        <v>-3613</v>
      </c>
      <c r="DQ160" s="209">
        <f>IFERROR(Opv.kohd.[[#This Row],[Järjestämisluvan mukaiset 15]]/Opv.kohd.[[#This Row],[Järjestämisluvan mukaiset 9]],0)</f>
        <v>-1</v>
      </c>
      <c r="DR160" s="209">
        <f t="shared" si="40"/>
        <v>0</v>
      </c>
      <c r="DS160" s="209">
        <f t="shared" si="41"/>
        <v>0</v>
      </c>
      <c r="DT160" s="209">
        <f t="shared" si="42"/>
        <v>0</v>
      </c>
      <c r="DU160" s="209">
        <f t="shared" si="43"/>
        <v>0</v>
      </c>
      <c r="DV160" s="209">
        <f t="shared" si="44"/>
        <v>0</v>
      </c>
      <c r="DW160" s="209">
        <f t="shared" si="45"/>
        <v>0</v>
      </c>
      <c r="DX160" s="209">
        <f t="shared" si="46"/>
        <v>0</v>
      </c>
    </row>
    <row r="161" spans="1:128" x14ac:dyDescent="0.25">
      <c r="A161" s="204" t="e">
        <f>IF(INDEX(#REF!,ROW(161:161)-1,1)=0,"",INDEX(#REF!,ROW(161:161)-1,1))</f>
        <v>#REF!</v>
      </c>
      <c r="B161" s="205" t="str">
        <f>IFERROR(VLOOKUP(Opv.kohd.[[#This Row],[Y-tunnus]],'0 Järjestäjätiedot'!$A:$H,2,FALSE),"")</f>
        <v/>
      </c>
      <c r="C161" s="204" t="str">
        <f>IFERROR(VLOOKUP(Opv.kohd.[[#This Row],[Y-tunnus]],'0 Järjestäjätiedot'!$A:$H,COLUMN('0 Järjestäjätiedot'!D:D),FALSE),"")</f>
        <v/>
      </c>
      <c r="D161" s="204" t="str">
        <f>IFERROR(VLOOKUP(Opv.kohd.[[#This Row],[Y-tunnus]],'0 Järjestäjätiedot'!$A:$H,COLUMN('0 Järjestäjätiedot'!H:H),FALSE),"")</f>
        <v/>
      </c>
      <c r="E161" s="204">
        <f>IFERROR(VLOOKUP(Opv.kohd.[[#This Row],[Y-tunnus]],#REF!,COLUMN(#REF!),FALSE),0)</f>
        <v>0</v>
      </c>
      <c r="F161" s="204">
        <f>IFERROR(VLOOKUP(Opv.kohd.[[#This Row],[Y-tunnus]],#REF!,COLUMN(#REF!),FALSE),0)</f>
        <v>0</v>
      </c>
      <c r="G161" s="204">
        <f>IFERROR(VLOOKUP(Opv.kohd.[[#This Row],[Y-tunnus]],#REF!,COLUMN(#REF!),FALSE),0)</f>
        <v>0</v>
      </c>
      <c r="H161" s="204">
        <f>IFERROR(VLOOKUP(Opv.kohd.[[#This Row],[Y-tunnus]],#REF!,COLUMN(#REF!),FALSE),0)</f>
        <v>0</v>
      </c>
      <c r="I161" s="204">
        <f>IFERROR(VLOOKUP(Opv.kohd.[[#This Row],[Y-tunnus]],#REF!,COLUMN(#REF!),FALSE),0)</f>
        <v>0</v>
      </c>
      <c r="J161" s="204">
        <f>IFERROR(VLOOKUP(Opv.kohd.[[#This Row],[Y-tunnus]],#REF!,COLUMN(#REF!),FALSE),0)</f>
        <v>0</v>
      </c>
      <c r="K16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61" s="204">
        <f>Opv.kohd.[[#This Row],[Järjestämisluvan mukaiset 1]]+Opv.kohd.[[#This Row],[Yhteensä  1]]</f>
        <v>0</v>
      </c>
      <c r="M161" s="204">
        <f>IFERROR(VLOOKUP(Opv.kohd.[[#This Row],[Y-tunnus]],#REF!,COLUMN(#REF!),FALSE),0)</f>
        <v>0</v>
      </c>
      <c r="N161" s="204">
        <f>IFERROR(VLOOKUP(Opv.kohd.[[#This Row],[Y-tunnus]],#REF!,COLUMN(#REF!),FALSE),0)</f>
        <v>0</v>
      </c>
      <c r="O161" s="204">
        <f>IFERROR(VLOOKUP(Opv.kohd.[[#This Row],[Y-tunnus]],#REF!,COLUMN(#REF!),FALSE)+VLOOKUP(Opv.kohd.[[#This Row],[Y-tunnus]],#REF!,COLUMN(#REF!),FALSE),0)</f>
        <v>0</v>
      </c>
      <c r="P161" s="204">
        <f>Opv.kohd.[[#This Row],[Talousarvion perusteella kohdentamattomat]]+Opv.kohd.[[#This Row],[Talousarvion perusteella työvoimakoulutus 1]]+Opv.kohd.[[#This Row],[Lisätalousarvioiden perusteella]]</f>
        <v>0</v>
      </c>
      <c r="Q161" s="204">
        <f>IFERROR(VLOOKUP(Opv.kohd.[[#This Row],[Y-tunnus]],#REF!,COLUMN(#REF!),FALSE),0)</f>
        <v>0</v>
      </c>
      <c r="R161" s="210">
        <f>IFERROR(VLOOKUP(Opv.kohd.[[#This Row],[Y-tunnus]],#REF!,COLUMN(#REF!),FALSE)-(Opv.kohd.[[#This Row],[Kohdentamaton työvoima-koulutus 2]]+Opv.kohd.[[#This Row],[Maahan-muuttajien koulutus 2]]+Opv.kohd.[[#This Row],[Lisätalousarvioiden perusteella jaetut 2]]),0)</f>
        <v>0</v>
      </c>
      <c r="S161" s="210">
        <f>IFERROR(VLOOKUP(Opv.kohd.[[#This Row],[Y-tunnus]],#REF!,COLUMN(#REF!),FALSE)+VLOOKUP(Opv.kohd.[[#This Row],[Y-tunnus]],#REF!,COLUMN(#REF!),FALSE),0)</f>
        <v>0</v>
      </c>
      <c r="T161" s="210">
        <f>IFERROR(VLOOKUP(Opv.kohd.[[#This Row],[Y-tunnus]],#REF!,COLUMN(#REF!),FALSE)+VLOOKUP(Opv.kohd.[[#This Row],[Y-tunnus]],#REF!,COLUMN(#REF!),FALSE),0)</f>
        <v>0</v>
      </c>
      <c r="U16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61" s="210">
        <f>Opv.kohd.[[#This Row],[Kohdentamat-tomat 2]]+Opv.kohd.[[#This Row],[Kohdentamaton työvoima-koulutus 2]]+Opv.kohd.[[#This Row],[Maahan-muuttajien koulutus 2]]+Opv.kohd.[[#This Row],[Lisätalousarvioiden perusteella jaetut 2]]</f>
        <v>0</v>
      </c>
      <c r="W161" s="210">
        <f>Opv.kohd.[[#This Row],[Kohdentamat-tomat 2]]-(Opv.kohd.[[#This Row],[Järjestämisluvan mukaiset 1]]+Opv.kohd.[[#This Row],[Kohdentamat-tomat 1]]+Opv.kohd.[[#This Row],[Nuorisotyöt. väh. ja osaamistarp. vast., muu kuin työvoima-koulutus 1]]+Opv.kohd.[[#This Row],[Talousarvion perusteella kohdentamattomat]])</f>
        <v>0</v>
      </c>
      <c r="X161" s="210">
        <f>Opv.kohd.[[#This Row],[Kohdentamaton työvoima-koulutus 2]]-(Opv.kohd.[[#This Row],[Työvoima-koulutus 1]]+Opv.kohd.[[#This Row],[Nuorisotyöt. väh. ja osaamistarp. vast., työvoima-koulutus 1]]+Opv.kohd.[[#This Row],[Talousarvion perusteella työvoimakoulutus 1]])</f>
        <v>0</v>
      </c>
      <c r="Y161" s="210">
        <f>Opv.kohd.[[#This Row],[Maahan-muuttajien koulutus 2]]-Opv.kohd.[[#This Row],[Maahan-muuttajien koulutus 1]]</f>
        <v>0</v>
      </c>
      <c r="Z161" s="210">
        <f>Opv.kohd.[[#This Row],[Lisätalousarvioiden perusteella jaetut 2]]-Opv.kohd.[[#This Row],[Lisätalousarvioiden perusteella]]</f>
        <v>0</v>
      </c>
      <c r="AA161" s="210">
        <f>Opv.kohd.[[#This Row],[Toteutuneet opiskelijavuodet yhteensä 2]]-Opv.kohd.[[#This Row],[Vuoden 2018 tavoitteelliset opiskelijavuodet yhteensä 1]]</f>
        <v>0</v>
      </c>
      <c r="AB161" s="207">
        <f>IFERROR(VLOOKUP(Opv.kohd.[[#This Row],[Y-tunnus]],#REF!,3,FALSE),0)</f>
        <v>0</v>
      </c>
      <c r="AC161" s="207">
        <f>IFERROR(VLOOKUP(Opv.kohd.[[#This Row],[Y-tunnus]],#REF!,4,FALSE),0)</f>
        <v>0</v>
      </c>
      <c r="AD161" s="207">
        <f>IFERROR(VLOOKUP(Opv.kohd.[[#This Row],[Y-tunnus]],#REF!,5,FALSE),0)</f>
        <v>0</v>
      </c>
      <c r="AE161" s="207">
        <f>IFERROR(VLOOKUP(Opv.kohd.[[#This Row],[Y-tunnus]],#REF!,6,FALSE),0)</f>
        <v>0</v>
      </c>
      <c r="AF161" s="207">
        <f>IFERROR(VLOOKUP(Opv.kohd.[[#This Row],[Y-tunnus]],#REF!,7,FALSE),0)</f>
        <v>0</v>
      </c>
      <c r="AG161" s="207">
        <f>IFERROR(VLOOKUP(Opv.kohd.[[#This Row],[Y-tunnus]],#REF!,8,FALSE),0)</f>
        <v>0</v>
      </c>
      <c r="AH161" s="207">
        <f>IFERROR(VLOOKUP(Opv.kohd.[[#This Row],[Y-tunnus]],#REF!,9,FALSE),0)</f>
        <v>0</v>
      </c>
      <c r="AI161" s="207">
        <f>IFERROR(VLOOKUP(Opv.kohd.[[#This Row],[Y-tunnus]],#REF!,10,FALSE),0)</f>
        <v>0</v>
      </c>
      <c r="AJ161" s="204">
        <f>Opv.kohd.[[#This Row],[Järjestämisluvan mukaiset 4]]-Opv.kohd.[[#This Row],[Järjestämisluvan mukaiset 1]]</f>
        <v>0</v>
      </c>
      <c r="AK161" s="204">
        <f>Opv.kohd.[[#This Row],[Kohdentamat-tomat 4]]-Opv.kohd.[[#This Row],[Kohdentamat-tomat 1]]</f>
        <v>0</v>
      </c>
      <c r="AL161" s="204">
        <f>Opv.kohd.[[#This Row],[Työvoima-koulutus 4]]-Opv.kohd.[[#This Row],[Työvoima-koulutus 1]]</f>
        <v>0</v>
      </c>
      <c r="AM161" s="204">
        <f>Opv.kohd.[[#This Row],[Maahan-muuttajien koulutus 4]]-Opv.kohd.[[#This Row],[Maahan-muuttajien koulutus 1]]</f>
        <v>0</v>
      </c>
      <c r="AN161" s="204">
        <f>Opv.kohd.[[#This Row],[Nuorisotyöt. väh. ja osaamistarp. vast., muu kuin työvoima-koulutus 4]]-Opv.kohd.[[#This Row],[Nuorisotyöt. väh. ja osaamistarp. vast., muu kuin työvoima-koulutus 1]]</f>
        <v>0</v>
      </c>
      <c r="AO161" s="204">
        <f>Opv.kohd.[[#This Row],[Nuorisotyöt. väh. ja osaamistarp. vast., työvoima-koulutus 4]]-Opv.kohd.[[#This Row],[Nuorisotyöt. väh. ja osaamistarp. vast., työvoima-koulutus 1]]</f>
        <v>0</v>
      </c>
      <c r="AP161" s="204">
        <f>Opv.kohd.[[#This Row],[Yhteensä 4]]-Opv.kohd.[[#This Row],[Yhteensä  1]]</f>
        <v>0</v>
      </c>
      <c r="AQ161" s="204">
        <f>Opv.kohd.[[#This Row],[Ensikertaisella suoritepäätöksellä jaetut tavoitteelliset opiskelijavuodet yhteensä 4]]-Opv.kohd.[[#This Row],[Ensikertaisella suoritepäätöksellä jaetut tavoitteelliset opiskelijavuodet yhteensä 1]]</f>
        <v>0</v>
      </c>
      <c r="AR161" s="208">
        <f>IFERROR(Opv.kohd.[[#This Row],[Järjestämisluvan mukaiset 5]]/Opv.kohd.[[#This Row],[Järjestämisluvan mukaiset 4]],0)</f>
        <v>0</v>
      </c>
      <c r="AS161" s="208">
        <f>IFERROR(Opv.kohd.[[#This Row],[Kohdentamat-tomat 5]]/Opv.kohd.[[#This Row],[Kohdentamat-tomat 4]],0)</f>
        <v>0</v>
      </c>
      <c r="AT161" s="208">
        <f>IFERROR(Opv.kohd.[[#This Row],[Työvoima-koulutus 5]]/Opv.kohd.[[#This Row],[Työvoima-koulutus 4]],0)</f>
        <v>0</v>
      </c>
      <c r="AU161" s="208">
        <f>IFERROR(Opv.kohd.[[#This Row],[Maahan-muuttajien koulutus 5]]/Opv.kohd.[[#This Row],[Maahan-muuttajien koulutus 4]],0)</f>
        <v>0</v>
      </c>
      <c r="AV161" s="208">
        <f>IFERROR(Opv.kohd.[[#This Row],[Nuorisotyöt. väh. ja osaamistarp. vast., muu kuin työvoima-koulutus 5]]/Opv.kohd.[[#This Row],[Nuorisotyöt. väh. ja osaamistarp. vast., muu kuin työvoima-koulutus 4]],0)</f>
        <v>0</v>
      </c>
      <c r="AW161" s="208">
        <f>IFERROR(Opv.kohd.[[#This Row],[Nuorisotyöt. väh. ja osaamistarp. vast., työvoima-koulutus 5]]/Opv.kohd.[[#This Row],[Nuorisotyöt. väh. ja osaamistarp. vast., työvoima-koulutus 4]],0)</f>
        <v>0</v>
      </c>
      <c r="AX161" s="208">
        <f>IFERROR(Opv.kohd.[[#This Row],[Yhteensä 5]]/Opv.kohd.[[#This Row],[Yhteensä 4]],0)</f>
        <v>0</v>
      </c>
      <c r="AY161" s="208">
        <f>IFERROR(Opv.kohd.[[#This Row],[Ensikertaisella suoritepäätöksellä jaetut tavoitteelliset opiskelijavuodet yhteensä 5]]/Opv.kohd.[[#This Row],[Ensikertaisella suoritepäätöksellä jaetut tavoitteelliset opiskelijavuodet yhteensä 4]],0)</f>
        <v>0</v>
      </c>
      <c r="AZ161" s="207">
        <f>Opv.kohd.[[#This Row],[Yhteensä 7a]]-Opv.kohd.[[#This Row],[Työvoima-koulutus 7a]]</f>
        <v>0</v>
      </c>
      <c r="BA161" s="207">
        <f>IFERROR(VLOOKUP(Opv.kohd.[[#This Row],[Y-tunnus]],#REF!,COLUMN(#REF!),FALSE),0)</f>
        <v>0</v>
      </c>
      <c r="BB161" s="207">
        <f>IFERROR(VLOOKUP(Opv.kohd.[[#This Row],[Y-tunnus]],#REF!,COLUMN(#REF!),FALSE),0)</f>
        <v>0</v>
      </c>
      <c r="BC161" s="207">
        <f>Opv.kohd.[[#This Row],[Muu kuin työvoima-koulutus 7c]]-Opv.kohd.[[#This Row],[Muu kuin työvoima-koulutus 7a]]</f>
        <v>0</v>
      </c>
      <c r="BD161" s="207">
        <f>Opv.kohd.[[#This Row],[Työvoima-koulutus 7c]]-Opv.kohd.[[#This Row],[Työvoima-koulutus 7a]]</f>
        <v>0</v>
      </c>
      <c r="BE161" s="207">
        <f>Opv.kohd.[[#This Row],[Yhteensä 7c]]-Opv.kohd.[[#This Row],[Yhteensä 7a]]</f>
        <v>0</v>
      </c>
      <c r="BF161" s="207">
        <f>Opv.kohd.[[#This Row],[Yhteensä 7c]]-Opv.kohd.[[#This Row],[Työvoima-koulutus 7c]]</f>
        <v>0</v>
      </c>
      <c r="BG161" s="207">
        <f>IFERROR(VLOOKUP(Opv.kohd.[[#This Row],[Y-tunnus]],#REF!,COLUMN(#REF!),FALSE),0)</f>
        <v>0</v>
      </c>
      <c r="BH161" s="207">
        <f>IFERROR(VLOOKUP(Opv.kohd.[[#This Row],[Y-tunnus]],#REF!,COLUMN(#REF!),FALSE),0)</f>
        <v>0</v>
      </c>
      <c r="BI161" s="207">
        <f>IFERROR(VLOOKUP(Opv.kohd.[[#This Row],[Y-tunnus]],#REF!,COLUMN(#REF!),FALSE),0)</f>
        <v>0</v>
      </c>
      <c r="BJ161" s="207">
        <f>IFERROR(VLOOKUP(Opv.kohd.[[#This Row],[Y-tunnus]],#REF!,COLUMN(#REF!),FALSE),0)</f>
        <v>0</v>
      </c>
      <c r="BK161" s="207">
        <f>Opv.kohd.[[#This Row],[Muu kuin työvoima-koulutus 7d]]+Opv.kohd.[[#This Row],[Työvoima-koulutus 7d]]</f>
        <v>0</v>
      </c>
      <c r="BL161" s="207">
        <f>Opv.kohd.[[#This Row],[Muu kuin työvoima-koulutus 7c]]-Opv.kohd.[[#This Row],[Muu kuin työvoima-koulutus 7d]]</f>
        <v>0</v>
      </c>
      <c r="BM161" s="207">
        <f>Opv.kohd.[[#This Row],[Työvoima-koulutus 7c]]-Opv.kohd.[[#This Row],[Työvoima-koulutus 7d]]</f>
        <v>0</v>
      </c>
      <c r="BN161" s="207">
        <f>Opv.kohd.[[#This Row],[Yhteensä 7c]]-Opv.kohd.[[#This Row],[Yhteensä 7d]]</f>
        <v>0</v>
      </c>
      <c r="BO161" s="207">
        <f>Opv.kohd.[[#This Row],[Muu kuin työvoima-koulutus 7e]]-(Opv.kohd.[[#This Row],[Järjestämisluvan mukaiset 4]]+Opv.kohd.[[#This Row],[Kohdentamat-tomat 4]]+Opv.kohd.[[#This Row],[Maahan-muuttajien koulutus 4]]+Opv.kohd.[[#This Row],[Nuorisotyöt. väh. ja osaamistarp. vast., muu kuin työvoima-koulutus 4]])</f>
        <v>0</v>
      </c>
      <c r="BP161" s="207">
        <f>Opv.kohd.[[#This Row],[Työvoima-koulutus 7e]]-(Opv.kohd.[[#This Row],[Työvoima-koulutus 4]]+Opv.kohd.[[#This Row],[Nuorisotyöt. väh. ja osaamistarp. vast., työvoima-koulutus 4]])</f>
        <v>0</v>
      </c>
      <c r="BQ161" s="207">
        <f>Opv.kohd.[[#This Row],[Yhteensä 7e]]-Opv.kohd.[[#This Row],[Ensikertaisella suoritepäätöksellä jaetut tavoitteelliset opiskelijavuodet yhteensä 4]]</f>
        <v>0</v>
      </c>
      <c r="BR161" s="263">
        <v>128</v>
      </c>
      <c r="BS161" s="263">
        <v>72</v>
      </c>
      <c r="BT161" s="263">
        <v>0</v>
      </c>
      <c r="BU161" s="263">
        <v>0</v>
      </c>
      <c r="BV161" s="263">
        <v>0</v>
      </c>
      <c r="BW161" s="263">
        <v>0</v>
      </c>
      <c r="BX161" s="263">
        <v>72</v>
      </c>
      <c r="BY161" s="263">
        <v>200</v>
      </c>
      <c r="BZ161" s="207">
        <f t="shared" si="32"/>
        <v>128</v>
      </c>
      <c r="CA161" s="207">
        <f t="shared" si="33"/>
        <v>72</v>
      </c>
      <c r="CB161" s="207">
        <f t="shared" si="34"/>
        <v>0</v>
      </c>
      <c r="CC161" s="207">
        <f t="shared" si="35"/>
        <v>0</v>
      </c>
      <c r="CD161" s="207">
        <f t="shared" si="36"/>
        <v>0</v>
      </c>
      <c r="CE161" s="207">
        <f t="shared" si="37"/>
        <v>0</v>
      </c>
      <c r="CF161" s="207">
        <f t="shared" si="38"/>
        <v>72</v>
      </c>
      <c r="CG161" s="207">
        <f t="shared" si="39"/>
        <v>200</v>
      </c>
      <c r="CH161" s="207">
        <f>Opv.kohd.[[#This Row],[Tavoitteelliset opiskelijavuodet yhteensä 9]]-Opv.kohd.[[#This Row],[Työvoima-koulutus 9]]-Opv.kohd.[[#This Row],[Nuorisotyöt. väh. ja osaamistarp. vast., työvoima-koulutus 9]]-Opv.kohd.[[#This Row],[Muu kuin työvoima-koulutus 7e]]</f>
        <v>200</v>
      </c>
      <c r="CI161" s="207">
        <f>(Opv.kohd.[[#This Row],[Työvoima-koulutus 9]]+Opv.kohd.[[#This Row],[Nuorisotyöt. väh. ja osaamistarp. vast., työvoima-koulutus 9]])-Opv.kohd.[[#This Row],[Työvoima-koulutus 7e]]</f>
        <v>0</v>
      </c>
      <c r="CJ161" s="207">
        <f>Opv.kohd.[[#This Row],[Tavoitteelliset opiskelijavuodet yhteensä 9]]-Opv.kohd.[[#This Row],[Yhteensä 7e]]</f>
        <v>200</v>
      </c>
      <c r="CK161" s="207">
        <f>Opv.kohd.[[#This Row],[Järjestämisluvan mukaiset 4]]+Opv.kohd.[[#This Row],[Järjestämisluvan mukaiset 13]]</f>
        <v>0</v>
      </c>
      <c r="CL161" s="207">
        <f>Opv.kohd.[[#This Row],[Kohdentamat-tomat 4]]+Opv.kohd.[[#This Row],[Kohdentamat-tomat 13]]</f>
        <v>0</v>
      </c>
      <c r="CM161" s="207">
        <f>Opv.kohd.[[#This Row],[Työvoima-koulutus 4]]+Opv.kohd.[[#This Row],[Työvoima-koulutus 13]]</f>
        <v>0</v>
      </c>
      <c r="CN161" s="207">
        <f>Opv.kohd.[[#This Row],[Maahan-muuttajien koulutus 4]]+Opv.kohd.[[#This Row],[Maahan-muuttajien koulutus 13]]</f>
        <v>0</v>
      </c>
      <c r="CO161" s="207">
        <f>Opv.kohd.[[#This Row],[Nuorisotyöt. väh. ja osaamistarp. vast., muu kuin työvoima-koulutus 4]]+Opv.kohd.[[#This Row],[Nuorisotyöt. väh. ja osaamistarp. vast., muu kuin työvoima-koulutus 13]]</f>
        <v>0</v>
      </c>
      <c r="CP161" s="207">
        <f>Opv.kohd.[[#This Row],[Nuorisotyöt. väh. ja osaamistarp. vast., työvoima-koulutus 4]]+Opv.kohd.[[#This Row],[Nuorisotyöt. väh. ja osaamistarp. vast., työvoima-koulutus 13]]</f>
        <v>0</v>
      </c>
      <c r="CQ161" s="207">
        <f>Opv.kohd.[[#This Row],[Yhteensä 4]]+Opv.kohd.[[#This Row],[Yhteensä 13]]</f>
        <v>0</v>
      </c>
      <c r="CR161" s="207">
        <f>Opv.kohd.[[#This Row],[Ensikertaisella suoritepäätöksellä jaetut tavoitteelliset opiskelijavuodet yhteensä 4]]+Opv.kohd.[[#This Row],[Tavoitteelliset opiskelijavuodet yhteensä 13]]</f>
        <v>0</v>
      </c>
      <c r="CS161" s="120">
        <v>0</v>
      </c>
      <c r="CT161" s="120">
        <v>0</v>
      </c>
      <c r="CU161" s="120">
        <v>0</v>
      </c>
      <c r="CV161" s="120">
        <v>0</v>
      </c>
      <c r="CW161" s="120">
        <v>0</v>
      </c>
      <c r="CX161" s="120">
        <v>0</v>
      </c>
      <c r="CY161" s="120">
        <v>0</v>
      </c>
      <c r="CZ161" s="120">
        <v>0</v>
      </c>
      <c r="DA161" s="209">
        <f>IFERROR(Opv.kohd.[[#This Row],[Järjestämisluvan mukaiset 13]]/Opv.kohd.[[#This Row],[Järjestämisluvan mukaiset 12]],0)</f>
        <v>0</v>
      </c>
      <c r="DB161" s="209">
        <f>IFERROR(Opv.kohd.[[#This Row],[Kohdentamat-tomat 13]]/Opv.kohd.[[#This Row],[Kohdentamat-tomat 12]],0)</f>
        <v>0</v>
      </c>
      <c r="DC161" s="209">
        <f>IFERROR(Opv.kohd.[[#This Row],[Työvoima-koulutus 13]]/Opv.kohd.[[#This Row],[Työvoima-koulutus 12]],0)</f>
        <v>0</v>
      </c>
      <c r="DD161" s="209">
        <f>IFERROR(Opv.kohd.[[#This Row],[Maahan-muuttajien koulutus 13]]/Opv.kohd.[[#This Row],[Maahan-muuttajien koulutus 12]],0)</f>
        <v>0</v>
      </c>
      <c r="DE161" s="209">
        <f>IFERROR(Opv.kohd.[[#This Row],[Nuorisotyöt. väh. ja osaamistarp. vast., muu kuin työvoima-koulutus 13]]/Opv.kohd.[[#This Row],[Nuorisotyöt. väh. ja osaamistarp. vast., muu kuin työvoima-koulutus 12]],0)</f>
        <v>0</v>
      </c>
      <c r="DF161" s="209">
        <f>IFERROR(Opv.kohd.[[#This Row],[Nuorisotyöt. väh. ja osaamistarp. vast., työvoima-koulutus 13]]/Opv.kohd.[[#This Row],[Nuorisotyöt. väh. ja osaamistarp. vast., työvoima-koulutus 12]],0)</f>
        <v>0</v>
      </c>
      <c r="DG161" s="209">
        <f>IFERROR(Opv.kohd.[[#This Row],[Yhteensä 13]]/Opv.kohd.[[#This Row],[Yhteensä 12]],0)</f>
        <v>0</v>
      </c>
      <c r="DH161" s="209">
        <f>IFERROR(Opv.kohd.[[#This Row],[Tavoitteelliset opiskelijavuodet yhteensä 13]]/Opv.kohd.[[#This Row],[Tavoitteelliset opiskelijavuodet yhteensä 12]],0)</f>
        <v>0</v>
      </c>
      <c r="DI161" s="207">
        <f>Opv.kohd.[[#This Row],[Järjestämisluvan mukaiset 12]]-Opv.kohd.[[#This Row],[Järjestämisluvan mukaiset 9]]</f>
        <v>-128</v>
      </c>
      <c r="DJ161" s="207">
        <f>Opv.kohd.[[#This Row],[Kohdentamat-tomat 12]]-Opv.kohd.[[#This Row],[Kohdentamat-tomat 9]]</f>
        <v>-72</v>
      </c>
      <c r="DK161" s="207">
        <f>Opv.kohd.[[#This Row],[Työvoima-koulutus 12]]-Opv.kohd.[[#This Row],[Työvoima-koulutus 9]]</f>
        <v>0</v>
      </c>
      <c r="DL161" s="207">
        <f>Opv.kohd.[[#This Row],[Maahan-muuttajien koulutus 12]]-Opv.kohd.[[#This Row],[Maahan-muuttajien koulutus 9]]</f>
        <v>0</v>
      </c>
      <c r="DM161" s="207">
        <f>Opv.kohd.[[#This Row],[Nuorisotyöt. väh. ja osaamistarp. vast., muu kuin työvoima-koulutus 12]]-Opv.kohd.[[#This Row],[Nuorisotyöt. väh. ja osaamistarp. vast., muu kuin työvoima-koulutus 9]]</f>
        <v>0</v>
      </c>
      <c r="DN161" s="207">
        <f>Opv.kohd.[[#This Row],[Nuorisotyöt. väh. ja osaamistarp. vast., työvoima-koulutus 12]]-Opv.kohd.[[#This Row],[Nuorisotyöt. väh. ja osaamistarp. vast., työvoima-koulutus 9]]</f>
        <v>0</v>
      </c>
      <c r="DO161" s="207">
        <f>Opv.kohd.[[#This Row],[Yhteensä 12]]-Opv.kohd.[[#This Row],[Yhteensä 9]]</f>
        <v>-72</v>
      </c>
      <c r="DP161" s="207">
        <f>Opv.kohd.[[#This Row],[Tavoitteelliset opiskelijavuodet yhteensä 12]]-Opv.kohd.[[#This Row],[Tavoitteelliset opiskelijavuodet yhteensä 9]]</f>
        <v>-200</v>
      </c>
      <c r="DQ161" s="209">
        <f>IFERROR(Opv.kohd.[[#This Row],[Järjestämisluvan mukaiset 15]]/Opv.kohd.[[#This Row],[Järjestämisluvan mukaiset 9]],0)</f>
        <v>-1</v>
      </c>
      <c r="DR161" s="209">
        <f t="shared" si="40"/>
        <v>0</v>
      </c>
      <c r="DS161" s="209">
        <f t="shared" si="41"/>
        <v>0</v>
      </c>
      <c r="DT161" s="209">
        <f t="shared" si="42"/>
        <v>0</v>
      </c>
      <c r="DU161" s="209">
        <f t="shared" si="43"/>
        <v>0</v>
      </c>
      <c r="DV161" s="209">
        <f t="shared" si="44"/>
        <v>0</v>
      </c>
      <c r="DW161" s="209">
        <f t="shared" si="45"/>
        <v>0</v>
      </c>
      <c r="DX161" s="209">
        <f t="shared" si="46"/>
        <v>0</v>
      </c>
    </row>
    <row r="162" spans="1:128" x14ac:dyDescent="0.25">
      <c r="A162" s="204" t="e">
        <f>IF(INDEX(#REF!,ROW(162:162)-1,1)=0,"",INDEX(#REF!,ROW(162:162)-1,1))</f>
        <v>#REF!</v>
      </c>
      <c r="B162" s="205" t="str">
        <f>IFERROR(VLOOKUP(Opv.kohd.[[#This Row],[Y-tunnus]],'0 Järjestäjätiedot'!$A:$H,2,FALSE),"")</f>
        <v/>
      </c>
      <c r="C162" s="204" t="str">
        <f>IFERROR(VLOOKUP(Opv.kohd.[[#This Row],[Y-tunnus]],'0 Järjestäjätiedot'!$A:$H,COLUMN('0 Järjestäjätiedot'!D:D),FALSE),"")</f>
        <v/>
      </c>
      <c r="D162" s="204" t="str">
        <f>IFERROR(VLOOKUP(Opv.kohd.[[#This Row],[Y-tunnus]],'0 Järjestäjätiedot'!$A:$H,COLUMN('0 Järjestäjätiedot'!H:H),FALSE),"")</f>
        <v/>
      </c>
      <c r="E162" s="204">
        <f>IFERROR(VLOOKUP(Opv.kohd.[[#This Row],[Y-tunnus]],#REF!,COLUMN(#REF!),FALSE),0)</f>
        <v>0</v>
      </c>
      <c r="F162" s="204">
        <f>IFERROR(VLOOKUP(Opv.kohd.[[#This Row],[Y-tunnus]],#REF!,COLUMN(#REF!),FALSE),0)</f>
        <v>0</v>
      </c>
      <c r="G162" s="204">
        <f>IFERROR(VLOOKUP(Opv.kohd.[[#This Row],[Y-tunnus]],#REF!,COLUMN(#REF!),FALSE),0)</f>
        <v>0</v>
      </c>
      <c r="H162" s="204">
        <f>IFERROR(VLOOKUP(Opv.kohd.[[#This Row],[Y-tunnus]],#REF!,COLUMN(#REF!),FALSE),0)</f>
        <v>0</v>
      </c>
      <c r="I162" s="204">
        <f>IFERROR(VLOOKUP(Opv.kohd.[[#This Row],[Y-tunnus]],#REF!,COLUMN(#REF!),FALSE),0)</f>
        <v>0</v>
      </c>
      <c r="J162" s="204">
        <f>IFERROR(VLOOKUP(Opv.kohd.[[#This Row],[Y-tunnus]],#REF!,COLUMN(#REF!),FALSE),0)</f>
        <v>0</v>
      </c>
      <c r="K16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62" s="204">
        <f>Opv.kohd.[[#This Row],[Järjestämisluvan mukaiset 1]]+Opv.kohd.[[#This Row],[Yhteensä  1]]</f>
        <v>0</v>
      </c>
      <c r="M162" s="204">
        <f>IFERROR(VLOOKUP(Opv.kohd.[[#This Row],[Y-tunnus]],#REF!,COLUMN(#REF!),FALSE),0)</f>
        <v>0</v>
      </c>
      <c r="N162" s="204">
        <f>IFERROR(VLOOKUP(Opv.kohd.[[#This Row],[Y-tunnus]],#REF!,COLUMN(#REF!),FALSE),0)</f>
        <v>0</v>
      </c>
      <c r="O162" s="204">
        <f>IFERROR(VLOOKUP(Opv.kohd.[[#This Row],[Y-tunnus]],#REF!,COLUMN(#REF!),FALSE)+VLOOKUP(Opv.kohd.[[#This Row],[Y-tunnus]],#REF!,COLUMN(#REF!),FALSE),0)</f>
        <v>0</v>
      </c>
      <c r="P162" s="204">
        <f>Opv.kohd.[[#This Row],[Talousarvion perusteella kohdentamattomat]]+Opv.kohd.[[#This Row],[Talousarvion perusteella työvoimakoulutus 1]]+Opv.kohd.[[#This Row],[Lisätalousarvioiden perusteella]]</f>
        <v>0</v>
      </c>
      <c r="Q162" s="204">
        <f>IFERROR(VLOOKUP(Opv.kohd.[[#This Row],[Y-tunnus]],#REF!,COLUMN(#REF!),FALSE),0)</f>
        <v>0</v>
      </c>
      <c r="R162" s="210">
        <f>IFERROR(VLOOKUP(Opv.kohd.[[#This Row],[Y-tunnus]],#REF!,COLUMN(#REF!),FALSE)-(Opv.kohd.[[#This Row],[Kohdentamaton työvoima-koulutus 2]]+Opv.kohd.[[#This Row],[Maahan-muuttajien koulutus 2]]+Opv.kohd.[[#This Row],[Lisätalousarvioiden perusteella jaetut 2]]),0)</f>
        <v>0</v>
      </c>
      <c r="S162" s="210">
        <f>IFERROR(VLOOKUP(Opv.kohd.[[#This Row],[Y-tunnus]],#REF!,COLUMN(#REF!),FALSE)+VLOOKUP(Opv.kohd.[[#This Row],[Y-tunnus]],#REF!,COLUMN(#REF!),FALSE),0)</f>
        <v>0</v>
      </c>
      <c r="T162" s="210">
        <f>IFERROR(VLOOKUP(Opv.kohd.[[#This Row],[Y-tunnus]],#REF!,COLUMN(#REF!),FALSE)+VLOOKUP(Opv.kohd.[[#This Row],[Y-tunnus]],#REF!,COLUMN(#REF!),FALSE),0)</f>
        <v>0</v>
      </c>
      <c r="U16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62" s="210">
        <f>Opv.kohd.[[#This Row],[Kohdentamat-tomat 2]]+Opv.kohd.[[#This Row],[Kohdentamaton työvoima-koulutus 2]]+Opv.kohd.[[#This Row],[Maahan-muuttajien koulutus 2]]+Opv.kohd.[[#This Row],[Lisätalousarvioiden perusteella jaetut 2]]</f>
        <v>0</v>
      </c>
      <c r="W162" s="210">
        <f>Opv.kohd.[[#This Row],[Kohdentamat-tomat 2]]-(Opv.kohd.[[#This Row],[Järjestämisluvan mukaiset 1]]+Opv.kohd.[[#This Row],[Kohdentamat-tomat 1]]+Opv.kohd.[[#This Row],[Nuorisotyöt. väh. ja osaamistarp. vast., muu kuin työvoima-koulutus 1]]+Opv.kohd.[[#This Row],[Talousarvion perusteella kohdentamattomat]])</f>
        <v>0</v>
      </c>
      <c r="X162" s="210">
        <f>Opv.kohd.[[#This Row],[Kohdentamaton työvoima-koulutus 2]]-(Opv.kohd.[[#This Row],[Työvoima-koulutus 1]]+Opv.kohd.[[#This Row],[Nuorisotyöt. väh. ja osaamistarp. vast., työvoima-koulutus 1]]+Opv.kohd.[[#This Row],[Talousarvion perusteella työvoimakoulutus 1]])</f>
        <v>0</v>
      </c>
      <c r="Y162" s="210">
        <f>Opv.kohd.[[#This Row],[Maahan-muuttajien koulutus 2]]-Opv.kohd.[[#This Row],[Maahan-muuttajien koulutus 1]]</f>
        <v>0</v>
      </c>
      <c r="Z162" s="210">
        <f>Opv.kohd.[[#This Row],[Lisätalousarvioiden perusteella jaetut 2]]-Opv.kohd.[[#This Row],[Lisätalousarvioiden perusteella]]</f>
        <v>0</v>
      </c>
      <c r="AA162" s="210">
        <f>Opv.kohd.[[#This Row],[Toteutuneet opiskelijavuodet yhteensä 2]]-Opv.kohd.[[#This Row],[Vuoden 2018 tavoitteelliset opiskelijavuodet yhteensä 1]]</f>
        <v>0</v>
      </c>
      <c r="AB162" s="207">
        <f>IFERROR(VLOOKUP(Opv.kohd.[[#This Row],[Y-tunnus]],#REF!,3,FALSE),0)</f>
        <v>0</v>
      </c>
      <c r="AC162" s="207">
        <f>IFERROR(VLOOKUP(Opv.kohd.[[#This Row],[Y-tunnus]],#REF!,4,FALSE),0)</f>
        <v>0</v>
      </c>
      <c r="AD162" s="207">
        <f>IFERROR(VLOOKUP(Opv.kohd.[[#This Row],[Y-tunnus]],#REF!,5,FALSE),0)</f>
        <v>0</v>
      </c>
      <c r="AE162" s="207">
        <f>IFERROR(VLOOKUP(Opv.kohd.[[#This Row],[Y-tunnus]],#REF!,6,FALSE),0)</f>
        <v>0</v>
      </c>
      <c r="AF162" s="207">
        <f>IFERROR(VLOOKUP(Opv.kohd.[[#This Row],[Y-tunnus]],#REF!,7,FALSE),0)</f>
        <v>0</v>
      </c>
      <c r="AG162" s="207">
        <f>IFERROR(VLOOKUP(Opv.kohd.[[#This Row],[Y-tunnus]],#REF!,8,FALSE),0)</f>
        <v>0</v>
      </c>
      <c r="AH162" s="207">
        <f>IFERROR(VLOOKUP(Opv.kohd.[[#This Row],[Y-tunnus]],#REF!,9,FALSE),0)</f>
        <v>0</v>
      </c>
      <c r="AI162" s="207">
        <f>IFERROR(VLOOKUP(Opv.kohd.[[#This Row],[Y-tunnus]],#REF!,10,FALSE),0)</f>
        <v>0</v>
      </c>
      <c r="AJ162" s="204">
        <f>Opv.kohd.[[#This Row],[Järjestämisluvan mukaiset 4]]-Opv.kohd.[[#This Row],[Järjestämisluvan mukaiset 1]]</f>
        <v>0</v>
      </c>
      <c r="AK162" s="204">
        <f>Opv.kohd.[[#This Row],[Kohdentamat-tomat 4]]-Opv.kohd.[[#This Row],[Kohdentamat-tomat 1]]</f>
        <v>0</v>
      </c>
      <c r="AL162" s="204">
        <f>Opv.kohd.[[#This Row],[Työvoima-koulutus 4]]-Opv.kohd.[[#This Row],[Työvoima-koulutus 1]]</f>
        <v>0</v>
      </c>
      <c r="AM162" s="204">
        <f>Opv.kohd.[[#This Row],[Maahan-muuttajien koulutus 4]]-Opv.kohd.[[#This Row],[Maahan-muuttajien koulutus 1]]</f>
        <v>0</v>
      </c>
      <c r="AN162" s="204">
        <f>Opv.kohd.[[#This Row],[Nuorisotyöt. väh. ja osaamistarp. vast., muu kuin työvoima-koulutus 4]]-Opv.kohd.[[#This Row],[Nuorisotyöt. väh. ja osaamistarp. vast., muu kuin työvoima-koulutus 1]]</f>
        <v>0</v>
      </c>
      <c r="AO162" s="204">
        <f>Opv.kohd.[[#This Row],[Nuorisotyöt. väh. ja osaamistarp. vast., työvoima-koulutus 4]]-Opv.kohd.[[#This Row],[Nuorisotyöt. väh. ja osaamistarp. vast., työvoima-koulutus 1]]</f>
        <v>0</v>
      </c>
      <c r="AP162" s="204">
        <f>Opv.kohd.[[#This Row],[Yhteensä 4]]-Opv.kohd.[[#This Row],[Yhteensä  1]]</f>
        <v>0</v>
      </c>
      <c r="AQ162" s="204">
        <f>Opv.kohd.[[#This Row],[Ensikertaisella suoritepäätöksellä jaetut tavoitteelliset opiskelijavuodet yhteensä 4]]-Opv.kohd.[[#This Row],[Ensikertaisella suoritepäätöksellä jaetut tavoitteelliset opiskelijavuodet yhteensä 1]]</f>
        <v>0</v>
      </c>
      <c r="AR162" s="208">
        <f>IFERROR(Opv.kohd.[[#This Row],[Järjestämisluvan mukaiset 5]]/Opv.kohd.[[#This Row],[Järjestämisluvan mukaiset 4]],0)</f>
        <v>0</v>
      </c>
      <c r="AS162" s="208">
        <f>IFERROR(Opv.kohd.[[#This Row],[Kohdentamat-tomat 5]]/Opv.kohd.[[#This Row],[Kohdentamat-tomat 4]],0)</f>
        <v>0</v>
      </c>
      <c r="AT162" s="208">
        <f>IFERROR(Opv.kohd.[[#This Row],[Työvoima-koulutus 5]]/Opv.kohd.[[#This Row],[Työvoima-koulutus 4]],0)</f>
        <v>0</v>
      </c>
      <c r="AU162" s="208">
        <f>IFERROR(Opv.kohd.[[#This Row],[Maahan-muuttajien koulutus 5]]/Opv.kohd.[[#This Row],[Maahan-muuttajien koulutus 4]],0)</f>
        <v>0</v>
      </c>
      <c r="AV162" s="208">
        <f>IFERROR(Opv.kohd.[[#This Row],[Nuorisotyöt. väh. ja osaamistarp. vast., muu kuin työvoima-koulutus 5]]/Opv.kohd.[[#This Row],[Nuorisotyöt. väh. ja osaamistarp. vast., muu kuin työvoima-koulutus 4]],0)</f>
        <v>0</v>
      </c>
      <c r="AW162" s="208">
        <f>IFERROR(Opv.kohd.[[#This Row],[Nuorisotyöt. väh. ja osaamistarp. vast., työvoima-koulutus 5]]/Opv.kohd.[[#This Row],[Nuorisotyöt. väh. ja osaamistarp. vast., työvoima-koulutus 4]],0)</f>
        <v>0</v>
      </c>
      <c r="AX162" s="208">
        <f>IFERROR(Opv.kohd.[[#This Row],[Yhteensä 5]]/Opv.kohd.[[#This Row],[Yhteensä 4]],0)</f>
        <v>0</v>
      </c>
      <c r="AY162" s="208">
        <f>IFERROR(Opv.kohd.[[#This Row],[Ensikertaisella suoritepäätöksellä jaetut tavoitteelliset opiskelijavuodet yhteensä 5]]/Opv.kohd.[[#This Row],[Ensikertaisella suoritepäätöksellä jaetut tavoitteelliset opiskelijavuodet yhteensä 4]],0)</f>
        <v>0</v>
      </c>
      <c r="AZ162" s="207">
        <f>Opv.kohd.[[#This Row],[Yhteensä 7a]]-Opv.kohd.[[#This Row],[Työvoima-koulutus 7a]]</f>
        <v>0</v>
      </c>
      <c r="BA162" s="207">
        <f>IFERROR(VLOOKUP(Opv.kohd.[[#This Row],[Y-tunnus]],#REF!,COLUMN(#REF!),FALSE),0)</f>
        <v>0</v>
      </c>
      <c r="BB162" s="207">
        <f>IFERROR(VLOOKUP(Opv.kohd.[[#This Row],[Y-tunnus]],#REF!,COLUMN(#REF!),FALSE),0)</f>
        <v>0</v>
      </c>
      <c r="BC162" s="207">
        <f>Opv.kohd.[[#This Row],[Muu kuin työvoima-koulutus 7c]]-Opv.kohd.[[#This Row],[Muu kuin työvoima-koulutus 7a]]</f>
        <v>0</v>
      </c>
      <c r="BD162" s="207">
        <f>Opv.kohd.[[#This Row],[Työvoima-koulutus 7c]]-Opv.kohd.[[#This Row],[Työvoima-koulutus 7a]]</f>
        <v>0</v>
      </c>
      <c r="BE162" s="207">
        <f>Opv.kohd.[[#This Row],[Yhteensä 7c]]-Opv.kohd.[[#This Row],[Yhteensä 7a]]</f>
        <v>0</v>
      </c>
      <c r="BF162" s="207">
        <f>Opv.kohd.[[#This Row],[Yhteensä 7c]]-Opv.kohd.[[#This Row],[Työvoima-koulutus 7c]]</f>
        <v>0</v>
      </c>
      <c r="BG162" s="207">
        <f>IFERROR(VLOOKUP(Opv.kohd.[[#This Row],[Y-tunnus]],#REF!,COLUMN(#REF!),FALSE),0)</f>
        <v>0</v>
      </c>
      <c r="BH162" s="207">
        <f>IFERROR(VLOOKUP(Opv.kohd.[[#This Row],[Y-tunnus]],#REF!,COLUMN(#REF!),FALSE),0)</f>
        <v>0</v>
      </c>
      <c r="BI162" s="207">
        <f>IFERROR(VLOOKUP(Opv.kohd.[[#This Row],[Y-tunnus]],#REF!,COLUMN(#REF!),FALSE),0)</f>
        <v>0</v>
      </c>
      <c r="BJ162" s="207">
        <f>IFERROR(VLOOKUP(Opv.kohd.[[#This Row],[Y-tunnus]],#REF!,COLUMN(#REF!),FALSE),0)</f>
        <v>0</v>
      </c>
      <c r="BK162" s="207">
        <f>Opv.kohd.[[#This Row],[Muu kuin työvoima-koulutus 7d]]+Opv.kohd.[[#This Row],[Työvoima-koulutus 7d]]</f>
        <v>0</v>
      </c>
      <c r="BL162" s="207">
        <f>Opv.kohd.[[#This Row],[Muu kuin työvoima-koulutus 7c]]-Opv.kohd.[[#This Row],[Muu kuin työvoima-koulutus 7d]]</f>
        <v>0</v>
      </c>
      <c r="BM162" s="207">
        <f>Opv.kohd.[[#This Row],[Työvoima-koulutus 7c]]-Opv.kohd.[[#This Row],[Työvoima-koulutus 7d]]</f>
        <v>0</v>
      </c>
      <c r="BN162" s="207">
        <f>Opv.kohd.[[#This Row],[Yhteensä 7c]]-Opv.kohd.[[#This Row],[Yhteensä 7d]]</f>
        <v>0</v>
      </c>
      <c r="BO162" s="207">
        <f>Opv.kohd.[[#This Row],[Muu kuin työvoima-koulutus 7e]]-(Opv.kohd.[[#This Row],[Järjestämisluvan mukaiset 4]]+Opv.kohd.[[#This Row],[Kohdentamat-tomat 4]]+Opv.kohd.[[#This Row],[Maahan-muuttajien koulutus 4]]+Opv.kohd.[[#This Row],[Nuorisotyöt. väh. ja osaamistarp. vast., muu kuin työvoima-koulutus 4]])</f>
        <v>0</v>
      </c>
      <c r="BP162" s="207">
        <f>Opv.kohd.[[#This Row],[Työvoima-koulutus 7e]]-(Opv.kohd.[[#This Row],[Työvoima-koulutus 4]]+Opv.kohd.[[#This Row],[Nuorisotyöt. väh. ja osaamistarp. vast., työvoima-koulutus 4]])</f>
        <v>0</v>
      </c>
      <c r="BQ162" s="207">
        <f>Opv.kohd.[[#This Row],[Yhteensä 7e]]-Opv.kohd.[[#This Row],[Ensikertaisella suoritepäätöksellä jaetut tavoitteelliset opiskelijavuodet yhteensä 4]]</f>
        <v>0</v>
      </c>
      <c r="BR162" s="263">
        <v>0</v>
      </c>
      <c r="BS162" s="263">
        <v>0</v>
      </c>
      <c r="BT162" s="263">
        <v>0</v>
      </c>
      <c r="BU162" s="263">
        <v>0</v>
      </c>
      <c r="BV162" s="263">
        <v>0</v>
      </c>
      <c r="BW162" s="263">
        <v>0</v>
      </c>
      <c r="BX162" s="263">
        <v>0</v>
      </c>
      <c r="BY162" s="263">
        <v>0</v>
      </c>
      <c r="BZ162" s="207">
        <f t="shared" si="32"/>
        <v>0</v>
      </c>
      <c r="CA162" s="207">
        <f t="shared" si="33"/>
        <v>0</v>
      </c>
      <c r="CB162" s="207">
        <f t="shared" si="34"/>
        <v>0</v>
      </c>
      <c r="CC162" s="207">
        <f t="shared" si="35"/>
        <v>0</v>
      </c>
      <c r="CD162" s="207">
        <f t="shared" si="36"/>
        <v>0</v>
      </c>
      <c r="CE162" s="207">
        <f t="shared" si="37"/>
        <v>0</v>
      </c>
      <c r="CF162" s="207">
        <f t="shared" si="38"/>
        <v>0</v>
      </c>
      <c r="CG162" s="207">
        <f t="shared" si="39"/>
        <v>0</v>
      </c>
      <c r="CH162" s="207">
        <f>Opv.kohd.[[#This Row],[Tavoitteelliset opiskelijavuodet yhteensä 9]]-Opv.kohd.[[#This Row],[Työvoima-koulutus 9]]-Opv.kohd.[[#This Row],[Nuorisotyöt. väh. ja osaamistarp. vast., työvoima-koulutus 9]]-Opv.kohd.[[#This Row],[Muu kuin työvoima-koulutus 7e]]</f>
        <v>0</v>
      </c>
      <c r="CI162" s="207">
        <f>(Opv.kohd.[[#This Row],[Työvoima-koulutus 9]]+Opv.kohd.[[#This Row],[Nuorisotyöt. väh. ja osaamistarp. vast., työvoima-koulutus 9]])-Opv.kohd.[[#This Row],[Työvoima-koulutus 7e]]</f>
        <v>0</v>
      </c>
      <c r="CJ162" s="207">
        <f>Opv.kohd.[[#This Row],[Tavoitteelliset opiskelijavuodet yhteensä 9]]-Opv.kohd.[[#This Row],[Yhteensä 7e]]</f>
        <v>0</v>
      </c>
      <c r="CK162" s="207">
        <f>Opv.kohd.[[#This Row],[Järjestämisluvan mukaiset 4]]+Opv.kohd.[[#This Row],[Järjestämisluvan mukaiset 13]]</f>
        <v>0</v>
      </c>
      <c r="CL162" s="207">
        <f>Opv.kohd.[[#This Row],[Kohdentamat-tomat 4]]+Opv.kohd.[[#This Row],[Kohdentamat-tomat 13]]</f>
        <v>0</v>
      </c>
      <c r="CM162" s="207">
        <f>Opv.kohd.[[#This Row],[Työvoima-koulutus 4]]+Opv.kohd.[[#This Row],[Työvoima-koulutus 13]]</f>
        <v>0</v>
      </c>
      <c r="CN162" s="207">
        <f>Opv.kohd.[[#This Row],[Maahan-muuttajien koulutus 4]]+Opv.kohd.[[#This Row],[Maahan-muuttajien koulutus 13]]</f>
        <v>0</v>
      </c>
      <c r="CO162" s="207">
        <f>Opv.kohd.[[#This Row],[Nuorisotyöt. väh. ja osaamistarp. vast., muu kuin työvoima-koulutus 4]]+Opv.kohd.[[#This Row],[Nuorisotyöt. väh. ja osaamistarp. vast., muu kuin työvoima-koulutus 13]]</f>
        <v>0</v>
      </c>
      <c r="CP162" s="207">
        <f>Opv.kohd.[[#This Row],[Nuorisotyöt. väh. ja osaamistarp. vast., työvoima-koulutus 4]]+Opv.kohd.[[#This Row],[Nuorisotyöt. väh. ja osaamistarp. vast., työvoima-koulutus 13]]</f>
        <v>0</v>
      </c>
      <c r="CQ162" s="207">
        <f>Opv.kohd.[[#This Row],[Yhteensä 4]]+Opv.kohd.[[#This Row],[Yhteensä 13]]</f>
        <v>0</v>
      </c>
      <c r="CR162" s="207">
        <f>Opv.kohd.[[#This Row],[Ensikertaisella suoritepäätöksellä jaetut tavoitteelliset opiskelijavuodet yhteensä 4]]+Opv.kohd.[[#This Row],[Tavoitteelliset opiskelijavuodet yhteensä 13]]</f>
        <v>0</v>
      </c>
      <c r="CS162" s="120">
        <v>0</v>
      </c>
      <c r="CT162" s="120">
        <v>0</v>
      </c>
      <c r="CU162" s="120">
        <v>0</v>
      </c>
      <c r="CV162" s="120">
        <v>0</v>
      </c>
      <c r="CW162" s="120">
        <v>0</v>
      </c>
      <c r="CX162" s="120">
        <v>0</v>
      </c>
      <c r="CY162" s="120">
        <v>0</v>
      </c>
      <c r="CZ162" s="120">
        <v>0</v>
      </c>
      <c r="DA162" s="209">
        <f>IFERROR(Opv.kohd.[[#This Row],[Järjestämisluvan mukaiset 13]]/Opv.kohd.[[#This Row],[Järjestämisluvan mukaiset 12]],0)</f>
        <v>0</v>
      </c>
      <c r="DB162" s="209">
        <f>IFERROR(Opv.kohd.[[#This Row],[Kohdentamat-tomat 13]]/Opv.kohd.[[#This Row],[Kohdentamat-tomat 12]],0)</f>
        <v>0</v>
      </c>
      <c r="DC162" s="209">
        <f>IFERROR(Opv.kohd.[[#This Row],[Työvoima-koulutus 13]]/Opv.kohd.[[#This Row],[Työvoima-koulutus 12]],0)</f>
        <v>0</v>
      </c>
      <c r="DD162" s="209">
        <f>IFERROR(Opv.kohd.[[#This Row],[Maahan-muuttajien koulutus 13]]/Opv.kohd.[[#This Row],[Maahan-muuttajien koulutus 12]],0)</f>
        <v>0</v>
      </c>
      <c r="DE162" s="209">
        <f>IFERROR(Opv.kohd.[[#This Row],[Nuorisotyöt. väh. ja osaamistarp. vast., muu kuin työvoima-koulutus 13]]/Opv.kohd.[[#This Row],[Nuorisotyöt. väh. ja osaamistarp. vast., muu kuin työvoima-koulutus 12]],0)</f>
        <v>0</v>
      </c>
      <c r="DF162" s="209">
        <f>IFERROR(Opv.kohd.[[#This Row],[Nuorisotyöt. väh. ja osaamistarp. vast., työvoima-koulutus 13]]/Opv.kohd.[[#This Row],[Nuorisotyöt. väh. ja osaamistarp. vast., työvoima-koulutus 12]],0)</f>
        <v>0</v>
      </c>
      <c r="DG162" s="209">
        <f>IFERROR(Opv.kohd.[[#This Row],[Yhteensä 13]]/Opv.kohd.[[#This Row],[Yhteensä 12]],0)</f>
        <v>0</v>
      </c>
      <c r="DH162" s="209">
        <f>IFERROR(Opv.kohd.[[#This Row],[Tavoitteelliset opiskelijavuodet yhteensä 13]]/Opv.kohd.[[#This Row],[Tavoitteelliset opiskelijavuodet yhteensä 12]],0)</f>
        <v>0</v>
      </c>
      <c r="DI162" s="207">
        <f>Opv.kohd.[[#This Row],[Järjestämisluvan mukaiset 12]]-Opv.kohd.[[#This Row],[Järjestämisluvan mukaiset 9]]</f>
        <v>0</v>
      </c>
      <c r="DJ162" s="207">
        <f>Opv.kohd.[[#This Row],[Kohdentamat-tomat 12]]-Opv.kohd.[[#This Row],[Kohdentamat-tomat 9]]</f>
        <v>0</v>
      </c>
      <c r="DK162" s="207">
        <f>Opv.kohd.[[#This Row],[Työvoima-koulutus 12]]-Opv.kohd.[[#This Row],[Työvoima-koulutus 9]]</f>
        <v>0</v>
      </c>
      <c r="DL162" s="207">
        <f>Opv.kohd.[[#This Row],[Maahan-muuttajien koulutus 12]]-Opv.kohd.[[#This Row],[Maahan-muuttajien koulutus 9]]</f>
        <v>0</v>
      </c>
      <c r="DM162" s="207">
        <f>Opv.kohd.[[#This Row],[Nuorisotyöt. väh. ja osaamistarp. vast., muu kuin työvoima-koulutus 12]]-Opv.kohd.[[#This Row],[Nuorisotyöt. väh. ja osaamistarp. vast., muu kuin työvoima-koulutus 9]]</f>
        <v>0</v>
      </c>
      <c r="DN162" s="207">
        <f>Opv.kohd.[[#This Row],[Nuorisotyöt. väh. ja osaamistarp. vast., työvoima-koulutus 12]]-Opv.kohd.[[#This Row],[Nuorisotyöt. väh. ja osaamistarp. vast., työvoima-koulutus 9]]</f>
        <v>0</v>
      </c>
      <c r="DO162" s="207">
        <f>Opv.kohd.[[#This Row],[Yhteensä 12]]-Opv.kohd.[[#This Row],[Yhteensä 9]]</f>
        <v>0</v>
      </c>
      <c r="DP162" s="207">
        <f>Opv.kohd.[[#This Row],[Tavoitteelliset opiskelijavuodet yhteensä 12]]-Opv.kohd.[[#This Row],[Tavoitteelliset opiskelijavuodet yhteensä 9]]</f>
        <v>0</v>
      </c>
      <c r="DQ162" s="209">
        <f>IFERROR(Opv.kohd.[[#This Row],[Järjestämisluvan mukaiset 15]]/Opv.kohd.[[#This Row],[Järjestämisluvan mukaiset 9]],0)</f>
        <v>0</v>
      </c>
      <c r="DR162" s="209">
        <f t="shared" si="40"/>
        <v>0</v>
      </c>
      <c r="DS162" s="209">
        <f t="shared" si="41"/>
        <v>0</v>
      </c>
      <c r="DT162" s="209">
        <f t="shared" si="42"/>
        <v>0</v>
      </c>
      <c r="DU162" s="209">
        <f t="shared" si="43"/>
        <v>0</v>
      </c>
      <c r="DV162" s="209">
        <f t="shared" si="44"/>
        <v>0</v>
      </c>
      <c r="DW162" s="209">
        <f t="shared" si="45"/>
        <v>0</v>
      </c>
      <c r="DX162" s="209">
        <f t="shared" si="46"/>
        <v>0</v>
      </c>
    </row>
    <row r="163" spans="1:128" x14ac:dyDescent="0.25">
      <c r="A163" s="204" t="e">
        <f>IF(INDEX(#REF!,ROW(163:163)-1,1)=0,"",INDEX(#REF!,ROW(163:163)-1,1))</f>
        <v>#REF!</v>
      </c>
      <c r="B163" s="205" t="str">
        <f>IFERROR(VLOOKUP(Opv.kohd.[[#This Row],[Y-tunnus]],'0 Järjestäjätiedot'!$A:$H,2,FALSE),"")</f>
        <v/>
      </c>
      <c r="C163" s="204" t="str">
        <f>IFERROR(VLOOKUP(Opv.kohd.[[#This Row],[Y-tunnus]],'0 Järjestäjätiedot'!$A:$H,COLUMN('0 Järjestäjätiedot'!D:D),FALSE),"")</f>
        <v/>
      </c>
      <c r="D163" s="204" t="str">
        <f>IFERROR(VLOOKUP(Opv.kohd.[[#This Row],[Y-tunnus]],'0 Järjestäjätiedot'!$A:$H,COLUMN('0 Järjestäjätiedot'!H:H),FALSE),"")</f>
        <v/>
      </c>
      <c r="E163" s="204">
        <f>IFERROR(VLOOKUP(Opv.kohd.[[#This Row],[Y-tunnus]],#REF!,COLUMN(#REF!),FALSE),0)</f>
        <v>0</v>
      </c>
      <c r="F163" s="204">
        <f>IFERROR(VLOOKUP(Opv.kohd.[[#This Row],[Y-tunnus]],#REF!,COLUMN(#REF!),FALSE),0)</f>
        <v>0</v>
      </c>
      <c r="G163" s="204">
        <f>IFERROR(VLOOKUP(Opv.kohd.[[#This Row],[Y-tunnus]],#REF!,COLUMN(#REF!),FALSE),0)</f>
        <v>0</v>
      </c>
      <c r="H163" s="204">
        <f>IFERROR(VLOOKUP(Opv.kohd.[[#This Row],[Y-tunnus]],#REF!,COLUMN(#REF!),FALSE),0)</f>
        <v>0</v>
      </c>
      <c r="I163" s="204">
        <f>IFERROR(VLOOKUP(Opv.kohd.[[#This Row],[Y-tunnus]],#REF!,COLUMN(#REF!),FALSE),0)</f>
        <v>0</v>
      </c>
      <c r="J163" s="204">
        <f>IFERROR(VLOOKUP(Opv.kohd.[[#This Row],[Y-tunnus]],#REF!,COLUMN(#REF!),FALSE),0)</f>
        <v>0</v>
      </c>
      <c r="K16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63" s="204">
        <f>Opv.kohd.[[#This Row],[Järjestämisluvan mukaiset 1]]+Opv.kohd.[[#This Row],[Yhteensä  1]]</f>
        <v>0</v>
      </c>
      <c r="M163" s="204">
        <f>IFERROR(VLOOKUP(Opv.kohd.[[#This Row],[Y-tunnus]],#REF!,COLUMN(#REF!),FALSE),0)</f>
        <v>0</v>
      </c>
      <c r="N163" s="204">
        <f>IFERROR(VLOOKUP(Opv.kohd.[[#This Row],[Y-tunnus]],#REF!,COLUMN(#REF!),FALSE),0)</f>
        <v>0</v>
      </c>
      <c r="O163" s="204">
        <f>IFERROR(VLOOKUP(Opv.kohd.[[#This Row],[Y-tunnus]],#REF!,COLUMN(#REF!),FALSE)+VLOOKUP(Opv.kohd.[[#This Row],[Y-tunnus]],#REF!,COLUMN(#REF!),FALSE),0)</f>
        <v>0</v>
      </c>
      <c r="P163" s="204">
        <f>Opv.kohd.[[#This Row],[Talousarvion perusteella kohdentamattomat]]+Opv.kohd.[[#This Row],[Talousarvion perusteella työvoimakoulutus 1]]+Opv.kohd.[[#This Row],[Lisätalousarvioiden perusteella]]</f>
        <v>0</v>
      </c>
      <c r="Q163" s="204">
        <f>IFERROR(VLOOKUP(Opv.kohd.[[#This Row],[Y-tunnus]],#REF!,COLUMN(#REF!),FALSE),0)</f>
        <v>0</v>
      </c>
      <c r="R163" s="210">
        <f>IFERROR(VLOOKUP(Opv.kohd.[[#This Row],[Y-tunnus]],#REF!,COLUMN(#REF!),FALSE)-(Opv.kohd.[[#This Row],[Kohdentamaton työvoima-koulutus 2]]+Opv.kohd.[[#This Row],[Maahan-muuttajien koulutus 2]]+Opv.kohd.[[#This Row],[Lisätalousarvioiden perusteella jaetut 2]]),0)</f>
        <v>0</v>
      </c>
      <c r="S163" s="210">
        <f>IFERROR(VLOOKUP(Opv.kohd.[[#This Row],[Y-tunnus]],#REF!,COLUMN(#REF!),FALSE)+VLOOKUP(Opv.kohd.[[#This Row],[Y-tunnus]],#REF!,COLUMN(#REF!),FALSE),0)</f>
        <v>0</v>
      </c>
      <c r="T163" s="210">
        <f>IFERROR(VLOOKUP(Opv.kohd.[[#This Row],[Y-tunnus]],#REF!,COLUMN(#REF!),FALSE)+VLOOKUP(Opv.kohd.[[#This Row],[Y-tunnus]],#REF!,COLUMN(#REF!),FALSE),0)</f>
        <v>0</v>
      </c>
      <c r="U16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63" s="210">
        <f>Opv.kohd.[[#This Row],[Kohdentamat-tomat 2]]+Opv.kohd.[[#This Row],[Kohdentamaton työvoima-koulutus 2]]+Opv.kohd.[[#This Row],[Maahan-muuttajien koulutus 2]]+Opv.kohd.[[#This Row],[Lisätalousarvioiden perusteella jaetut 2]]</f>
        <v>0</v>
      </c>
      <c r="W163" s="210">
        <f>Opv.kohd.[[#This Row],[Kohdentamat-tomat 2]]-(Opv.kohd.[[#This Row],[Järjestämisluvan mukaiset 1]]+Opv.kohd.[[#This Row],[Kohdentamat-tomat 1]]+Opv.kohd.[[#This Row],[Nuorisotyöt. väh. ja osaamistarp. vast., muu kuin työvoima-koulutus 1]]+Opv.kohd.[[#This Row],[Talousarvion perusteella kohdentamattomat]])</f>
        <v>0</v>
      </c>
      <c r="X163" s="210">
        <f>Opv.kohd.[[#This Row],[Kohdentamaton työvoima-koulutus 2]]-(Opv.kohd.[[#This Row],[Työvoima-koulutus 1]]+Opv.kohd.[[#This Row],[Nuorisotyöt. väh. ja osaamistarp. vast., työvoima-koulutus 1]]+Opv.kohd.[[#This Row],[Talousarvion perusteella työvoimakoulutus 1]])</f>
        <v>0</v>
      </c>
      <c r="Y163" s="210">
        <f>Opv.kohd.[[#This Row],[Maahan-muuttajien koulutus 2]]-Opv.kohd.[[#This Row],[Maahan-muuttajien koulutus 1]]</f>
        <v>0</v>
      </c>
      <c r="Z163" s="210">
        <f>Opv.kohd.[[#This Row],[Lisätalousarvioiden perusteella jaetut 2]]-Opv.kohd.[[#This Row],[Lisätalousarvioiden perusteella]]</f>
        <v>0</v>
      </c>
      <c r="AA163" s="210">
        <f>Opv.kohd.[[#This Row],[Toteutuneet opiskelijavuodet yhteensä 2]]-Opv.kohd.[[#This Row],[Vuoden 2018 tavoitteelliset opiskelijavuodet yhteensä 1]]</f>
        <v>0</v>
      </c>
      <c r="AB163" s="207">
        <f>IFERROR(VLOOKUP(Opv.kohd.[[#This Row],[Y-tunnus]],#REF!,3,FALSE),0)</f>
        <v>0</v>
      </c>
      <c r="AC163" s="207">
        <f>IFERROR(VLOOKUP(Opv.kohd.[[#This Row],[Y-tunnus]],#REF!,4,FALSE),0)</f>
        <v>0</v>
      </c>
      <c r="AD163" s="207">
        <f>IFERROR(VLOOKUP(Opv.kohd.[[#This Row],[Y-tunnus]],#REF!,5,FALSE),0)</f>
        <v>0</v>
      </c>
      <c r="AE163" s="207">
        <f>IFERROR(VLOOKUP(Opv.kohd.[[#This Row],[Y-tunnus]],#REF!,6,FALSE),0)</f>
        <v>0</v>
      </c>
      <c r="AF163" s="207">
        <f>IFERROR(VLOOKUP(Opv.kohd.[[#This Row],[Y-tunnus]],#REF!,7,FALSE),0)</f>
        <v>0</v>
      </c>
      <c r="AG163" s="207">
        <f>IFERROR(VLOOKUP(Opv.kohd.[[#This Row],[Y-tunnus]],#REF!,8,FALSE),0)</f>
        <v>0</v>
      </c>
      <c r="AH163" s="207">
        <f>IFERROR(VLOOKUP(Opv.kohd.[[#This Row],[Y-tunnus]],#REF!,9,FALSE),0)</f>
        <v>0</v>
      </c>
      <c r="AI163" s="207">
        <f>IFERROR(VLOOKUP(Opv.kohd.[[#This Row],[Y-tunnus]],#REF!,10,FALSE),0)</f>
        <v>0</v>
      </c>
      <c r="AJ163" s="204">
        <f>Opv.kohd.[[#This Row],[Järjestämisluvan mukaiset 4]]-Opv.kohd.[[#This Row],[Järjestämisluvan mukaiset 1]]</f>
        <v>0</v>
      </c>
      <c r="AK163" s="204">
        <f>Opv.kohd.[[#This Row],[Kohdentamat-tomat 4]]-Opv.kohd.[[#This Row],[Kohdentamat-tomat 1]]</f>
        <v>0</v>
      </c>
      <c r="AL163" s="204">
        <f>Opv.kohd.[[#This Row],[Työvoima-koulutus 4]]-Opv.kohd.[[#This Row],[Työvoima-koulutus 1]]</f>
        <v>0</v>
      </c>
      <c r="AM163" s="204">
        <f>Opv.kohd.[[#This Row],[Maahan-muuttajien koulutus 4]]-Opv.kohd.[[#This Row],[Maahan-muuttajien koulutus 1]]</f>
        <v>0</v>
      </c>
      <c r="AN163" s="204">
        <f>Opv.kohd.[[#This Row],[Nuorisotyöt. väh. ja osaamistarp. vast., muu kuin työvoima-koulutus 4]]-Opv.kohd.[[#This Row],[Nuorisotyöt. väh. ja osaamistarp. vast., muu kuin työvoima-koulutus 1]]</f>
        <v>0</v>
      </c>
      <c r="AO163" s="204">
        <f>Opv.kohd.[[#This Row],[Nuorisotyöt. väh. ja osaamistarp. vast., työvoima-koulutus 4]]-Opv.kohd.[[#This Row],[Nuorisotyöt. väh. ja osaamistarp. vast., työvoima-koulutus 1]]</f>
        <v>0</v>
      </c>
      <c r="AP163" s="204">
        <f>Opv.kohd.[[#This Row],[Yhteensä 4]]-Opv.kohd.[[#This Row],[Yhteensä  1]]</f>
        <v>0</v>
      </c>
      <c r="AQ163" s="204">
        <f>Opv.kohd.[[#This Row],[Ensikertaisella suoritepäätöksellä jaetut tavoitteelliset opiskelijavuodet yhteensä 4]]-Opv.kohd.[[#This Row],[Ensikertaisella suoritepäätöksellä jaetut tavoitteelliset opiskelijavuodet yhteensä 1]]</f>
        <v>0</v>
      </c>
      <c r="AR163" s="208">
        <f>IFERROR(Opv.kohd.[[#This Row],[Järjestämisluvan mukaiset 5]]/Opv.kohd.[[#This Row],[Järjestämisluvan mukaiset 4]],0)</f>
        <v>0</v>
      </c>
      <c r="AS163" s="208">
        <f>IFERROR(Opv.kohd.[[#This Row],[Kohdentamat-tomat 5]]/Opv.kohd.[[#This Row],[Kohdentamat-tomat 4]],0)</f>
        <v>0</v>
      </c>
      <c r="AT163" s="208">
        <f>IFERROR(Opv.kohd.[[#This Row],[Työvoima-koulutus 5]]/Opv.kohd.[[#This Row],[Työvoima-koulutus 4]],0)</f>
        <v>0</v>
      </c>
      <c r="AU163" s="208">
        <f>IFERROR(Opv.kohd.[[#This Row],[Maahan-muuttajien koulutus 5]]/Opv.kohd.[[#This Row],[Maahan-muuttajien koulutus 4]],0)</f>
        <v>0</v>
      </c>
      <c r="AV163" s="208">
        <f>IFERROR(Opv.kohd.[[#This Row],[Nuorisotyöt. väh. ja osaamistarp. vast., muu kuin työvoima-koulutus 5]]/Opv.kohd.[[#This Row],[Nuorisotyöt. väh. ja osaamistarp. vast., muu kuin työvoima-koulutus 4]],0)</f>
        <v>0</v>
      </c>
      <c r="AW163" s="208">
        <f>IFERROR(Opv.kohd.[[#This Row],[Nuorisotyöt. väh. ja osaamistarp. vast., työvoima-koulutus 5]]/Opv.kohd.[[#This Row],[Nuorisotyöt. väh. ja osaamistarp. vast., työvoima-koulutus 4]],0)</f>
        <v>0</v>
      </c>
      <c r="AX163" s="208">
        <f>IFERROR(Opv.kohd.[[#This Row],[Yhteensä 5]]/Opv.kohd.[[#This Row],[Yhteensä 4]],0)</f>
        <v>0</v>
      </c>
      <c r="AY163" s="208">
        <f>IFERROR(Opv.kohd.[[#This Row],[Ensikertaisella suoritepäätöksellä jaetut tavoitteelliset opiskelijavuodet yhteensä 5]]/Opv.kohd.[[#This Row],[Ensikertaisella suoritepäätöksellä jaetut tavoitteelliset opiskelijavuodet yhteensä 4]],0)</f>
        <v>0</v>
      </c>
      <c r="AZ163" s="207">
        <f>Opv.kohd.[[#This Row],[Yhteensä 7a]]-Opv.kohd.[[#This Row],[Työvoima-koulutus 7a]]</f>
        <v>0</v>
      </c>
      <c r="BA163" s="207">
        <f>IFERROR(VLOOKUP(Opv.kohd.[[#This Row],[Y-tunnus]],#REF!,COLUMN(#REF!),FALSE),0)</f>
        <v>0</v>
      </c>
      <c r="BB163" s="207">
        <f>IFERROR(VLOOKUP(Opv.kohd.[[#This Row],[Y-tunnus]],#REF!,COLUMN(#REF!),FALSE),0)</f>
        <v>0</v>
      </c>
      <c r="BC163" s="207">
        <f>Opv.kohd.[[#This Row],[Muu kuin työvoima-koulutus 7c]]-Opv.kohd.[[#This Row],[Muu kuin työvoima-koulutus 7a]]</f>
        <v>0</v>
      </c>
      <c r="BD163" s="207">
        <f>Opv.kohd.[[#This Row],[Työvoima-koulutus 7c]]-Opv.kohd.[[#This Row],[Työvoima-koulutus 7a]]</f>
        <v>0</v>
      </c>
      <c r="BE163" s="207">
        <f>Opv.kohd.[[#This Row],[Yhteensä 7c]]-Opv.kohd.[[#This Row],[Yhteensä 7a]]</f>
        <v>0</v>
      </c>
      <c r="BF163" s="207">
        <f>Opv.kohd.[[#This Row],[Yhteensä 7c]]-Opv.kohd.[[#This Row],[Työvoima-koulutus 7c]]</f>
        <v>0</v>
      </c>
      <c r="BG163" s="207">
        <f>IFERROR(VLOOKUP(Opv.kohd.[[#This Row],[Y-tunnus]],#REF!,COLUMN(#REF!),FALSE),0)</f>
        <v>0</v>
      </c>
      <c r="BH163" s="207">
        <f>IFERROR(VLOOKUP(Opv.kohd.[[#This Row],[Y-tunnus]],#REF!,COLUMN(#REF!),FALSE),0)</f>
        <v>0</v>
      </c>
      <c r="BI163" s="207">
        <f>IFERROR(VLOOKUP(Opv.kohd.[[#This Row],[Y-tunnus]],#REF!,COLUMN(#REF!),FALSE),0)</f>
        <v>0</v>
      </c>
      <c r="BJ163" s="207">
        <f>IFERROR(VLOOKUP(Opv.kohd.[[#This Row],[Y-tunnus]],#REF!,COLUMN(#REF!),FALSE),0)</f>
        <v>0</v>
      </c>
      <c r="BK163" s="207">
        <f>Opv.kohd.[[#This Row],[Muu kuin työvoima-koulutus 7d]]+Opv.kohd.[[#This Row],[Työvoima-koulutus 7d]]</f>
        <v>0</v>
      </c>
      <c r="BL163" s="207">
        <f>Opv.kohd.[[#This Row],[Muu kuin työvoima-koulutus 7c]]-Opv.kohd.[[#This Row],[Muu kuin työvoima-koulutus 7d]]</f>
        <v>0</v>
      </c>
      <c r="BM163" s="207">
        <f>Opv.kohd.[[#This Row],[Työvoima-koulutus 7c]]-Opv.kohd.[[#This Row],[Työvoima-koulutus 7d]]</f>
        <v>0</v>
      </c>
      <c r="BN163" s="207">
        <f>Opv.kohd.[[#This Row],[Yhteensä 7c]]-Opv.kohd.[[#This Row],[Yhteensä 7d]]</f>
        <v>0</v>
      </c>
      <c r="BO163" s="207">
        <f>Opv.kohd.[[#This Row],[Muu kuin työvoima-koulutus 7e]]-(Opv.kohd.[[#This Row],[Järjestämisluvan mukaiset 4]]+Opv.kohd.[[#This Row],[Kohdentamat-tomat 4]]+Opv.kohd.[[#This Row],[Maahan-muuttajien koulutus 4]]+Opv.kohd.[[#This Row],[Nuorisotyöt. väh. ja osaamistarp. vast., muu kuin työvoima-koulutus 4]])</f>
        <v>0</v>
      </c>
      <c r="BP163" s="207">
        <f>Opv.kohd.[[#This Row],[Työvoima-koulutus 7e]]-(Opv.kohd.[[#This Row],[Työvoima-koulutus 4]]+Opv.kohd.[[#This Row],[Nuorisotyöt. väh. ja osaamistarp. vast., työvoima-koulutus 4]])</f>
        <v>0</v>
      </c>
      <c r="BQ163" s="207">
        <f>Opv.kohd.[[#This Row],[Yhteensä 7e]]-Opv.kohd.[[#This Row],[Ensikertaisella suoritepäätöksellä jaetut tavoitteelliset opiskelijavuodet yhteensä 4]]</f>
        <v>0</v>
      </c>
      <c r="BR163" s="263">
        <v>0</v>
      </c>
      <c r="BS163" s="263">
        <v>55</v>
      </c>
      <c r="BT163" s="263">
        <v>0</v>
      </c>
      <c r="BU163" s="263">
        <v>0</v>
      </c>
      <c r="BV163" s="263">
        <v>0</v>
      </c>
      <c r="BW163" s="263">
        <v>0</v>
      </c>
      <c r="BX163" s="263">
        <v>55</v>
      </c>
      <c r="BY163" s="263">
        <v>55</v>
      </c>
      <c r="BZ163" s="207">
        <f t="shared" si="32"/>
        <v>0</v>
      </c>
      <c r="CA163" s="207">
        <f t="shared" si="33"/>
        <v>55</v>
      </c>
      <c r="CB163" s="207">
        <f t="shared" si="34"/>
        <v>0</v>
      </c>
      <c r="CC163" s="207">
        <f t="shared" si="35"/>
        <v>0</v>
      </c>
      <c r="CD163" s="207">
        <f t="shared" si="36"/>
        <v>0</v>
      </c>
      <c r="CE163" s="207">
        <f t="shared" si="37"/>
        <v>0</v>
      </c>
      <c r="CF163" s="207">
        <f t="shared" si="38"/>
        <v>55</v>
      </c>
      <c r="CG163" s="207">
        <f t="shared" si="39"/>
        <v>55</v>
      </c>
      <c r="CH163" s="207">
        <f>Opv.kohd.[[#This Row],[Tavoitteelliset opiskelijavuodet yhteensä 9]]-Opv.kohd.[[#This Row],[Työvoima-koulutus 9]]-Opv.kohd.[[#This Row],[Nuorisotyöt. väh. ja osaamistarp. vast., työvoima-koulutus 9]]-Opv.kohd.[[#This Row],[Muu kuin työvoima-koulutus 7e]]</f>
        <v>55</v>
      </c>
      <c r="CI163" s="207">
        <f>(Opv.kohd.[[#This Row],[Työvoima-koulutus 9]]+Opv.kohd.[[#This Row],[Nuorisotyöt. väh. ja osaamistarp. vast., työvoima-koulutus 9]])-Opv.kohd.[[#This Row],[Työvoima-koulutus 7e]]</f>
        <v>0</v>
      </c>
      <c r="CJ163" s="207">
        <f>Opv.kohd.[[#This Row],[Tavoitteelliset opiskelijavuodet yhteensä 9]]-Opv.kohd.[[#This Row],[Yhteensä 7e]]</f>
        <v>55</v>
      </c>
      <c r="CK163" s="207">
        <f>Opv.kohd.[[#This Row],[Järjestämisluvan mukaiset 4]]+Opv.kohd.[[#This Row],[Järjestämisluvan mukaiset 13]]</f>
        <v>0</v>
      </c>
      <c r="CL163" s="207">
        <f>Opv.kohd.[[#This Row],[Kohdentamat-tomat 4]]+Opv.kohd.[[#This Row],[Kohdentamat-tomat 13]]</f>
        <v>0</v>
      </c>
      <c r="CM163" s="207">
        <f>Opv.kohd.[[#This Row],[Työvoima-koulutus 4]]+Opv.kohd.[[#This Row],[Työvoima-koulutus 13]]</f>
        <v>0</v>
      </c>
      <c r="CN163" s="207">
        <f>Opv.kohd.[[#This Row],[Maahan-muuttajien koulutus 4]]+Opv.kohd.[[#This Row],[Maahan-muuttajien koulutus 13]]</f>
        <v>0</v>
      </c>
      <c r="CO163" s="207">
        <f>Opv.kohd.[[#This Row],[Nuorisotyöt. väh. ja osaamistarp. vast., muu kuin työvoima-koulutus 4]]+Opv.kohd.[[#This Row],[Nuorisotyöt. väh. ja osaamistarp. vast., muu kuin työvoima-koulutus 13]]</f>
        <v>0</v>
      </c>
      <c r="CP163" s="207">
        <f>Opv.kohd.[[#This Row],[Nuorisotyöt. väh. ja osaamistarp. vast., työvoima-koulutus 4]]+Opv.kohd.[[#This Row],[Nuorisotyöt. väh. ja osaamistarp. vast., työvoima-koulutus 13]]</f>
        <v>0</v>
      </c>
      <c r="CQ163" s="207">
        <f>Opv.kohd.[[#This Row],[Yhteensä 4]]+Opv.kohd.[[#This Row],[Yhteensä 13]]</f>
        <v>0</v>
      </c>
      <c r="CR163" s="207">
        <f>Opv.kohd.[[#This Row],[Ensikertaisella suoritepäätöksellä jaetut tavoitteelliset opiskelijavuodet yhteensä 4]]+Opv.kohd.[[#This Row],[Tavoitteelliset opiskelijavuodet yhteensä 13]]</f>
        <v>0</v>
      </c>
      <c r="CS163" s="120">
        <v>0</v>
      </c>
      <c r="CT163" s="120">
        <v>0</v>
      </c>
      <c r="CU163" s="120">
        <v>0</v>
      </c>
      <c r="CV163" s="120">
        <v>0</v>
      </c>
      <c r="CW163" s="120">
        <v>0</v>
      </c>
      <c r="CX163" s="120">
        <v>0</v>
      </c>
      <c r="CY163" s="120">
        <v>0</v>
      </c>
      <c r="CZ163" s="120">
        <v>0</v>
      </c>
      <c r="DA163" s="209">
        <f>IFERROR(Opv.kohd.[[#This Row],[Järjestämisluvan mukaiset 13]]/Opv.kohd.[[#This Row],[Järjestämisluvan mukaiset 12]],0)</f>
        <v>0</v>
      </c>
      <c r="DB163" s="209">
        <f>IFERROR(Opv.kohd.[[#This Row],[Kohdentamat-tomat 13]]/Opv.kohd.[[#This Row],[Kohdentamat-tomat 12]],0)</f>
        <v>0</v>
      </c>
      <c r="DC163" s="209">
        <f>IFERROR(Opv.kohd.[[#This Row],[Työvoima-koulutus 13]]/Opv.kohd.[[#This Row],[Työvoima-koulutus 12]],0)</f>
        <v>0</v>
      </c>
      <c r="DD163" s="209">
        <f>IFERROR(Opv.kohd.[[#This Row],[Maahan-muuttajien koulutus 13]]/Opv.kohd.[[#This Row],[Maahan-muuttajien koulutus 12]],0)</f>
        <v>0</v>
      </c>
      <c r="DE163" s="209">
        <f>IFERROR(Opv.kohd.[[#This Row],[Nuorisotyöt. väh. ja osaamistarp. vast., muu kuin työvoima-koulutus 13]]/Opv.kohd.[[#This Row],[Nuorisotyöt. väh. ja osaamistarp. vast., muu kuin työvoima-koulutus 12]],0)</f>
        <v>0</v>
      </c>
      <c r="DF163" s="209">
        <f>IFERROR(Opv.kohd.[[#This Row],[Nuorisotyöt. väh. ja osaamistarp. vast., työvoima-koulutus 13]]/Opv.kohd.[[#This Row],[Nuorisotyöt. väh. ja osaamistarp. vast., työvoima-koulutus 12]],0)</f>
        <v>0</v>
      </c>
      <c r="DG163" s="209">
        <f>IFERROR(Opv.kohd.[[#This Row],[Yhteensä 13]]/Opv.kohd.[[#This Row],[Yhteensä 12]],0)</f>
        <v>0</v>
      </c>
      <c r="DH163" s="209">
        <f>IFERROR(Opv.kohd.[[#This Row],[Tavoitteelliset opiskelijavuodet yhteensä 13]]/Opv.kohd.[[#This Row],[Tavoitteelliset opiskelijavuodet yhteensä 12]],0)</f>
        <v>0</v>
      </c>
      <c r="DI163" s="207">
        <f>Opv.kohd.[[#This Row],[Järjestämisluvan mukaiset 12]]-Opv.kohd.[[#This Row],[Järjestämisluvan mukaiset 9]]</f>
        <v>0</v>
      </c>
      <c r="DJ163" s="207">
        <f>Opv.kohd.[[#This Row],[Kohdentamat-tomat 12]]-Opv.kohd.[[#This Row],[Kohdentamat-tomat 9]]</f>
        <v>-55</v>
      </c>
      <c r="DK163" s="207">
        <f>Opv.kohd.[[#This Row],[Työvoima-koulutus 12]]-Opv.kohd.[[#This Row],[Työvoima-koulutus 9]]</f>
        <v>0</v>
      </c>
      <c r="DL163" s="207">
        <f>Opv.kohd.[[#This Row],[Maahan-muuttajien koulutus 12]]-Opv.kohd.[[#This Row],[Maahan-muuttajien koulutus 9]]</f>
        <v>0</v>
      </c>
      <c r="DM163" s="207">
        <f>Opv.kohd.[[#This Row],[Nuorisotyöt. väh. ja osaamistarp. vast., muu kuin työvoima-koulutus 12]]-Opv.kohd.[[#This Row],[Nuorisotyöt. väh. ja osaamistarp. vast., muu kuin työvoima-koulutus 9]]</f>
        <v>0</v>
      </c>
      <c r="DN163" s="207">
        <f>Opv.kohd.[[#This Row],[Nuorisotyöt. väh. ja osaamistarp. vast., työvoima-koulutus 12]]-Opv.kohd.[[#This Row],[Nuorisotyöt. väh. ja osaamistarp. vast., työvoima-koulutus 9]]</f>
        <v>0</v>
      </c>
      <c r="DO163" s="207">
        <f>Opv.kohd.[[#This Row],[Yhteensä 12]]-Opv.kohd.[[#This Row],[Yhteensä 9]]</f>
        <v>-55</v>
      </c>
      <c r="DP163" s="207">
        <f>Opv.kohd.[[#This Row],[Tavoitteelliset opiskelijavuodet yhteensä 12]]-Opv.kohd.[[#This Row],[Tavoitteelliset opiskelijavuodet yhteensä 9]]</f>
        <v>-55</v>
      </c>
      <c r="DQ163" s="209">
        <f>IFERROR(Opv.kohd.[[#This Row],[Järjestämisluvan mukaiset 15]]/Opv.kohd.[[#This Row],[Järjestämisluvan mukaiset 9]],0)</f>
        <v>0</v>
      </c>
      <c r="DR163" s="209">
        <f t="shared" si="40"/>
        <v>0</v>
      </c>
      <c r="DS163" s="209">
        <f t="shared" si="41"/>
        <v>0</v>
      </c>
      <c r="DT163" s="209">
        <f t="shared" si="42"/>
        <v>0</v>
      </c>
      <c r="DU163" s="209">
        <f t="shared" si="43"/>
        <v>0</v>
      </c>
      <c r="DV163" s="209">
        <f t="shared" si="44"/>
        <v>0</v>
      </c>
      <c r="DW163" s="209">
        <f t="shared" si="45"/>
        <v>0</v>
      </c>
      <c r="DX163" s="209">
        <f t="shared" si="46"/>
        <v>0</v>
      </c>
    </row>
    <row r="164" spans="1:128" s="56" customFormat="1" x14ac:dyDescent="0.25">
      <c r="A164" s="204" t="e">
        <f>IF(INDEX(#REF!,ROW(164:164)-1,1)=0,"",INDEX(#REF!,ROW(164:164)-1,1))</f>
        <v>#REF!</v>
      </c>
      <c r="B164" s="205" t="str">
        <f>IFERROR(VLOOKUP(Opv.kohd.[[#This Row],[Y-tunnus]],'0 Järjestäjätiedot'!$A:$H,2,FALSE),"")</f>
        <v/>
      </c>
      <c r="C164" s="204" t="str">
        <f>IFERROR(VLOOKUP(Opv.kohd.[[#This Row],[Y-tunnus]],'0 Järjestäjätiedot'!$A:$H,COLUMN('0 Järjestäjätiedot'!D:D),FALSE),"")</f>
        <v/>
      </c>
      <c r="D164" s="204" t="str">
        <f>IFERROR(VLOOKUP(Opv.kohd.[[#This Row],[Y-tunnus]],'0 Järjestäjätiedot'!$A:$H,COLUMN('0 Järjestäjätiedot'!H:H),FALSE),"")</f>
        <v/>
      </c>
      <c r="E164" s="204">
        <f>IFERROR(VLOOKUP(Opv.kohd.[[#This Row],[Y-tunnus]],#REF!,COLUMN(#REF!),FALSE),0)</f>
        <v>0</v>
      </c>
      <c r="F164" s="204">
        <f>IFERROR(VLOOKUP(Opv.kohd.[[#This Row],[Y-tunnus]],#REF!,COLUMN(#REF!),FALSE),0)</f>
        <v>0</v>
      </c>
      <c r="G164" s="204">
        <f>IFERROR(VLOOKUP(Opv.kohd.[[#This Row],[Y-tunnus]],#REF!,COLUMN(#REF!),FALSE),0)</f>
        <v>0</v>
      </c>
      <c r="H164" s="204">
        <f>IFERROR(VLOOKUP(Opv.kohd.[[#This Row],[Y-tunnus]],#REF!,COLUMN(#REF!),FALSE),0)</f>
        <v>0</v>
      </c>
      <c r="I164" s="204">
        <f>IFERROR(VLOOKUP(Opv.kohd.[[#This Row],[Y-tunnus]],#REF!,COLUMN(#REF!),FALSE),0)</f>
        <v>0</v>
      </c>
      <c r="J164" s="204">
        <f>IFERROR(VLOOKUP(Opv.kohd.[[#This Row],[Y-tunnus]],#REF!,COLUMN(#REF!),FALSE),0)</f>
        <v>0</v>
      </c>
      <c r="K16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64" s="204">
        <f>Opv.kohd.[[#This Row],[Järjestämisluvan mukaiset 1]]+Opv.kohd.[[#This Row],[Yhteensä  1]]</f>
        <v>0</v>
      </c>
      <c r="M164" s="204">
        <f>IFERROR(VLOOKUP(Opv.kohd.[[#This Row],[Y-tunnus]],#REF!,COLUMN(#REF!),FALSE),0)</f>
        <v>0</v>
      </c>
      <c r="N164" s="204">
        <f>IFERROR(VLOOKUP(Opv.kohd.[[#This Row],[Y-tunnus]],#REF!,COLUMN(#REF!),FALSE),0)</f>
        <v>0</v>
      </c>
      <c r="O164" s="204">
        <f>IFERROR(VLOOKUP(Opv.kohd.[[#This Row],[Y-tunnus]],#REF!,COLUMN(#REF!),FALSE)+VLOOKUP(Opv.kohd.[[#This Row],[Y-tunnus]],#REF!,COLUMN(#REF!),FALSE),0)</f>
        <v>0</v>
      </c>
      <c r="P164" s="204">
        <f>Opv.kohd.[[#This Row],[Talousarvion perusteella kohdentamattomat]]+Opv.kohd.[[#This Row],[Talousarvion perusteella työvoimakoulutus 1]]+Opv.kohd.[[#This Row],[Lisätalousarvioiden perusteella]]</f>
        <v>0</v>
      </c>
      <c r="Q164" s="204">
        <f>IFERROR(VLOOKUP(Opv.kohd.[[#This Row],[Y-tunnus]],#REF!,COLUMN(#REF!),FALSE),0)</f>
        <v>0</v>
      </c>
      <c r="R164" s="210">
        <f>IFERROR(VLOOKUP(Opv.kohd.[[#This Row],[Y-tunnus]],#REF!,COLUMN(#REF!),FALSE)-(Opv.kohd.[[#This Row],[Kohdentamaton työvoima-koulutus 2]]+Opv.kohd.[[#This Row],[Maahan-muuttajien koulutus 2]]+Opv.kohd.[[#This Row],[Lisätalousarvioiden perusteella jaetut 2]]),0)</f>
        <v>0</v>
      </c>
      <c r="S164" s="210">
        <f>IFERROR(VLOOKUP(Opv.kohd.[[#This Row],[Y-tunnus]],#REF!,COLUMN(#REF!),FALSE)+VLOOKUP(Opv.kohd.[[#This Row],[Y-tunnus]],#REF!,COLUMN(#REF!),FALSE),0)</f>
        <v>0</v>
      </c>
      <c r="T164" s="210">
        <f>IFERROR(VLOOKUP(Opv.kohd.[[#This Row],[Y-tunnus]],#REF!,COLUMN(#REF!),FALSE)+VLOOKUP(Opv.kohd.[[#This Row],[Y-tunnus]],#REF!,COLUMN(#REF!),FALSE),0)</f>
        <v>0</v>
      </c>
      <c r="U16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64" s="210">
        <f>Opv.kohd.[[#This Row],[Kohdentamat-tomat 2]]+Opv.kohd.[[#This Row],[Kohdentamaton työvoima-koulutus 2]]+Opv.kohd.[[#This Row],[Maahan-muuttajien koulutus 2]]+Opv.kohd.[[#This Row],[Lisätalousarvioiden perusteella jaetut 2]]</f>
        <v>0</v>
      </c>
      <c r="W164" s="210">
        <f>Opv.kohd.[[#This Row],[Kohdentamat-tomat 2]]-(Opv.kohd.[[#This Row],[Järjestämisluvan mukaiset 1]]+Opv.kohd.[[#This Row],[Kohdentamat-tomat 1]]+Opv.kohd.[[#This Row],[Nuorisotyöt. väh. ja osaamistarp. vast., muu kuin työvoima-koulutus 1]]+Opv.kohd.[[#This Row],[Talousarvion perusteella kohdentamattomat]])</f>
        <v>0</v>
      </c>
      <c r="X164" s="210">
        <f>Opv.kohd.[[#This Row],[Kohdentamaton työvoima-koulutus 2]]-(Opv.kohd.[[#This Row],[Työvoima-koulutus 1]]+Opv.kohd.[[#This Row],[Nuorisotyöt. väh. ja osaamistarp. vast., työvoima-koulutus 1]]+Opv.kohd.[[#This Row],[Talousarvion perusteella työvoimakoulutus 1]])</f>
        <v>0</v>
      </c>
      <c r="Y164" s="210">
        <f>Opv.kohd.[[#This Row],[Maahan-muuttajien koulutus 2]]-Opv.kohd.[[#This Row],[Maahan-muuttajien koulutus 1]]</f>
        <v>0</v>
      </c>
      <c r="Z164" s="210">
        <f>Opv.kohd.[[#This Row],[Lisätalousarvioiden perusteella jaetut 2]]-Opv.kohd.[[#This Row],[Lisätalousarvioiden perusteella]]</f>
        <v>0</v>
      </c>
      <c r="AA164" s="210">
        <f>Opv.kohd.[[#This Row],[Toteutuneet opiskelijavuodet yhteensä 2]]-Opv.kohd.[[#This Row],[Vuoden 2018 tavoitteelliset opiskelijavuodet yhteensä 1]]</f>
        <v>0</v>
      </c>
      <c r="AB164" s="207">
        <f>IFERROR(VLOOKUP(Opv.kohd.[[#This Row],[Y-tunnus]],#REF!,3,FALSE),0)</f>
        <v>0</v>
      </c>
      <c r="AC164" s="207">
        <f>IFERROR(VLOOKUP(Opv.kohd.[[#This Row],[Y-tunnus]],#REF!,4,FALSE),0)</f>
        <v>0</v>
      </c>
      <c r="AD164" s="207">
        <f>IFERROR(VLOOKUP(Opv.kohd.[[#This Row],[Y-tunnus]],#REF!,5,FALSE),0)</f>
        <v>0</v>
      </c>
      <c r="AE164" s="207">
        <f>IFERROR(VLOOKUP(Opv.kohd.[[#This Row],[Y-tunnus]],#REF!,6,FALSE),0)</f>
        <v>0</v>
      </c>
      <c r="AF164" s="207">
        <f>IFERROR(VLOOKUP(Opv.kohd.[[#This Row],[Y-tunnus]],#REF!,7,FALSE),0)</f>
        <v>0</v>
      </c>
      <c r="AG164" s="207">
        <f>IFERROR(VLOOKUP(Opv.kohd.[[#This Row],[Y-tunnus]],#REF!,8,FALSE),0)</f>
        <v>0</v>
      </c>
      <c r="AH164" s="207">
        <f>IFERROR(VLOOKUP(Opv.kohd.[[#This Row],[Y-tunnus]],#REF!,9,FALSE),0)</f>
        <v>0</v>
      </c>
      <c r="AI164" s="207">
        <f>IFERROR(VLOOKUP(Opv.kohd.[[#This Row],[Y-tunnus]],#REF!,10,FALSE),0)</f>
        <v>0</v>
      </c>
      <c r="AJ164" s="204">
        <f>Opv.kohd.[[#This Row],[Järjestämisluvan mukaiset 4]]-Opv.kohd.[[#This Row],[Järjestämisluvan mukaiset 1]]</f>
        <v>0</v>
      </c>
      <c r="AK164" s="204">
        <f>Opv.kohd.[[#This Row],[Kohdentamat-tomat 4]]-Opv.kohd.[[#This Row],[Kohdentamat-tomat 1]]</f>
        <v>0</v>
      </c>
      <c r="AL164" s="204">
        <f>Opv.kohd.[[#This Row],[Työvoima-koulutus 4]]-Opv.kohd.[[#This Row],[Työvoima-koulutus 1]]</f>
        <v>0</v>
      </c>
      <c r="AM164" s="204">
        <f>Opv.kohd.[[#This Row],[Maahan-muuttajien koulutus 4]]-Opv.kohd.[[#This Row],[Maahan-muuttajien koulutus 1]]</f>
        <v>0</v>
      </c>
      <c r="AN164" s="204">
        <f>Opv.kohd.[[#This Row],[Nuorisotyöt. väh. ja osaamistarp. vast., muu kuin työvoima-koulutus 4]]-Opv.kohd.[[#This Row],[Nuorisotyöt. väh. ja osaamistarp. vast., muu kuin työvoima-koulutus 1]]</f>
        <v>0</v>
      </c>
      <c r="AO164" s="204">
        <f>Opv.kohd.[[#This Row],[Nuorisotyöt. väh. ja osaamistarp. vast., työvoima-koulutus 4]]-Opv.kohd.[[#This Row],[Nuorisotyöt. väh. ja osaamistarp. vast., työvoima-koulutus 1]]</f>
        <v>0</v>
      </c>
      <c r="AP164" s="204">
        <f>Opv.kohd.[[#This Row],[Yhteensä 4]]-Opv.kohd.[[#This Row],[Yhteensä  1]]</f>
        <v>0</v>
      </c>
      <c r="AQ164" s="204">
        <f>Opv.kohd.[[#This Row],[Ensikertaisella suoritepäätöksellä jaetut tavoitteelliset opiskelijavuodet yhteensä 4]]-Opv.kohd.[[#This Row],[Ensikertaisella suoritepäätöksellä jaetut tavoitteelliset opiskelijavuodet yhteensä 1]]</f>
        <v>0</v>
      </c>
      <c r="AR164" s="208">
        <f>IFERROR(Opv.kohd.[[#This Row],[Järjestämisluvan mukaiset 5]]/Opv.kohd.[[#This Row],[Järjestämisluvan mukaiset 4]],0)</f>
        <v>0</v>
      </c>
      <c r="AS164" s="208">
        <f>IFERROR(Opv.kohd.[[#This Row],[Kohdentamat-tomat 5]]/Opv.kohd.[[#This Row],[Kohdentamat-tomat 4]],0)</f>
        <v>0</v>
      </c>
      <c r="AT164" s="208">
        <f>IFERROR(Opv.kohd.[[#This Row],[Työvoima-koulutus 5]]/Opv.kohd.[[#This Row],[Työvoima-koulutus 4]],0)</f>
        <v>0</v>
      </c>
      <c r="AU164" s="208">
        <f>IFERROR(Opv.kohd.[[#This Row],[Maahan-muuttajien koulutus 5]]/Opv.kohd.[[#This Row],[Maahan-muuttajien koulutus 4]],0)</f>
        <v>0</v>
      </c>
      <c r="AV164" s="208">
        <f>IFERROR(Opv.kohd.[[#This Row],[Nuorisotyöt. väh. ja osaamistarp. vast., muu kuin työvoima-koulutus 5]]/Opv.kohd.[[#This Row],[Nuorisotyöt. väh. ja osaamistarp. vast., muu kuin työvoima-koulutus 4]],0)</f>
        <v>0</v>
      </c>
      <c r="AW164" s="208">
        <f>IFERROR(Opv.kohd.[[#This Row],[Nuorisotyöt. väh. ja osaamistarp. vast., työvoima-koulutus 5]]/Opv.kohd.[[#This Row],[Nuorisotyöt. väh. ja osaamistarp. vast., työvoima-koulutus 4]],0)</f>
        <v>0</v>
      </c>
      <c r="AX164" s="208">
        <f>IFERROR(Opv.kohd.[[#This Row],[Yhteensä 5]]/Opv.kohd.[[#This Row],[Yhteensä 4]],0)</f>
        <v>0</v>
      </c>
      <c r="AY164" s="208">
        <f>IFERROR(Opv.kohd.[[#This Row],[Ensikertaisella suoritepäätöksellä jaetut tavoitteelliset opiskelijavuodet yhteensä 5]]/Opv.kohd.[[#This Row],[Ensikertaisella suoritepäätöksellä jaetut tavoitteelliset opiskelijavuodet yhteensä 4]],0)</f>
        <v>0</v>
      </c>
      <c r="AZ164" s="207">
        <f>Opv.kohd.[[#This Row],[Yhteensä 7a]]-Opv.kohd.[[#This Row],[Työvoima-koulutus 7a]]</f>
        <v>0</v>
      </c>
      <c r="BA164" s="207">
        <f>IFERROR(VLOOKUP(Opv.kohd.[[#This Row],[Y-tunnus]],#REF!,COLUMN(#REF!),FALSE),0)</f>
        <v>0</v>
      </c>
      <c r="BB164" s="207">
        <f>IFERROR(VLOOKUP(Opv.kohd.[[#This Row],[Y-tunnus]],#REF!,COLUMN(#REF!),FALSE),0)</f>
        <v>0</v>
      </c>
      <c r="BC164" s="207">
        <f>Opv.kohd.[[#This Row],[Muu kuin työvoima-koulutus 7c]]-Opv.kohd.[[#This Row],[Muu kuin työvoima-koulutus 7a]]</f>
        <v>0</v>
      </c>
      <c r="BD164" s="207">
        <f>Opv.kohd.[[#This Row],[Työvoima-koulutus 7c]]-Opv.kohd.[[#This Row],[Työvoima-koulutus 7a]]</f>
        <v>0</v>
      </c>
      <c r="BE164" s="207">
        <f>Opv.kohd.[[#This Row],[Yhteensä 7c]]-Opv.kohd.[[#This Row],[Yhteensä 7a]]</f>
        <v>0</v>
      </c>
      <c r="BF164" s="207">
        <f>Opv.kohd.[[#This Row],[Yhteensä 7c]]-Opv.kohd.[[#This Row],[Työvoima-koulutus 7c]]</f>
        <v>0</v>
      </c>
      <c r="BG164" s="207">
        <f>IFERROR(VLOOKUP(Opv.kohd.[[#This Row],[Y-tunnus]],#REF!,COLUMN(#REF!),FALSE),0)</f>
        <v>0</v>
      </c>
      <c r="BH164" s="207">
        <f>IFERROR(VLOOKUP(Opv.kohd.[[#This Row],[Y-tunnus]],#REF!,COLUMN(#REF!),FALSE),0)</f>
        <v>0</v>
      </c>
      <c r="BI164" s="207">
        <f>IFERROR(VLOOKUP(Opv.kohd.[[#This Row],[Y-tunnus]],#REF!,COLUMN(#REF!),FALSE),0)</f>
        <v>0</v>
      </c>
      <c r="BJ164" s="207">
        <f>IFERROR(VLOOKUP(Opv.kohd.[[#This Row],[Y-tunnus]],#REF!,COLUMN(#REF!),FALSE),0)</f>
        <v>0</v>
      </c>
      <c r="BK164" s="207">
        <f>Opv.kohd.[[#This Row],[Muu kuin työvoima-koulutus 7d]]+Opv.kohd.[[#This Row],[Työvoima-koulutus 7d]]</f>
        <v>0</v>
      </c>
      <c r="BL164" s="207">
        <f>Opv.kohd.[[#This Row],[Muu kuin työvoima-koulutus 7c]]-Opv.kohd.[[#This Row],[Muu kuin työvoima-koulutus 7d]]</f>
        <v>0</v>
      </c>
      <c r="BM164" s="207">
        <f>Opv.kohd.[[#This Row],[Työvoima-koulutus 7c]]-Opv.kohd.[[#This Row],[Työvoima-koulutus 7d]]</f>
        <v>0</v>
      </c>
      <c r="BN164" s="207">
        <f>Opv.kohd.[[#This Row],[Yhteensä 7c]]-Opv.kohd.[[#This Row],[Yhteensä 7d]]</f>
        <v>0</v>
      </c>
      <c r="BO164" s="207">
        <f>Opv.kohd.[[#This Row],[Muu kuin työvoima-koulutus 7e]]-(Opv.kohd.[[#This Row],[Järjestämisluvan mukaiset 4]]+Opv.kohd.[[#This Row],[Kohdentamat-tomat 4]]+Opv.kohd.[[#This Row],[Maahan-muuttajien koulutus 4]]+Opv.kohd.[[#This Row],[Nuorisotyöt. väh. ja osaamistarp. vast., muu kuin työvoima-koulutus 4]])</f>
        <v>0</v>
      </c>
      <c r="BP164" s="207">
        <f>Opv.kohd.[[#This Row],[Työvoima-koulutus 7e]]-(Opv.kohd.[[#This Row],[Työvoima-koulutus 4]]+Opv.kohd.[[#This Row],[Nuorisotyöt. väh. ja osaamistarp. vast., työvoima-koulutus 4]])</f>
        <v>0</v>
      </c>
      <c r="BQ164" s="207">
        <f>Opv.kohd.[[#This Row],[Yhteensä 7e]]-Opv.kohd.[[#This Row],[Ensikertaisella suoritepäätöksellä jaetut tavoitteelliset opiskelijavuodet yhteensä 4]]</f>
        <v>0</v>
      </c>
      <c r="BR164" s="264">
        <v>1320</v>
      </c>
      <c r="BS164" s="264">
        <v>150</v>
      </c>
      <c r="BT164" s="264">
        <v>100</v>
      </c>
      <c r="BU164" s="264">
        <v>20</v>
      </c>
      <c r="BV164" s="264">
        <v>10</v>
      </c>
      <c r="BW164" s="264">
        <v>0</v>
      </c>
      <c r="BX164" s="264">
        <v>280</v>
      </c>
      <c r="BY164" s="264">
        <v>1600</v>
      </c>
      <c r="BZ164" s="207">
        <f t="shared" si="32"/>
        <v>1320</v>
      </c>
      <c r="CA164" s="207">
        <f t="shared" si="33"/>
        <v>150</v>
      </c>
      <c r="CB164" s="207">
        <f t="shared" si="34"/>
        <v>100</v>
      </c>
      <c r="CC164" s="207">
        <f t="shared" si="35"/>
        <v>20</v>
      </c>
      <c r="CD164" s="207">
        <f t="shared" si="36"/>
        <v>10</v>
      </c>
      <c r="CE164" s="207">
        <f t="shared" si="37"/>
        <v>0</v>
      </c>
      <c r="CF164" s="207">
        <f t="shared" si="38"/>
        <v>280</v>
      </c>
      <c r="CG164" s="207">
        <f t="shared" si="39"/>
        <v>1600</v>
      </c>
      <c r="CH164" s="207">
        <f>Opv.kohd.[[#This Row],[Tavoitteelliset opiskelijavuodet yhteensä 9]]-Opv.kohd.[[#This Row],[Työvoima-koulutus 9]]-Opv.kohd.[[#This Row],[Nuorisotyöt. väh. ja osaamistarp. vast., työvoima-koulutus 9]]-Opv.kohd.[[#This Row],[Muu kuin työvoima-koulutus 7e]]</f>
        <v>1500</v>
      </c>
      <c r="CI164" s="207">
        <f>(Opv.kohd.[[#This Row],[Työvoima-koulutus 9]]+Opv.kohd.[[#This Row],[Nuorisotyöt. väh. ja osaamistarp. vast., työvoima-koulutus 9]])-Opv.kohd.[[#This Row],[Työvoima-koulutus 7e]]</f>
        <v>100</v>
      </c>
      <c r="CJ164" s="207">
        <f>Opv.kohd.[[#This Row],[Tavoitteelliset opiskelijavuodet yhteensä 9]]-Opv.kohd.[[#This Row],[Yhteensä 7e]]</f>
        <v>1600</v>
      </c>
      <c r="CK164" s="207">
        <f>Opv.kohd.[[#This Row],[Järjestämisluvan mukaiset 4]]+Opv.kohd.[[#This Row],[Järjestämisluvan mukaiset 13]]</f>
        <v>0</v>
      </c>
      <c r="CL164" s="207">
        <f>Opv.kohd.[[#This Row],[Kohdentamat-tomat 4]]+Opv.kohd.[[#This Row],[Kohdentamat-tomat 13]]</f>
        <v>0</v>
      </c>
      <c r="CM164" s="207">
        <f>Opv.kohd.[[#This Row],[Työvoima-koulutus 4]]+Opv.kohd.[[#This Row],[Työvoima-koulutus 13]]</f>
        <v>0</v>
      </c>
      <c r="CN164" s="207">
        <f>Opv.kohd.[[#This Row],[Maahan-muuttajien koulutus 4]]+Opv.kohd.[[#This Row],[Maahan-muuttajien koulutus 13]]</f>
        <v>0</v>
      </c>
      <c r="CO164" s="207">
        <f>Opv.kohd.[[#This Row],[Nuorisotyöt. väh. ja osaamistarp. vast., muu kuin työvoima-koulutus 4]]+Opv.kohd.[[#This Row],[Nuorisotyöt. väh. ja osaamistarp. vast., muu kuin työvoima-koulutus 13]]</f>
        <v>0</v>
      </c>
      <c r="CP164" s="207">
        <f>Opv.kohd.[[#This Row],[Nuorisotyöt. väh. ja osaamistarp. vast., työvoima-koulutus 4]]+Opv.kohd.[[#This Row],[Nuorisotyöt. väh. ja osaamistarp. vast., työvoima-koulutus 13]]</f>
        <v>0</v>
      </c>
      <c r="CQ164" s="207">
        <f>Opv.kohd.[[#This Row],[Yhteensä 4]]+Opv.kohd.[[#This Row],[Yhteensä 13]]</f>
        <v>0</v>
      </c>
      <c r="CR164" s="207">
        <f>Opv.kohd.[[#This Row],[Ensikertaisella suoritepäätöksellä jaetut tavoitteelliset opiskelijavuodet yhteensä 4]]+Opv.kohd.[[#This Row],[Tavoitteelliset opiskelijavuodet yhteensä 13]]</f>
        <v>0</v>
      </c>
      <c r="CS164" s="120">
        <v>0</v>
      </c>
      <c r="CT164" s="120">
        <v>0</v>
      </c>
      <c r="CU164" s="120">
        <v>0</v>
      </c>
      <c r="CV164" s="120">
        <v>0</v>
      </c>
      <c r="CW164" s="120">
        <v>0</v>
      </c>
      <c r="CX164" s="120">
        <v>0</v>
      </c>
      <c r="CY164" s="120">
        <v>0</v>
      </c>
      <c r="CZ164" s="120">
        <v>0</v>
      </c>
      <c r="DA164" s="209">
        <f>IFERROR(Opv.kohd.[[#This Row],[Järjestämisluvan mukaiset 13]]/Opv.kohd.[[#This Row],[Järjestämisluvan mukaiset 12]],0)</f>
        <v>0</v>
      </c>
      <c r="DB164" s="209">
        <f>IFERROR(Opv.kohd.[[#This Row],[Kohdentamat-tomat 13]]/Opv.kohd.[[#This Row],[Kohdentamat-tomat 12]],0)</f>
        <v>0</v>
      </c>
      <c r="DC164" s="209">
        <f>IFERROR(Opv.kohd.[[#This Row],[Työvoima-koulutus 13]]/Opv.kohd.[[#This Row],[Työvoima-koulutus 12]],0)</f>
        <v>0</v>
      </c>
      <c r="DD164" s="209">
        <f>IFERROR(Opv.kohd.[[#This Row],[Maahan-muuttajien koulutus 13]]/Opv.kohd.[[#This Row],[Maahan-muuttajien koulutus 12]],0)</f>
        <v>0</v>
      </c>
      <c r="DE164" s="209">
        <f>IFERROR(Opv.kohd.[[#This Row],[Nuorisotyöt. väh. ja osaamistarp. vast., muu kuin työvoima-koulutus 13]]/Opv.kohd.[[#This Row],[Nuorisotyöt. väh. ja osaamistarp. vast., muu kuin työvoima-koulutus 12]],0)</f>
        <v>0</v>
      </c>
      <c r="DF164" s="209">
        <f>IFERROR(Opv.kohd.[[#This Row],[Nuorisotyöt. väh. ja osaamistarp. vast., työvoima-koulutus 13]]/Opv.kohd.[[#This Row],[Nuorisotyöt. väh. ja osaamistarp. vast., työvoima-koulutus 12]],0)</f>
        <v>0</v>
      </c>
      <c r="DG164" s="209">
        <f>IFERROR(Opv.kohd.[[#This Row],[Yhteensä 13]]/Opv.kohd.[[#This Row],[Yhteensä 12]],0)</f>
        <v>0</v>
      </c>
      <c r="DH164" s="209">
        <f>IFERROR(Opv.kohd.[[#This Row],[Tavoitteelliset opiskelijavuodet yhteensä 13]]/Opv.kohd.[[#This Row],[Tavoitteelliset opiskelijavuodet yhteensä 12]],0)</f>
        <v>0</v>
      </c>
      <c r="DI164" s="207">
        <f>Opv.kohd.[[#This Row],[Järjestämisluvan mukaiset 12]]-Opv.kohd.[[#This Row],[Järjestämisluvan mukaiset 9]]</f>
        <v>-1320</v>
      </c>
      <c r="DJ164" s="207">
        <f>Opv.kohd.[[#This Row],[Kohdentamat-tomat 12]]-Opv.kohd.[[#This Row],[Kohdentamat-tomat 9]]</f>
        <v>-150</v>
      </c>
      <c r="DK164" s="207">
        <f>Opv.kohd.[[#This Row],[Työvoima-koulutus 12]]-Opv.kohd.[[#This Row],[Työvoima-koulutus 9]]</f>
        <v>-100</v>
      </c>
      <c r="DL164" s="207">
        <f>Opv.kohd.[[#This Row],[Maahan-muuttajien koulutus 12]]-Opv.kohd.[[#This Row],[Maahan-muuttajien koulutus 9]]</f>
        <v>-20</v>
      </c>
      <c r="DM164" s="207">
        <f>Opv.kohd.[[#This Row],[Nuorisotyöt. väh. ja osaamistarp. vast., muu kuin työvoima-koulutus 12]]-Opv.kohd.[[#This Row],[Nuorisotyöt. väh. ja osaamistarp. vast., muu kuin työvoima-koulutus 9]]</f>
        <v>-10</v>
      </c>
      <c r="DN164" s="207">
        <f>Opv.kohd.[[#This Row],[Nuorisotyöt. väh. ja osaamistarp. vast., työvoima-koulutus 12]]-Opv.kohd.[[#This Row],[Nuorisotyöt. väh. ja osaamistarp. vast., työvoima-koulutus 9]]</f>
        <v>0</v>
      </c>
      <c r="DO164" s="207">
        <f>Opv.kohd.[[#This Row],[Yhteensä 12]]-Opv.kohd.[[#This Row],[Yhteensä 9]]</f>
        <v>-280</v>
      </c>
      <c r="DP164" s="207">
        <f>Opv.kohd.[[#This Row],[Tavoitteelliset opiskelijavuodet yhteensä 12]]-Opv.kohd.[[#This Row],[Tavoitteelliset opiskelijavuodet yhteensä 9]]</f>
        <v>-1600</v>
      </c>
      <c r="DQ164" s="209">
        <f>IFERROR(Opv.kohd.[[#This Row],[Järjestämisluvan mukaiset 15]]/Opv.kohd.[[#This Row],[Järjestämisluvan mukaiset 9]],0)</f>
        <v>-1</v>
      </c>
      <c r="DR164" s="209">
        <f t="shared" si="40"/>
        <v>0</v>
      </c>
      <c r="DS164" s="209">
        <f t="shared" si="41"/>
        <v>0</v>
      </c>
      <c r="DT164" s="209">
        <f t="shared" si="42"/>
        <v>0</v>
      </c>
      <c r="DU164" s="209">
        <f t="shared" si="43"/>
        <v>0</v>
      </c>
      <c r="DV164" s="209">
        <f t="shared" si="44"/>
        <v>0</v>
      </c>
      <c r="DW164" s="209">
        <f t="shared" si="45"/>
        <v>0</v>
      </c>
      <c r="DX164" s="209">
        <f t="shared" si="46"/>
        <v>0</v>
      </c>
    </row>
    <row r="165" spans="1:128" s="141" customFormat="1" x14ac:dyDescent="0.25">
      <c r="A165" s="204" t="e">
        <f>IF(INDEX(#REF!,ROW(165:165)-1,1)=0,"",INDEX(#REF!,ROW(165:165)-1,1))</f>
        <v>#REF!</v>
      </c>
      <c r="B165" s="205" t="str">
        <f>IFERROR(VLOOKUP(Opv.kohd.[[#This Row],[Y-tunnus]],'0 Järjestäjätiedot'!$A:$H,2,FALSE),"")</f>
        <v/>
      </c>
      <c r="C165" s="204" t="str">
        <f>IFERROR(VLOOKUP(Opv.kohd.[[#This Row],[Y-tunnus]],'0 Järjestäjätiedot'!$A:$H,COLUMN('0 Järjestäjätiedot'!D:D),FALSE),"")</f>
        <v/>
      </c>
      <c r="D165" s="204" t="str">
        <f>IFERROR(VLOOKUP(Opv.kohd.[[#This Row],[Y-tunnus]],'0 Järjestäjätiedot'!$A:$H,COLUMN('0 Järjestäjätiedot'!H:H),FALSE),"")</f>
        <v/>
      </c>
      <c r="E165" s="204">
        <f>IFERROR(VLOOKUP(Opv.kohd.[[#This Row],[Y-tunnus]],#REF!,COLUMN(#REF!),FALSE),0)</f>
        <v>0</v>
      </c>
      <c r="F165" s="204">
        <f>IFERROR(VLOOKUP(Opv.kohd.[[#This Row],[Y-tunnus]],#REF!,COLUMN(#REF!),FALSE),0)</f>
        <v>0</v>
      </c>
      <c r="G165" s="204">
        <f>IFERROR(VLOOKUP(Opv.kohd.[[#This Row],[Y-tunnus]],#REF!,COLUMN(#REF!),FALSE),0)</f>
        <v>0</v>
      </c>
      <c r="H165" s="204">
        <f>IFERROR(VLOOKUP(Opv.kohd.[[#This Row],[Y-tunnus]],#REF!,COLUMN(#REF!),FALSE),0)</f>
        <v>0</v>
      </c>
      <c r="I165" s="204">
        <f>IFERROR(VLOOKUP(Opv.kohd.[[#This Row],[Y-tunnus]],#REF!,COLUMN(#REF!),FALSE),0)</f>
        <v>0</v>
      </c>
      <c r="J165" s="204">
        <f>IFERROR(VLOOKUP(Opv.kohd.[[#This Row],[Y-tunnus]],#REF!,COLUMN(#REF!),FALSE),0)</f>
        <v>0</v>
      </c>
      <c r="K16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65" s="204">
        <f>Opv.kohd.[[#This Row],[Järjestämisluvan mukaiset 1]]+Opv.kohd.[[#This Row],[Yhteensä  1]]</f>
        <v>0</v>
      </c>
      <c r="M165" s="204">
        <f>IFERROR(VLOOKUP(Opv.kohd.[[#This Row],[Y-tunnus]],#REF!,COLUMN(#REF!),FALSE),0)</f>
        <v>0</v>
      </c>
      <c r="N165" s="204">
        <f>IFERROR(VLOOKUP(Opv.kohd.[[#This Row],[Y-tunnus]],#REF!,COLUMN(#REF!),FALSE),0)</f>
        <v>0</v>
      </c>
      <c r="O165" s="204">
        <f>IFERROR(VLOOKUP(Opv.kohd.[[#This Row],[Y-tunnus]],#REF!,COLUMN(#REF!),FALSE)+VLOOKUP(Opv.kohd.[[#This Row],[Y-tunnus]],#REF!,COLUMN(#REF!),FALSE),0)</f>
        <v>0</v>
      </c>
      <c r="P165" s="204">
        <f>Opv.kohd.[[#This Row],[Talousarvion perusteella kohdentamattomat]]+Opv.kohd.[[#This Row],[Talousarvion perusteella työvoimakoulutus 1]]+Opv.kohd.[[#This Row],[Lisätalousarvioiden perusteella]]</f>
        <v>0</v>
      </c>
      <c r="Q165" s="204">
        <f>IFERROR(VLOOKUP(Opv.kohd.[[#This Row],[Y-tunnus]],#REF!,COLUMN(#REF!),FALSE),0)</f>
        <v>0</v>
      </c>
      <c r="R165" s="210">
        <f>IFERROR(VLOOKUP(Opv.kohd.[[#This Row],[Y-tunnus]],#REF!,COLUMN(#REF!),FALSE)-(Opv.kohd.[[#This Row],[Kohdentamaton työvoima-koulutus 2]]+Opv.kohd.[[#This Row],[Maahan-muuttajien koulutus 2]]+Opv.kohd.[[#This Row],[Lisätalousarvioiden perusteella jaetut 2]]),0)</f>
        <v>0</v>
      </c>
      <c r="S165" s="210">
        <f>IFERROR(VLOOKUP(Opv.kohd.[[#This Row],[Y-tunnus]],#REF!,COLUMN(#REF!),FALSE)+VLOOKUP(Opv.kohd.[[#This Row],[Y-tunnus]],#REF!,COLUMN(#REF!),FALSE),0)</f>
        <v>0</v>
      </c>
      <c r="T165" s="210">
        <f>IFERROR(VLOOKUP(Opv.kohd.[[#This Row],[Y-tunnus]],#REF!,COLUMN(#REF!),FALSE)+VLOOKUP(Opv.kohd.[[#This Row],[Y-tunnus]],#REF!,COLUMN(#REF!),FALSE),0)</f>
        <v>0</v>
      </c>
      <c r="U16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65" s="210">
        <f>Opv.kohd.[[#This Row],[Kohdentamat-tomat 2]]+Opv.kohd.[[#This Row],[Kohdentamaton työvoima-koulutus 2]]+Opv.kohd.[[#This Row],[Maahan-muuttajien koulutus 2]]+Opv.kohd.[[#This Row],[Lisätalousarvioiden perusteella jaetut 2]]</f>
        <v>0</v>
      </c>
      <c r="W165" s="210">
        <f>Opv.kohd.[[#This Row],[Kohdentamat-tomat 2]]-(Opv.kohd.[[#This Row],[Järjestämisluvan mukaiset 1]]+Opv.kohd.[[#This Row],[Kohdentamat-tomat 1]]+Opv.kohd.[[#This Row],[Nuorisotyöt. väh. ja osaamistarp. vast., muu kuin työvoima-koulutus 1]]+Opv.kohd.[[#This Row],[Talousarvion perusteella kohdentamattomat]])</f>
        <v>0</v>
      </c>
      <c r="X165" s="210">
        <f>Opv.kohd.[[#This Row],[Kohdentamaton työvoima-koulutus 2]]-(Opv.kohd.[[#This Row],[Työvoima-koulutus 1]]+Opv.kohd.[[#This Row],[Nuorisotyöt. väh. ja osaamistarp. vast., työvoima-koulutus 1]]+Opv.kohd.[[#This Row],[Talousarvion perusteella työvoimakoulutus 1]])</f>
        <v>0</v>
      </c>
      <c r="Y165" s="210">
        <f>Opv.kohd.[[#This Row],[Maahan-muuttajien koulutus 2]]-Opv.kohd.[[#This Row],[Maahan-muuttajien koulutus 1]]</f>
        <v>0</v>
      </c>
      <c r="Z165" s="210">
        <f>Opv.kohd.[[#This Row],[Lisätalousarvioiden perusteella jaetut 2]]-Opv.kohd.[[#This Row],[Lisätalousarvioiden perusteella]]</f>
        <v>0</v>
      </c>
      <c r="AA165" s="210">
        <f>Opv.kohd.[[#This Row],[Toteutuneet opiskelijavuodet yhteensä 2]]-Opv.kohd.[[#This Row],[Vuoden 2018 tavoitteelliset opiskelijavuodet yhteensä 1]]</f>
        <v>0</v>
      </c>
      <c r="AB165" s="207">
        <f>IFERROR(VLOOKUP(Opv.kohd.[[#This Row],[Y-tunnus]],#REF!,3,FALSE),0)</f>
        <v>0</v>
      </c>
      <c r="AC165" s="207">
        <f>IFERROR(VLOOKUP(Opv.kohd.[[#This Row],[Y-tunnus]],#REF!,4,FALSE),0)</f>
        <v>0</v>
      </c>
      <c r="AD165" s="207">
        <f>IFERROR(VLOOKUP(Opv.kohd.[[#This Row],[Y-tunnus]],#REF!,5,FALSE),0)</f>
        <v>0</v>
      </c>
      <c r="AE165" s="207">
        <f>IFERROR(VLOOKUP(Opv.kohd.[[#This Row],[Y-tunnus]],#REF!,6,FALSE),0)</f>
        <v>0</v>
      </c>
      <c r="AF165" s="207">
        <f>IFERROR(VLOOKUP(Opv.kohd.[[#This Row],[Y-tunnus]],#REF!,7,FALSE),0)</f>
        <v>0</v>
      </c>
      <c r="AG165" s="207">
        <f>IFERROR(VLOOKUP(Opv.kohd.[[#This Row],[Y-tunnus]],#REF!,8,FALSE),0)</f>
        <v>0</v>
      </c>
      <c r="AH165" s="207">
        <f>IFERROR(VLOOKUP(Opv.kohd.[[#This Row],[Y-tunnus]],#REF!,9,FALSE),0)</f>
        <v>0</v>
      </c>
      <c r="AI165" s="207">
        <f>IFERROR(VLOOKUP(Opv.kohd.[[#This Row],[Y-tunnus]],#REF!,10,FALSE),0)</f>
        <v>0</v>
      </c>
      <c r="AJ165" s="204">
        <f>Opv.kohd.[[#This Row],[Järjestämisluvan mukaiset 4]]-Opv.kohd.[[#This Row],[Järjestämisluvan mukaiset 1]]</f>
        <v>0</v>
      </c>
      <c r="AK165" s="204">
        <f>Opv.kohd.[[#This Row],[Kohdentamat-tomat 4]]-Opv.kohd.[[#This Row],[Kohdentamat-tomat 1]]</f>
        <v>0</v>
      </c>
      <c r="AL165" s="204">
        <f>Opv.kohd.[[#This Row],[Työvoima-koulutus 4]]-Opv.kohd.[[#This Row],[Työvoima-koulutus 1]]</f>
        <v>0</v>
      </c>
      <c r="AM165" s="204">
        <f>Opv.kohd.[[#This Row],[Maahan-muuttajien koulutus 4]]-Opv.kohd.[[#This Row],[Maahan-muuttajien koulutus 1]]</f>
        <v>0</v>
      </c>
      <c r="AN165" s="204">
        <f>Opv.kohd.[[#This Row],[Nuorisotyöt. väh. ja osaamistarp. vast., muu kuin työvoima-koulutus 4]]-Opv.kohd.[[#This Row],[Nuorisotyöt. väh. ja osaamistarp. vast., muu kuin työvoima-koulutus 1]]</f>
        <v>0</v>
      </c>
      <c r="AO165" s="204">
        <f>Opv.kohd.[[#This Row],[Nuorisotyöt. väh. ja osaamistarp. vast., työvoima-koulutus 4]]-Opv.kohd.[[#This Row],[Nuorisotyöt. väh. ja osaamistarp. vast., työvoima-koulutus 1]]</f>
        <v>0</v>
      </c>
      <c r="AP165" s="204">
        <f>Opv.kohd.[[#This Row],[Yhteensä 4]]-Opv.kohd.[[#This Row],[Yhteensä  1]]</f>
        <v>0</v>
      </c>
      <c r="AQ165" s="204">
        <f>Opv.kohd.[[#This Row],[Ensikertaisella suoritepäätöksellä jaetut tavoitteelliset opiskelijavuodet yhteensä 4]]-Opv.kohd.[[#This Row],[Ensikertaisella suoritepäätöksellä jaetut tavoitteelliset opiskelijavuodet yhteensä 1]]</f>
        <v>0</v>
      </c>
      <c r="AR165" s="208">
        <f>IFERROR(Opv.kohd.[[#This Row],[Järjestämisluvan mukaiset 5]]/Opv.kohd.[[#This Row],[Järjestämisluvan mukaiset 4]],0)</f>
        <v>0</v>
      </c>
      <c r="AS165" s="208">
        <f>IFERROR(Opv.kohd.[[#This Row],[Kohdentamat-tomat 5]]/Opv.kohd.[[#This Row],[Kohdentamat-tomat 4]],0)</f>
        <v>0</v>
      </c>
      <c r="AT165" s="208">
        <f>IFERROR(Opv.kohd.[[#This Row],[Työvoima-koulutus 5]]/Opv.kohd.[[#This Row],[Työvoima-koulutus 4]],0)</f>
        <v>0</v>
      </c>
      <c r="AU165" s="208">
        <f>IFERROR(Opv.kohd.[[#This Row],[Maahan-muuttajien koulutus 5]]/Opv.kohd.[[#This Row],[Maahan-muuttajien koulutus 4]],0)</f>
        <v>0</v>
      </c>
      <c r="AV165" s="208">
        <f>IFERROR(Opv.kohd.[[#This Row],[Nuorisotyöt. väh. ja osaamistarp. vast., muu kuin työvoima-koulutus 5]]/Opv.kohd.[[#This Row],[Nuorisotyöt. väh. ja osaamistarp. vast., muu kuin työvoima-koulutus 4]],0)</f>
        <v>0</v>
      </c>
      <c r="AW165" s="208">
        <f>IFERROR(Opv.kohd.[[#This Row],[Nuorisotyöt. väh. ja osaamistarp. vast., työvoima-koulutus 5]]/Opv.kohd.[[#This Row],[Nuorisotyöt. väh. ja osaamistarp. vast., työvoima-koulutus 4]],0)</f>
        <v>0</v>
      </c>
      <c r="AX165" s="208">
        <f>IFERROR(Opv.kohd.[[#This Row],[Yhteensä 5]]/Opv.kohd.[[#This Row],[Yhteensä 4]],0)</f>
        <v>0</v>
      </c>
      <c r="AY165" s="208">
        <f>IFERROR(Opv.kohd.[[#This Row],[Ensikertaisella suoritepäätöksellä jaetut tavoitteelliset opiskelijavuodet yhteensä 5]]/Opv.kohd.[[#This Row],[Ensikertaisella suoritepäätöksellä jaetut tavoitteelliset opiskelijavuodet yhteensä 4]],0)</f>
        <v>0</v>
      </c>
      <c r="AZ165" s="207">
        <f>Opv.kohd.[[#This Row],[Yhteensä 7a]]-Opv.kohd.[[#This Row],[Työvoima-koulutus 7a]]</f>
        <v>0</v>
      </c>
      <c r="BA165" s="207">
        <f>IFERROR(VLOOKUP(Opv.kohd.[[#This Row],[Y-tunnus]],#REF!,COLUMN(#REF!),FALSE),0)</f>
        <v>0</v>
      </c>
      <c r="BB165" s="207">
        <f>IFERROR(VLOOKUP(Opv.kohd.[[#This Row],[Y-tunnus]],#REF!,COLUMN(#REF!),FALSE),0)</f>
        <v>0</v>
      </c>
      <c r="BC165" s="207">
        <f>Opv.kohd.[[#This Row],[Muu kuin työvoima-koulutus 7c]]-Opv.kohd.[[#This Row],[Muu kuin työvoima-koulutus 7a]]</f>
        <v>0</v>
      </c>
      <c r="BD165" s="207">
        <f>Opv.kohd.[[#This Row],[Työvoima-koulutus 7c]]-Opv.kohd.[[#This Row],[Työvoima-koulutus 7a]]</f>
        <v>0</v>
      </c>
      <c r="BE165" s="207">
        <f>Opv.kohd.[[#This Row],[Yhteensä 7c]]-Opv.kohd.[[#This Row],[Yhteensä 7a]]</f>
        <v>0</v>
      </c>
      <c r="BF165" s="207">
        <f>Opv.kohd.[[#This Row],[Yhteensä 7c]]-Opv.kohd.[[#This Row],[Työvoima-koulutus 7c]]</f>
        <v>0</v>
      </c>
      <c r="BG165" s="207">
        <f>IFERROR(VLOOKUP(Opv.kohd.[[#This Row],[Y-tunnus]],#REF!,COLUMN(#REF!),FALSE),0)</f>
        <v>0</v>
      </c>
      <c r="BH165" s="207">
        <f>IFERROR(VLOOKUP(Opv.kohd.[[#This Row],[Y-tunnus]],#REF!,COLUMN(#REF!),FALSE),0)</f>
        <v>0</v>
      </c>
      <c r="BI165" s="207">
        <f>IFERROR(VLOOKUP(Opv.kohd.[[#This Row],[Y-tunnus]],#REF!,COLUMN(#REF!),FALSE),0)</f>
        <v>0</v>
      </c>
      <c r="BJ165" s="207">
        <f>IFERROR(VLOOKUP(Opv.kohd.[[#This Row],[Y-tunnus]],#REF!,COLUMN(#REF!),FALSE),0)</f>
        <v>0</v>
      </c>
      <c r="BK165" s="207">
        <f>Opv.kohd.[[#This Row],[Muu kuin työvoima-koulutus 7d]]+Opv.kohd.[[#This Row],[Työvoima-koulutus 7d]]</f>
        <v>0</v>
      </c>
      <c r="BL165" s="207">
        <f>Opv.kohd.[[#This Row],[Muu kuin työvoima-koulutus 7c]]-Opv.kohd.[[#This Row],[Muu kuin työvoima-koulutus 7d]]</f>
        <v>0</v>
      </c>
      <c r="BM165" s="207">
        <f>Opv.kohd.[[#This Row],[Työvoima-koulutus 7c]]-Opv.kohd.[[#This Row],[Työvoima-koulutus 7d]]</f>
        <v>0</v>
      </c>
      <c r="BN165" s="207">
        <f>Opv.kohd.[[#This Row],[Yhteensä 7c]]-Opv.kohd.[[#This Row],[Yhteensä 7d]]</f>
        <v>0</v>
      </c>
      <c r="BO165" s="207">
        <f>Opv.kohd.[[#This Row],[Muu kuin työvoima-koulutus 7e]]-(Opv.kohd.[[#This Row],[Järjestämisluvan mukaiset 4]]+Opv.kohd.[[#This Row],[Kohdentamat-tomat 4]]+Opv.kohd.[[#This Row],[Maahan-muuttajien koulutus 4]]+Opv.kohd.[[#This Row],[Nuorisotyöt. väh. ja osaamistarp. vast., muu kuin työvoima-koulutus 4]])</f>
        <v>0</v>
      </c>
      <c r="BP165" s="207">
        <f>Opv.kohd.[[#This Row],[Työvoima-koulutus 7e]]-(Opv.kohd.[[#This Row],[Työvoima-koulutus 4]]+Opv.kohd.[[#This Row],[Nuorisotyöt. väh. ja osaamistarp. vast., työvoima-koulutus 4]])</f>
        <v>0</v>
      </c>
      <c r="BQ165" s="207">
        <f>Opv.kohd.[[#This Row],[Yhteensä 7e]]-Opv.kohd.[[#This Row],[Ensikertaisella suoritepäätöksellä jaetut tavoitteelliset opiskelijavuodet yhteensä 4]]</f>
        <v>0</v>
      </c>
      <c r="BR165" s="264">
        <v>1472</v>
      </c>
      <c r="BS165" s="264">
        <v>163</v>
      </c>
      <c r="BT165" s="264">
        <v>50</v>
      </c>
      <c r="BU165" s="264">
        <v>0</v>
      </c>
      <c r="BV165" s="264">
        <v>7</v>
      </c>
      <c r="BW165" s="264">
        <v>0</v>
      </c>
      <c r="BX165" s="264">
        <v>220</v>
      </c>
      <c r="BY165" s="264">
        <v>1692</v>
      </c>
      <c r="BZ165" s="207">
        <f t="shared" si="32"/>
        <v>1472</v>
      </c>
      <c r="CA165" s="207">
        <f t="shared" si="33"/>
        <v>163</v>
      </c>
      <c r="CB165" s="207">
        <f t="shared" si="34"/>
        <v>50</v>
      </c>
      <c r="CC165" s="207">
        <f t="shared" si="35"/>
        <v>0</v>
      </c>
      <c r="CD165" s="207">
        <f t="shared" si="36"/>
        <v>7</v>
      </c>
      <c r="CE165" s="207">
        <f t="shared" si="37"/>
        <v>0</v>
      </c>
      <c r="CF165" s="207">
        <f t="shared" si="38"/>
        <v>220</v>
      </c>
      <c r="CG165" s="207">
        <f t="shared" si="39"/>
        <v>1692</v>
      </c>
      <c r="CH165" s="207">
        <f>Opv.kohd.[[#This Row],[Tavoitteelliset opiskelijavuodet yhteensä 9]]-Opv.kohd.[[#This Row],[Työvoima-koulutus 9]]-Opv.kohd.[[#This Row],[Nuorisotyöt. väh. ja osaamistarp. vast., työvoima-koulutus 9]]-Opv.kohd.[[#This Row],[Muu kuin työvoima-koulutus 7e]]</f>
        <v>1642</v>
      </c>
      <c r="CI165" s="207">
        <f>(Opv.kohd.[[#This Row],[Työvoima-koulutus 9]]+Opv.kohd.[[#This Row],[Nuorisotyöt. väh. ja osaamistarp. vast., työvoima-koulutus 9]])-Opv.kohd.[[#This Row],[Työvoima-koulutus 7e]]</f>
        <v>50</v>
      </c>
      <c r="CJ165" s="207">
        <f>Opv.kohd.[[#This Row],[Tavoitteelliset opiskelijavuodet yhteensä 9]]-Opv.kohd.[[#This Row],[Yhteensä 7e]]</f>
        <v>1692</v>
      </c>
      <c r="CK165" s="207">
        <f>Opv.kohd.[[#This Row],[Järjestämisluvan mukaiset 4]]+Opv.kohd.[[#This Row],[Järjestämisluvan mukaiset 13]]</f>
        <v>0</v>
      </c>
      <c r="CL165" s="207">
        <f>Opv.kohd.[[#This Row],[Kohdentamat-tomat 4]]+Opv.kohd.[[#This Row],[Kohdentamat-tomat 13]]</f>
        <v>0</v>
      </c>
      <c r="CM165" s="207">
        <f>Opv.kohd.[[#This Row],[Työvoima-koulutus 4]]+Opv.kohd.[[#This Row],[Työvoima-koulutus 13]]</f>
        <v>0</v>
      </c>
      <c r="CN165" s="207">
        <f>Opv.kohd.[[#This Row],[Maahan-muuttajien koulutus 4]]+Opv.kohd.[[#This Row],[Maahan-muuttajien koulutus 13]]</f>
        <v>0</v>
      </c>
      <c r="CO165" s="207">
        <f>Opv.kohd.[[#This Row],[Nuorisotyöt. väh. ja osaamistarp. vast., muu kuin työvoima-koulutus 4]]+Opv.kohd.[[#This Row],[Nuorisotyöt. väh. ja osaamistarp. vast., muu kuin työvoima-koulutus 13]]</f>
        <v>0</v>
      </c>
      <c r="CP165" s="207">
        <f>Opv.kohd.[[#This Row],[Nuorisotyöt. väh. ja osaamistarp. vast., työvoima-koulutus 4]]+Opv.kohd.[[#This Row],[Nuorisotyöt. väh. ja osaamistarp. vast., työvoima-koulutus 13]]</f>
        <v>0</v>
      </c>
      <c r="CQ165" s="207">
        <f>Opv.kohd.[[#This Row],[Yhteensä 4]]+Opv.kohd.[[#This Row],[Yhteensä 13]]</f>
        <v>0</v>
      </c>
      <c r="CR165" s="207">
        <f>Opv.kohd.[[#This Row],[Ensikertaisella suoritepäätöksellä jaetut tavoitteelliset opiskelijavuodet yhteensä 4]]+Opv.kohd.[[#This Row],[Tavoitteelliset opiskelijavuodet yhteensä 13]]</f>
        <v>0</v>
      </c>
      <c r="CS165" s="120">
        <v>0</v>
      </c>
      <c r="CT165" s="120">
        <v>0</v>
      </c>
      <c r="CU165" s="120">
        <v>0</v>
      </c>
      <c r="CV165" s="120">
        <v>0</v>
      </c>
      <c r="CW165" s="120">
        <v>0</v>
      </c>
      <c r="CX165" s="120">
        <v>0</v>
      </c>
      <c r="CY165" s="120">
        <v>0</v>
      </c>
      <c r="CZ165" s="120">
        <v>0</v>
      </c>
      <c r="DA165" s="209">
        <f>IFERROR(Opv.kohd.[[#This Row],[Järjestämisluvan mukaiset 13]]/Opv.kohd.[[#This Row],[Järjestämisluvan mukaiset 12]],0)</f>
        <v>0</v>
      </c>
      <c r="DB165" s="209">
        <f>IFERROR(Opv.kohd.[[#This Row],[Kohdentamat-tomat 13]]/Opv.kohd.[[#This Row],[Kohdentamat-tomat 12]],0)</f>
        <v>0</v>
      </c>
      <c r="DC165" s="209">
        <f>IFERROR(Opv.kohd.[[#This Row],[Työvoima-koulutus 13]]/Opv.kohd.[[#This Row],[Työvoima-koulutus 12]],0)</f>
        <v>0</v>
      </c>
      <c r="DD165" s="209">
        <f>IFERROR(Opv.kohd.[[#This Row],[Maahan-muuttajien koulutus 13]]/Opv.kohd.[[#This Row],[Maahan-muuttajien koulutus 12]],0)</f>
        <v>0</v>
      </c>
      <c r="DE165" s="209">
        <f>IFERROR(Opv.kohd.[[#This Row],[Nuorisotyöt. väh. ja osaamistarp. vast., muu kuin työvoima-koulutus 13]]/Opv.kohd.[[#This Row],[Nuorisotyöt. väh. ja osaamistarp. vast., muu kuin työvoima-koulutus 12]],0)</f>
        <v>0</v>
      </c>
      <c r="DF165" s="209">
        <f>IFERROR(Opv.kohd.[[#This Row],[Nuorisotyöt. väh. ja osaamistarp. vast., työvoima-koulutus 13]]/Opv.kohd.[[#This Row],[Nuorisotyöt. väh. ja osaamistarp. vast., työvoima-koulutus 12]],0)</f>
        <v>0</v>
      </c>
      <c r="DG165" s="209">
        <f>IFERROR(Opv.kohd.[[#This Row],[Yhteensä 13]]/Opv.kohd.[[#This Row],[Yhteensä 12]],0)</f>
        <v>0</v>
      </c>
      <c r="DH165" s="209">
        <f>IFERROR(Opv.kohd.[[#This Row],[Tavoitteelliset opiskelijavuodet yhteensä 13]]/Opv.kohd.[[#This Row],[Tavoitteelliset opiskelijavuodet yhteensä 12]],0)</f>
        <v>0</v>
      </c>
      <c r="DI165" s="207">
        <f>Opv.kohd.[[#This Row],[Järjestämisluvan mukaiset 12]]-Opv.kohd.[[#This Row],[Järjestämisluvan mukaiset 9]]</f>
        <v>-1472</v>
      </c>
      <c r="DJ165" s="207">
        <f>Opv.kohd.[[#This Row],[Kohdentamat-tomat 12]]-Opv.kohd.[[#This Row],[Kohdentamat-tomat 9]]</f>
        <v>-163</v>
      </c>
      <c r="DK165" s="207">
        <f>Opv.kohd.[[#This Row],[Työvoima-koulutus 12]]-Opv.kohd.[[#This Row],[Työvoima-koulutus 9]]</f>
        <v>-50</v>
      </c>
      <c r="DL165" s="207">
        <f>Opv.kohd.[[#This Row],[Maahan-muuttajien koulutus 12]]-Opv.kohd.[[#This Row],[Maahan-muuttajien koulutus 9]]</f>
        <v>0</v>
      </c>
      <c r="DM165" s="207">
        <f>Opv.kohd.[[#This Row],[Nuorisotyöt. väh. ja osaamistarp. vast., muu kuin työvoima-koulutus 12]]-Opv.kohd.[[#This Row],[Nuorisotyöt. väh. ja osaamistarp. vast., muu kuin työvoima-koulutus 9]]</f>
        <v>-7</v>
      </c>
      <c r="DN165" s="207">
        <f>Opv.kohd.[[#This Row],[Nuorisotyöt. väh. ja osaamistarp. vast., työvoima-koulutus 12]]-Opv.kohd.[[#This Row],[Nuorisotyöt. väh. ja osaamistarp. vast., työvoima-koulutus 9]]</f>
        <v>0</v>
      </c>
      <c r="DO165" s="207">
        <f>Opv.kohd.[[#This Row],[Yhteensä 12]]-Opv.kohd.[[#This Row],[Yhteensä 9]]</f>
        <v>-220</v>
      </c>
      <c r="DP165" s="207">
        <f>Opv.kohd.[[#This Row],[Tavoitteelliset opiskelijavuodet yhteensä 12]]-Opv.kohd.[[#This Row],[Tavoitteelliset opiskelijavuodet yhteensä 9]]</f>
        <v>-1692</v>
      </c>
      <c r="DQ165" s="209">
        <f>IFERROR(Opv.kohd.[[#This Row],[Järjestämisluvan mukaiset 15]]/Opv.kohd.[[#This Row],[Järjestämisluvan mukaiset 9]],0)</f>
        <v>-1</v>
      </c>
      <c r="DR165" s="209">
        <f t="shared" si="40"/>
        <v>0</v>
      </c>
      <c r="DS165" s="209">
        <f t="shared" si="41"/>
        <v>0</v>
      </c>
      <c r="DT165" s="209">
        <f t="shared" si="42"/>
        <v>0</v>
      </c>
      <c r="DU165" s="209">
        <f t="shared" si="43"/>
        <v>0</v>
      </c>
      <c r="DV165" s="209">
        <f t="shared" si="44"/>
        <v>0</v>
      </c>
      <c r="DW165" s="209">
        <f t="shared" si="45"/>
        <v>0</v>
      </c>
      <c r="DX165" s="209">
        <f t="shared" si="46"/>
        <v>0</v>
      </c>
    </row>
    <row r="166" spans="1:128" s="56" customFormat="1" x14ac:dyDescent="0.25">
      <c r="A166" s="204" t="e">
        <f>IF(INDEX(#REF!,ROW(166:166)-1,1)=0,"",INDEX(#REF!,ROW(166:166)-1,1))</f>
        <v>#REF!</v>
      </c>
      <c r="B166" s="205" t="str">
        <f>IFERROR(VLOOKUP(Opv.kohd.[[#This Row],[Y-tunnus]],'0 Järjestäjätiedot'!$A:$H,2,FALSE),"")</f>
        <v/>
      </c>
      <c r="C166" s="204" t="str">
        <f>IFERROR(VLOOKUP(Opv.kohd.[[#This Row],[Y-tunnus]],'0 Järjestäjätiedot'!$A:$H,COLUMN('0 Järjestäjätiedot'!D:D),FALSE),"")</f>
        <v/>
      </c>
      <c r="D166" s="204" t="str">
        <f>IFERROR(VLOOKUP(Opv.kohd.[[#This Row],[Y-tunnus]],'0 Järjestäjätiedot'!$A:$H,COLUMN('0 Järjestäjätiedot'!H:H),FALSE),"")</f>
        <v/>
      </c>
      <c r="E166" s="204">
        <f>IFERROR(VLOOKUP(Opv.kohd.[[#This Row],[Y-tunnus]],#REF!,COLUMN(#REF!),FALSE),0)</f>
        <v>0</v>
      </c>
      <c r="F166" s="204">
        <f>IFERROR(VLOOKUP(Opv.kohd.[[#This Row],[Y-tunnus]],#REF!,COLUMN(#REF!),FALSE),0)</f>
        <v>0</v>
      </c>
      <c r="G166" s="204">
        <f>IFERROR(VLOOKUP(Opv.kohd.[[#This Row],[Y-tunnus]],#REF!,COLUMN(#REF!),FALSE),0)</f>
        <v>0</v>
      </c>
      <c r="H166" s="204">
        <f>IFERROR(VLOOKUP(Opv.kohd.[[#This Row],[Y-tunnus]],#REF!,COLUMN(#REF!),FALSE),0)</f>
        <v>0</v>
      </c>
      <c r="I166" s="204">
        <f>IFERROR(VLOOKUP(Opv.kohd.[[#This Row],[Y-tunnus]],#REF!,COLUMN(#REF!),FALSE),0)</f>
        <v>0</v>
      </c>
      <c r="J166" s="204">
        <f>IFERROR(VLOOKUP(Opv.kohd.[[#This Row],[Y-tunnus]],#REF!,COLUMN(#REF!),FALSE),0)</f>
        <v>0</v>
      </c>
      <c r="K166"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66" s="204">
        <f>Opv.kohd.[[#This Row],[Järjestämisluvan mukaiset 1]]+Opv.kohd.[[#This Row],[Yhteensä  1]]</f>
        <v>0</v>
      </c>
      <c r="M166" s="204">
        <f>IFERROR(VLOOKUP(Opv.kohd.[[#This Row],[Y-tunnus]],#REF!,COLUMN(#REF!),FALSE),0)</f>
        <v>0</v>
      </c>
      <c r="N166" s="204">
        <f>IFERROR(VLOOKUP(Opv.kohd.[[#This Row],[Y-tunnus]],#REF!,COLUMN(#REF!),FALSE),0)</f>
        <v>0</v>
      </c>
      <c r="O166" s="204">
        <f>IFERROR(VLOOKUP(Opv.kohd.[[#This Row],[Y-tunnus]],#REF!,COLUMN(#REF!),FALSE)+VLOOKUP(Opv.kohd.[[#This Row],[Y-tunnus]],#REF!,COLUMN(#REF!),FALSE),0)</f>
        <v>0</v>
      </c>
      <c r="P166" s="204">
        <f>Opv.kohd.[[#This Row],[Talousarvion perusteella kohdentamattomat]]+Opv.kohd.[[#This Row],[Talousarvion perusteella työvoimakoulutus 1]]+Opv.kohd.[[#This Row],[Lisätalousarvioiden perusteella]]</f>
        <v>0</v>
      </c>
      <c r="Q166" s="204">
        <f>IFERROR(VLOOKUP(Opv.kohd.[[#This Row],[Y-tunnus]],#REF!,COLUMN(#REF!),FALSE),0)</f>
        <v>0</v>
      </c>
      <c r="R166" s="210">
        <f>IFERROR(VLOOKUP(Opv.kohd.[[#This Row],[Y-tunnus]],#REF!,COLUMN(#REF!),FALSE)-(Opv.kohd.[[#This Row],[Kohdentamaton työvoima-koulutus 2]]+Opv.kohd.[[#This Row],[Maahan-muuttajien koulutus 2]]+Opv.kohd.[[#This Row],[Lisätalousarvioiden perusteella jaetut 2]]),0)</f>
        <v>0</v>
      </c>
      <c r="S166" s="210">
        <f>IFERROR(VLOOKUP(Opv.kohd.[[#This Row],[Y-tunnus]],#REF!,COLUMN(#REF!),FALSE)+VLOOKUP(Opv.kohd.[[#This Row],[Y-tunnus]],#REF!,COLUMN(#REF!),FALSE),0)</f>
        <v>0</v>
      </c>
      <c r="T166" s="210">
        <f>IFERROR(VLOOKUP(Opv.kohd.[[#This Row],[Y-tunnus]],#REF!,COLUMN(#REF!),FALSE)+VLOOKUP(Opv.kohd.[[#This Row],[Y-tunnus]],#REF!,COLUMN(#REF!),FALSE),0)</f>
        <v>0</v>
      </c>
      <c r="U166"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66" s="210">
        <f>Opv.kohd.[[#This Row],[Kohdentamat-tomat 2]]+Opv.kohd.[[#This Row],[Kohdentamaton työvoima-koulutus 2]]+Opv.kohd.[[#This Row],[Maahan-muuttajien koulutus 2]]+Opv.kohd.[[#This Row],[Lisätalousarvioiden perusteella jaetut 2]]</f>
        <v>0</v>
      </c>
      <c r="W166" s="210">
        <f>Opv.kohd.[[#This Row],[Kohdentamat-tomat 2]]-(Opv.kohd.[[#This Row],[Järjestämisluvan mukaiset 1]]+Opv.kohd.[[#This Row],[Kohdentamat-tomat 1]]+Opv.kohd.[[#This Row],[Nuorisotyöt. väh. ja osaamistarp. vast., muu kuin työvoima-koulutus 1]]+Opv.kohd.[[#This Row],[Talousarvion perusteella kohdentamattomat]])</f>
        <v>0</v>
      </c>
      <c r="X166" s="210">
        <f>Opv.kohd.[[#This Row],[Kohdentamaton työvoima-koulutus 2]]-(Opv.kohd.[[#This Row],[Työvoima-koulutus 1]]+Opv.kohd.[[#This Row],[Nuorisotyöt. väh. ja osaamistarp. vast., työvoima-koulutus 1]]+Opv.kohd.[[#This Row],[Talousarvion perusteella työvoimakoulutus 1]])</f>
        <v>0</v>
      </c>
      <c r="Y166" s="210">
        <f>Opv.kohd.[[#This Row],[Maahan-muuttajien koulutus 2]]-Opv.kohd.[[#This Row],[Maahan-muuttajien koulutus 1]]</f>
        <v>0</v>
      </c>
      <c r="Z166" s="210">
        <f>Opv.kohd.[[#This Row],[Lisätalousarvioiden perusteella jaetut 2]]-Opv.kohd.[[#This Row],[Lisätalousarvioiden perusteella]]</f>
        <v>0</v>
      </c>
      <c r="AA166" s="210">
        <f>Opv.kohd.[[#This Row],[Toteutuneet opiskelijavuodet yhteensä 2]]-Opv.kohd.[[#This Row],[Vuoden 2018 tavoitteelliset opiskelijavuodet yhteensä 1]]</f>
        <v>0</v>
      </c>
      <c r="AB166" s="207">
        <f>IFERROR(VLOOKUP(Opv.kohd.[[#This Row],[Y-tunnus]],#REF!,3,FALSE),0)</f>
        <v>0</v>
      </c>
      <c r="AC166" s="207">
        <f>IFERROR(VLOOKUP(Opv.kohd.[[#This Row],[Y-tunnus]],#REF!,4,FALSE),0)</f>
        <v>0</v>
      </c>
      <c r="AD166" s="207">
        <f>IFERROR(VLOOKUP(Opv.kohd.[[#This Row],[Y-tunnus]],#REF!,5,FALSE),0)</f>
        <v>0</v>
      </c>
      <c r="AE166" s="207">
        <f>IFERROR(VLOOKUP(Opv.kohd.[[#This Row],[Y-tunnus]],#REF!,6,FALSE),0)</f>
        <v>0</v>
      </c>
      <c r="AF166" s="207">
        <f>IFERROR(VLOOKUP(Opv.kohd.[[#This Row],[Y-tunnus]],#REF!,7,FALSE),0)</f>
        <v>0</v>
      </c>
      <c r="AG166" s="207">
        <f>IFERROR(VLOOKUP(Opv.kohd.[[#This Row],[Y-tunnus]],#REF!,8,FALSE),0)</f>
        <v>0</v>
      </c>
      <c r="AH166" s="207">
        <f>IFERROR(VLOOKUP(Opv.kohd.[[#This Row],[Y-tunnus]],#REF!,9,FALSE),0)</f>
        <v>0</v>
      </c>
      <c r="AI166" s="207">
        <f>IFERROR(VLOOKUP(Opv.kohd.[[#This Row],[Y-tunnus]],#REF!,10,FALSE),0)</f>
        <v>0</v>
      </c>
      <c r="AJ166" s="204">
        <f>Opv.kohd.[[#This Row],[Järjestämisluvan mukaiset 4]]-Opv.kohd.[[#This Row],[Järjestämisluvan mukaiset 1]]</f>
        <v>0</v>
      </c>
      <c r="AK166" s="204">
        <f>Opv.kohd.[[#This Row],[Kohdentamat-tomat 4]]-Opv.kohd.[[#This Row],[Kohdentamat-tomat 1]]</f>
        <v>0</v>
      </c>
      <c r="AL166" s="204">
        <f>Opv.kohd.[[#This Row],[Työvoima-koulutus 4]]-Opv.kohd.[[#This Row],[Työvoima-koulutus 1]]</f>
        <v>0</v>
      </c>
      <c r="AM166" s="204">
        <f>Opv.kohd.[[#This Row],[Maahan-muuttajien koulutus 4]]-Opv.kohd.[[#This Row],[Maahan-muuttajien koulutus 1]]</f>
        <v>0</v>
      </c>
      <c r="AN166" s="204">
        <f>Opv.kohd.[[#This Row],[Nuorisotyöt. väh. ja osaamistarp. vast., muu kuin työvoima-koulutus 4]]-Opv.kohd.[[#This Row],[Nuorisotyöt. väh. ja osaamistarp. vast., muu kuin työvoima-koulutus 1]]</f>
        <v>0</v>
      </c>
      <c r="AO166" s="204">
        <f>Opv.kohd.[[#This Row],[Nuorisotyöt. väh. ja osaamistarp. vast., työvoima-koulutus 4]]-Opv.kohd.[[#This Row],[Nuorisotyöt. väh. ja osaamistarp. vast., työvoima-koulutus 1]]</f>
        <v>0</v>
      </c>
      <c r="AP166" s="204">
        <f>Opv.kohd.[[#This Row],[Yhteensä 4]]-Opv.kohd.[[#This Row],[Yhteensä  1]]</f>
        <v>0</v>
      </c>
      <c r="AQ166" s="204">
        <f>Opv.kohd.[[#This Row],[Ensikertaisella suoritepäätöksellä jaetut tavoitteelliset opiskelijavuodet yhteensä 4]]-Opv.kohd.[[#This Row],[Ensikertaisella suoritepäätöksellä jaetut tavoitteelliset opiskelijavuodet yhteensä 1]]</f>
        <v>0</v>
      </c>
      <c r="AR166" s="208">
        <f>IFERROR(Opv.kohd.[[#This Row],[Järjestämisluvan mukaiset 5]]/Opv.kohd.[[#This Row],[Järjestämisluvan mukaiset 4]],0)</f>
        <v>0</v>
      </c>
      <c r="AS166" s="208">
        <f>IFERROR(Opv.kohd.[[#This Row],[Kohdentamat-tomat 5]]/Opv.kohd.[[#This Row],[Kohdentamat-tomat 4]],0)</f>
        <v>0</v>
      </c>
      <c r="AT166" s="208">
        <f>IFERROR(Opv.kohd.[[#This Row],[Työvoima-koulutus 5]]/Opv.kohd.[[#This Row],[Työvoima-koulutus 4]],0)</f>
        <v>0</v>
      </c>
      <c r="AU166" s="208">
        <f>IFERROR(Opv.kohd.[[#This Row],[Maahan-muuttajien koulutus 5]]/Opv.kohd.[[#This Row],[Maahan-muuttajien koulutus 4]],0)</f>
        <v>0</v>
      </c>
      <c r="AV166" s="208">
        <f>IFERROR(Opv.kohd.[[#This Row],[Nuorisotyöt. väh. ja osaamistarp. vast., muu kuin työvoima-koulutus 5]]/Opv.kohd.[[#This Row],[Nuorisotyöt. väh. ja osaamistarp. vast., muu kuin työvoima-koulutus 4]],0)</f>
        <v>0</v>
      </c>
      <c r="AW166" s="208">
        <f>IFERROR(Opv.kohd.[[#This Row],[Nuorisotyöt. väh. ja osaamistarp. vast., työvoima-koulutus 5]]/Opv.kohd.[[#This Row],[Nuorisotyöt. väh. ja osaamistarp. vast., työvoima-koulutus 4]],0)</f>
        <v>0</v>
      </c>
      <c r="AX166" s="208">
        <f>IFERROR(Opv.kohd.[[#This Row],[Yhteensä 5]]/Opv.kohd.[[#This Row],[Yhteensä 4]],0)</f>
        <v>0</v>
      </c>
      <c r="AY166" s="208">
        <f>IFERROR(Opv.kohd.[[#This Row],[Ensikertaisella suoritepäätöksellä jaetut tavoitteelliset opiskelijavuodet yhteensä 5]]/Opv.kohd.[[#This Row],[Ensikertaisella suoritepäätöksellä jaetut tavoitteelliset opiskelijavuodet yhteensä 4]],0)</f>
        <v>0</v>
      </c>
      <c r="AZ166" s="207">
        <f>Opv.kohd.[[#This Row],[Yhteensä 7a]]-Opv.kohd.[[#This Row],[Työvoima-koulutus 7a]]</f>
        <v>0</v>
      </c>
      <c r="BA166" s="207">
        <f>IFERROR(VLOOKUP(Opv.kohd.[[#This Row],[Y-tunnus]],#REF!,COLUMN(#REF!),FALSE),0)</f>
        <v>0</v>
      </c>
      <c r="BB166" s="207">
        <f>IFERROR(VLOOKUP(Opv.kohd.[[#This Row],[Y-tunnus]],#REF!,COLUMN(#REF!),FALSE),0)</f>
        <v>0</v>
      </c>
      <c r="BC166" s="207">
        <f>Opv.kohd.[[#This Row],[Muu kuin työvoima-koulutus 7c]]-Opv.kohd.[[#This Row],[Muu kuin työvoima-koulutus 7a]]</f>
        <v>0</v>
      </c>
      <c r="BD166" s="207">
        <f>Opv.kohd.[[#This Row],[Työvoima-koulutus 7c]]-Opv.kohd.[[#This Row],[Työvoima-koulutus 7a]]</f>
        <v>0</v>
      </c>
      <c r="BE166" s="207">
        <f>Opv.kohd.[[#This Row],[Yhteensä 7c]]-Opv.kohd.[[#This Row],[Yhteensä 7a]]</f>
        <v>0</v>
      </c>
      <c r="BF166" s="207">
        <f>Opv.kohd.[[#This Row],[Yhteensä 7c]]-Opv.kohd.[[#This Row],[Työvoima-koulutus 7c]]</f>
        <v>0</v>
      </c>
      <c r="BG166" s="207">
        <f>IFERROR(VLOOKUP(Opv.kohd.[[#This Row],[Y-tunnus]],#REF!,COLUMN(#REF!),FALSE),0)</f>
        <v>0</v>
      </c>
      <c r="BH166" s="207">
        <f>IFERROR(VLOOKUP(Opv.kohd.[[#This Row],[Y-tunnus]],#REF!,COLUMN(#REF!),FALSE),0)</f>
        <v>0</v>
      </c>
      <c r="BI166" s="207">
        <f>IFERROR(VLOOKUP(Opv.kohd.[[#This Row],[Y-tunnus]],#REF!,COLUMN(#REF!),FALSE),0)</f>
        <v>0</v>
      </c>
      <c r="BJ166" s="207">
        <f>IFERROR(VLOOKUP(Opv.kohd.[[#This Row],[Y-tunnus]],#REF!,COLUMN(#REF!),FALSE),0)</f>
        <v>0</v>
      </c>
      <c r="BK166" s="207">
        <f>Opv.kohd.[[#This Row],[Muu kuin työvoima-koulutus 7d]]+Opv.kohd.[[#This Row],[Työvoima-koulutus 7d]]</f>
        <v>0</v>
      </c>
      <c r="BL166" s="207">
        <f>Opv.kohd.[[#This Row],[Muu kuin työvoima-koulutus 7c]]-Opv.kohd.[[#This Row],[Muu kuin työvoima-koulutus 7d]]</f>
        <v>0</v>
      </c>
      <c r="BM166" s="207">
        <f>Opv.kohd.[[#This Row],[Työvoima-koulutus 7c]]-Opv.kohd.[[#This Row],[Työvoima-koulutus 7d]]</f>
        <v>0</v>
      </c>
      <c r="BN166" s="207">
        <f>Opv.kohd.[[#This Row],[Yhteensä 7c]]-Opv.kohd.[[#This Row],[Yhteensä 7d]]</f>
        <v>0</v>
      </c>
      <c r="BO166" s="207">
        <f>Opv.kohd.[[#This Row],[Muu kuin työvoima-koulutus 7e]]-(Opv.kohd.[[#This Row],[Järjestämisluvan mukaiset 4]]+Opv.kohd.[[#This Row],[Kohdentamat-tomat 4]]+Opv.kohd.[[#This Row],[Maahan-muuttajien koulutus 4]]+Opv.kohd.[[#This Row],[Nuorisotyöt. väh. ja osaamistarp. vast., muu kuin työvoima-koulutus 4]])</f>
        <v>0</v>
      </c>
      <c r="BP166" s="207">
        <f>Opv.kohd.[[#This Row],[Työvoima-koulutus 7e]]-(Opv.kohd.[[#This Row],[Työvoima-koulutus 4]]+Opv.kohd.[[#This Row],[Nuorisotyöt. väh. ja osaamistarp. vast., työvoima-koulutus 4]])</f>
        <v>0</v>
      </c>
      <c r="BQ166" s="207">
        <f>Opv.kohd.[[#This Row],[Yhteensä 7e]]-Opv.kohd.[[#This Row],[Ensikertaisella suoritepäätöksellä jaetut tavoitteelliset opiskelijavuodet yhteensä 4]]</f>
        <v>0</v>
      </c>
      <c r="BR166" s="264">
        <v>0</v>
      </c>
      <c r="BS166" s="264">
        <v>0</v>
      </c>
      <c r="BT166" s="264">
        <v>0</v>
      </c>
      <c r="BU166" s="264">
        <v>0</v>
      </c>
      <c r="BV166" s="264">
        <v>0</v>
      </c>
      <c r="BW166" s="264">
        <v>0</v>
      </c>
      <c r="BX166" s="264">
        <v>0</v>
      </c>
      <c r="BY166" s="264">
        <v>0</v>
      </c>
      <c r="BZ166" s="207">
        <f t="shared" si="32"/>
        <v>0</v>
      </c>
      <c r="CA166" s="207">
        <f t="shared" si="33"/>
        <v>0</v>
      </c>
      <c r="CB166" s="207">
        <f t="shared" si="34"/>
        <v>0</v>
      </c>
      <c r="CC166" s="207">
        <f t="shared" si="35"/>
        <v>0</v>
      </c>
      <c r="CD166" s="207">
        <f t="shared" si="36"/>
        <v>0</v>
      </c>
      <c r="CE166" s="207">
        <f t="shared" si="37"/>
        <v>0</v>
      </c>
      <c r="CF166" s="207">
        <f t="shared" si="38"/>
        <v>0</v>
      </c>
      <c r="CG166" s="207">
        <f t="shared" si="39"/>
        <v>0</v>
      </c>
      <c r="CH166" s="207">
        <f>Opv.kohd.[[#This Row],[Tavoitteelliset opiskelijavuodet yhteensä 9]]-Opv.kohd.[[#This Row],[Työvoima-koulutus 9]]-Opv.kohd.[[#This Row],[Nuorisotyöt. väh. ja osaamistarp. vast., työvoima-koulutus 9]]-Opv.kohd.[[#This Row],[Muu kuin työvoima-koulutus 7e]]</f>
        <v>0</v>
      </c>
      <c r="CI166" s="207">
        <f>(Opv.kohd.[[#This Row],[Työvoima-koulutus 9]]+Opv.kohd.[[#This Row],[Nuorisotyöt. väh. ja osaamistarp. vast., työvoima-koulutus 9]])-Opv.kohd.[[#This Row],[Työvoima-koulutus 7e]]</f>
        <v>0</v>
      </c>
      <c r="CJ166" s="207">
        <f>Opv.kohd.[[#This Row],[Tavoitteelliset opiskelijavuodet yhteensä 9]]-Opv.kohd.[[#This Row],[Yhteensä 7e]]</f>
        <v>0</v>
      </c>
      <c r="CK166" s="207">
        <f>Opv.kohd.[[#This Row],[Järjestämisluvan mukaiset 4]]+Opv.kohd.[[#This Row],[Järjestämisluvan mukaiset 13]]</f>
        <v>0</v>
      </c>
      <c r="CL166" s="207">
        <f>Opv.kohd.[[#This Row],[Kohdentamat-tomat 4]]+Opv.kohd.[[#This Row],[Kohdentamat-tomat 13]]</f>
        <v>0</v>
      </c>
      <c r="CM166" s="207">
        <f>Opv.kohd.[[#This Row],[Työvoima-koulutus 4]]+Opv.kohd.[[#This Row],[Työvoima-koulutus 13]]</f>
        <v>0</v>
      </c>
      <c r="CN166" s="207">
        <f>Opv.kohd.[[#This Row],[Maahan-muuttajien koulutus 4]]+Opv.kohd.[[#This Row],[Maahan-muuttajien koulutus 13]]</f>
        <v>0</v>
      </c>
      <c r="CO166" s="207">
        <f>Opv.kohd.[[#This Row],[Nuorisotyöt. väh. ja osaamistarp. vast., muu kuin työvoima-koulutus 4]]+Opv.kohd.[[#This Row],[Nuorisotyöt. väh. ja osaamistarp. vast., muu kuin työvoima-koulutus 13]]</f>
        <v>0</v>
      </c>
      <c r="CP166" s="207">
        <f>Opv.kohd.[[#This Row],[Nuorisotyöt. väh. ja osaamistarp. vast., työvoima-koulutus 4]]+Opv.kohd.[[#This Row],[Nuorisotyöt. väh. ja osaamistarp. vast., työvoima-koulutus 13]]</f>
        <v>0</v>
      </c>
      <c r="CQ166" s="207">
        <f>Opv.kohd.[[#This Row],[Yhteensä 4]]+Opv.kohd.[[#This Row],[Yhteensä 13]]</f>
        <v>0</v>
      </c>
      <c r="CR166" s="207">
        <f>Opv.kohd.[[#This Row],[Ensikertaisella suoritepäätöksellä jaetut tavoitteelliset opiskelijavuodet yhteensä 4]]+Opv.kohd.[[#This Row],[Tavoitteelliset opiskelijavuodet yhteensä 13]]</f>
        <v>0</v>
      </c>
      <c r="CS166" s="120">
        <v>0</v>
      </c>
      <c r="CT166" s="120">
        <v>0</v>
      </c>
      <c r="CU166" s="120">
        <v>0</v>
      </c>
      <c r="CV166" s="120">
        <v>0</v>
      </c>
      <c r="CW166" s="120">
        <v>0</v>
      </c>
      <c r="CX166" s="120">
        <v>0</v>
      </c>
      <c r="CY166" s="120">
        <v>0</v>
      </c>
      <c r="CZ166" s="120">
        <v>0</v>
      </c>
      <c r="DA166" s="209">
        <f>IFERROR(Opv.kohd.[[#This Row],[Järjestämisluvan mukaiset 13]]/Opv.kohd.[[#This Row],[Järjestämisluvan mukaiset 12]],0)</f>
        <v>0</v>
      </c>
      <c r="DB166" s="209">
        <f>IFERROR(Opv.kohd.[[#This Row],[Kohdentamat-tomat 13]]/Opv.kohd.[[#This Row],[Kohdentamat-tomat 12]],0)</f>
        <v>0</v>
      </c>
      <c r="DC166" s="209">
        <f>IFERROR(Opv.kohd.[[#This Row],[Työvoima-koulutus 13]]/Opv.kohd.[[#This Row],[Työvoima-koulutus 12]],0)</f>
        <v>0</v>
      </c>
      <c r="DD166" s="209">
        <f>IFERROR(Opv.kohd.[[#This Row],[Maahan-muuttajien koulutus 13]]/Opv.kohd.[[#This Row],[Maahan-muuttajien koulutus 12]],0)</f>
        <v>0</v>
      </c>
      <c r="DE166" s="209">
        <f>IFERROR(Opv.kohd.[[#This Row],[Nuorisotyöt. väh. ja osaamistarp. vast., muu kuin työvoima-koulutus 13]]/Opv.kohd.[[#This Row],[Nuorisotyöt. väh. ja osaamistarp. vast., muu kuin työvoima-koulutus 12]],0)</f>
        <v>0</v>
      </c>
      <c r="DF166" s="209">
        <f>IFERROR(Opv.kohd.[[#This Row],[Nuorisotyöt. väh. ja osaamistarp. vast., työvoima-koulutus 13]]/Opv.kohd.[[#This Row],[Nuorisotyöt. väh. ja osaamistarp. vast., työvoima-koulutus 12]],0)</f>
        <v>0</v>
      </c>
      <c r="DG166" s="209">
        <f>IFERROR(Opv.kohd.[[#This Row],[Yhteensä 13]]/Opv.kohd.[[#This Row],[Yhteensä 12]],0)</f>
        <v>0</v>
      </c>
      <c r="DH166" s="209">
        <f>IFERROR(Opv.kohd.[[#This Row],[Tavoitteelliset opiskelijavuodet yhteensä 13]]/Opv.kohd.[[#This Row],[Tavoitteelliset opiskelijavuodet yhteensä 12]],0)</f>
        <v>0</v>
      </c>
      <c r="DI166" s="207">
        <f>Opv.kohd.[[#This Row],[Järjestämisluvan mukaiset 12]]-Opv.kohd.[[#This Row],[Järjestämisluvan mukaiset 9]]</f>
        <v>0</v>
      </c>
      <c r="DJ166" s="207">
        <f>Opv.kohd.[[#This Row],[Kohdentamat-tomat 12]]-Opv.kohd.[[#This Row],[Kohdentamat-tomat 9]]</f>
        <v>0</v>
      </c>
      <c r="DK166" s="207">
        <f>Opv.kohd.[[#This Row],[Työvoima-koulutus 12]]-Opv.kohd.[[#This Row],[Työvoima-koulutus 9]]</f>
        <v>0</v>
      </c>
      <c r="DL166" s="207">
        <f>Opv.kohd.[[#This Row],[Maahan-muuttajien koulutus 12]]-Opv.kohd.[[#This Row],[Maahan-muuttajien koulutus 9]]</f>
        <v>0</v>
      </c>
      <c r="DM166" s="207">
        <f>Opv.kohd.[[#This Row],[Nuorisotyöt. väh. ja osaamistarp. vast., muu kuin työvoima-koulutus 12]]-Opv.kohd.[[#This Row],[Nuorisotyöt. väh. ja osaamistarp. vast., muu kuin työvoima-koulutus 9]]</f>
        <v>0</v>
      </c>
      <c r="DN166" s="207">
        <f>Opv.kohd.[[#This Row],[Nuorisotyöt. väh. ja osaamistarp. vast., työvoima-koulutus 12]]-Opv.kohd.[[#This Row],[Nuorisotyöt. väh. ja osaamistarp. vast., työvoima-koulutus 9]]</f>
        <v>0</v>
      </c>
      <c r="DO166" s="207">
        <f>Opv.kohd.[[#This Row],[Yhteensä 12]]-Opv.kohd.[[#This Row],[Yhteensä 9]]</f>
        <v>0</v>
      </c>
      <c r="DP166" s="207">
        <f>Opv.kohd.[[#This Row],[Tavoitteelliset opiskelijavuodet yhteensä 12]]-Opv.kohd.[[#This Row],[Tavoitteelliset opiskelijavuodet yhteensä 9]]</f>
        <v>0</v>
      </c>
      <c r="DQ166" s="209">
        <f>IFERROR(Opv.kohd.[[#This Row],[Järjestämisluvan mukaiset 15]]/Opv.kohd.[[#This Row],[Järjestämisluvan mukaiset 9]],0)</f>
        <v>0</v>
      </c>
      <c r="DR166" s="209">
        <f t="shared" si="40"/>
        <v>0</v>
      </c>
      <c r="DS166" s="209">
        <f t="shared" si="41"/>
        <v>0</v>
      </c>
      <c r="DT166" s="209">
        <f t="shared" si="42"/>
        <v>0</v>
      </c>
      <c r="DU166" s="209">
        <f t="shared" si="43"/>
        <v>0</v>
      </c>
      <c r="DV166" s="209">
        <f t="shared" si="44"/>
        <v>0</v>
      </c>
      <c r="DW166" s="209">
        <f t="shared" si="45"/>
        <v>0</v>
      </c>
      <c r="DX166" s="209">
        <f t="shared" si="46"/>
        <v>0</v>
      </c>
    </row>
    <row r="167" spans="1:128" x14ac:dyDescent="0.25">
      <c r="A167" s="204" t="e">
        <f>IF(INDEX(#REF!,ROW(167:167)-1,1)=0,"",INDEX(#REF!,ROW(167:167)-1,1))</f>
        <v>#REF!</v>
      </c>
      <c r="B167" s="205" t="str">
        <f>IFERROR(VLOOKUP(Opv.kohd.[[#This Row],[Y-tunnus]],'0 Järjestäjätiedot'!$A:$H,2,FALSE),"")</f>
        <v/>
      </c>
      <c r="C167" s="204" t="str">
        <f>IFERROR(VLOOKUP(Opv.kohd.[[#This Row],[Y-tunnus]],'0 Järjestäjätiedot'!$A:$H,COLUMN('0 Järjestäjätiedot'!D:D),FALSE),"")</f>
        <v/>
      </c>
      <c r="D167" s="204" t="str">
        <f>IFERROR(VLOOKUP(Opv.kohd.[[#This Row],[Y-tunnus]],'0 Järjestäjätiedot'!$A:$H,COLUMN('0 Järjestäjätiedot'!H:H),FALSE),"")</f>
        <v/>
      </c>
      <c r="E167" s="204">
        <f>IFERROR(VLOOKUP(Opv.kohd.[[#This Row],[Y-tunnus]],#REF!,COLUMN(#REF!),FALSE),0)</f>
        <v>0</v>
      </c>
      <c r="F167" s="204">
        <f>IFERROR(VLOOKUP(Opv.kohd.[[#This Row],[Y-tunnus]],#REF!,COLUMN(#REF!),FALSE),0)</f>
        <v>0</v>
      </c>
      <c r="G167" s="204">
        <f>IFERROR(VLOOKUP(Opv.kohd.[[#This Row],[Y-tunnus]],#REF!,COLUMN(#REF!),FALSE),0)</f>
        <v>0</v>
      </c>
      <c r="H167" s="204">
        <f>IFERROR(VLOOKUP(Opv.kohd.[[#This Row],[Y-tunnus]],#REF!,COLUMN(#REF!),FALSE),0)</f>
        <v>0</v>
      </c>
      <c r="I167" s="204">
        <f>IFERROR(VLOOKUP(Opv.kohd.[[#This Row],[Y-tunnus]],#REF!,COLUMN(#REF!),FALSE),0)</f>
        <v>0</v>
      </c>
      <c r="J167" s="204">
        <f>IFERROR(VLOOKUP(Opv.kohd.[[#This Row],[Y-tunnus]],#REF!,COLUMN(#REF!),FALSE),0)</f>
        <v>0</v>
      </c>
      <c r="K167"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67" s="204">
        <f>Opv.kohd.[[#This Row],[Järjestämisluvan mukaiset 1]]+Opv.kohd.[[#This Row],[Yhteensä  1]]</f>
        <v>0</v>
      </c>
      <c r="M167" s="204">
        <f>IFERROR(VLOOKUP(Opv.kohd.[[#This Row],[Y-tunnus]],#REF!,COLUMN(#REF!),FALSE),0)</f>
        <v>0</v>
      </c>
      <c r="N167" s="204">
        <f>IFERROR(VLOOKUP(Opv.kohd.[[#This Row],[Y-tunnus]],#REF!,COLUMN(#REF!),FALSE),0)</f>
        <v>0</v>
      </c>
      <c r="O167" s="204">
        <f>IFERROR(VLOOKUP(Opv.kohd.[[#This Row],[Y-tunnus]],#REF!,COLUMN(#REF!),FALSE)+VLOOKUP(Opv.kohd.[[#This Row],[Y-tunnus]],#REF!,COLUMN(#REF!),FALSE),0)</f>
        <v>0</v>
      </c>
      <c r="P167" s="204">
        <f>Opv.kohd.[[#This Row],[Talousarvion perusteella kohdentamattomat]]+Opv.kohd.[[#This Row],[Talousarvion perusteella työvoimakoulutus 1]]+Opv.kohd.[[#This Row],[Lisätalousarvioiden perusteella]]</f>
        <v>0</v>
      </c>
      <c r="Q167" s="204">
        <f>IFERROR(VLOOKUP(Opv.kohd.[[#This Row],[Y-tunnus]],#REF!,COLUMN(#REF!),FALSE),0)</f>
        <v>0</v>
      </c>
      <c r="R167" s="210">
        <f>IFERROR(VLOOKUP(Opv.kohd.[[#This Row],[Y-tunnus]],#REF!,COLUMN(#REF!),FALSE)-(Opv.kohd.[[#This Row],[Kohdentamaton työvoima-koulutus 2]]+Opv.kohd.[[#This Row],[Maahan-muuttajien koulutus 2]]+Opv.kohd.[[#This Row],[Lisätalousarvioiden perusteella jaetut 2]]),0)</f>
        <v>0</v>
      </c>
      <c r="S167" s="210">
        <f>IFERROR(VLOOKUP(Opv.kohd.[[#This Row],[Y-tunnus]],#REF!,COLUMN(#REF!),FALSE)+VLOOKUP(Opv.kohd.[[#This Row],[Y-tunnus]],#REF!,COLUMN(#REF!),FALSE),0)</f>
        <v>0</v>
      </c>
      <c r="T167" s="210">
        <f>IFERROR(VLOOKUP(Opv.kohd.[[#This Row],[Y-tunnus]],#REF!,COLUMN(#REF!),FALSE)+VLOOKUP(Opv.kohd.[[#This Row],[Y-tunnus]],#REF!,COLUMN(#REF!),FALSE),0)</f>
        <v>0</v>
      </c>
      <c r="U167"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67" s="210">
        <f>Opv.kohd.[[#This Row],[Kohdentamat-tomat 2]]+Opv.kohd.[[#This Row],[Kohdentamaton työvoima-koulutus 2]]+Opv.kohd.[[#This Row],[Maahan-muuttajien koulutus 2]]+Opv.kohd.[[#This Row],[Lisätalousarvioiden perusteella jaetut 2]]</f>
        <v>0</v>
      </c>
      <c r="W167" s="210">
        <f>Opv.kohd.[[#This Row],[Kohdentamat-tomat 2]]-(Opv.kohd.[[#This Row],[Järjestämisluvan mukaiset 1]]+Opv.kohd.[[#This Row],[Kohdentamat-tomat 1]]+Opv.kohd.[[#This Row],[Nuorisotyöt. väh. ja osaamistarp. vast., muu kuin työvoima-koulutus 1]]+Opv.kohd.[[#This Row],[Talousarvion perusteella kohdentamattomat]])</f>
        <v>0</v>
      </c>
      <c r="X167" s="210">
        <f>Opv.kohd.[[#This Row],[Kohdentamaton työvoima-koulutus 2]]-(Opv.kohd.[[#This Row],[Työvoima-koulutus 1]]+Opv.kohd.[[#This Row],[Nuorisotyöt. väh. ja osaamistarp. vast., työvoima-koulutus 1]]+Opv.kohd.[[#This Row],[Talousarvion perusteella työvoimakoulutus 1]])</f>
        <v>0</v>
      </c>
      <c r="Y167" s="210">
        <f>Opv.kohd.[[#This Row],[Maahan-muuttajien koulutus 2]]-Opv.kohd.[[#This Row],[Maahan-muuttajien koulutus 1]]</f>
        <v>0</v>
      </c>
      <c r="Z167" s="210">
        <f>Opv.kohd.[[#This Row],[Lisätalousarvioiden perusteella jaetut 2]]-Opv.kohd.[[#This Row],[Lisätalousarvioiden perusteella]]</f>
        <v>0</v>
      </c>
      <c r="AA167" s="210">
        <f>Opv.kohd.[[#This Row],[Toteutuneet opiskelijavuodet yhteensä 2]]-Opv.kohd.[[#This Row],[Vuoden 2018 tavoitteelliset opiskelijavuodet yhteensä 1]]</f>
        <v>0</v>
      </c>
      <c r="AB167" s="207">
        <f>IFERROR(VLOOKUP(Opv.kohd.[[#This Row],[Y-tunnus]],#REF!,3,FALSE),0)</f>
        <v>0</v>
      </c>
      <c r="AC167" s="207">
        <f>IFERROR(VLOOKUP(Opv.kohd.[[#This Row],[Y-tunnus]],#REF!,4,FALSE),0)</f>
        <v>0</v>
      </c>
      <c r="AD167" s="207">
        <f>IFERROR(VLOOKUP(Opv.kohd.[[#This Row],[Y-tunnus]],#REF!,5,FALSE),0)</f>
        <v>0</v>
      </c>
      <c r="AE167" s="207">
        <f>IFERROR(VLOOKUP(Opv.kohd.[[#This Row],[Y-tunnus]],#REF!,6,FALSE),0)</f>
        <v>0</v>
      </c>
      <c r="AF167" s="207">
        <f>IFERROR(VLOOKUP(Opv.kohd.[[#This Row],[Y-tunnus]],#REF!,7,FALSE),0)</f>
        <v>0</v>
      </c>
      <c r="AG167" s="207">
        <f>IFERROR(VLOOKUP(Opv.kohd.[[#This Row],[Y-tunnus]],#REF!,8,FALSE),0)</f>
        <v>0</v>
      </c>
      <c r="AH167" s="207">
        <f>IFERROR(VLOOKUP(Opv.kohd.[[#This Row],[Y-tunnus]],#REF!,9,FALSE),0)</f>
        <v>0</v>
      </c>
      <c r="AI167" s="207">
        <f>IFERROR(VLOOKUP(Opv.kohd.[[#This Row],[Y-tunnus]],#REF!,10,FALSE),0)</f>
        <v>0</v>
      </c>
      <c r="AJ167" s="204">
        <f>Opv.kohd.[[#This Row],[Järjestämisluvan mukaiset 4]]-Opv.kohd.[[#This Row],[Järjestämisluvan mukaiset 1]]</f>
        <v>0</v>
      </c>
      <c r="AK167" s="204">
        <f>Opv.kohd.[[#This Row],[Kohdentamat-tomat 4]]-Opv.kohd.[[#This Row],[Kohdentamat-tomat 1]]</f>
        <v>0</v>
      </c>
      <c r="AL167" s="204">
        <f>Opv.kohd.[[#This Row],[Työvoima-koulutus 4]]-Opv.kohd.[[#This Row],[Työvoima-koulutus 1]]</f>
        <v>0</v>
      </c>
      <c r="AM167" s="204">
        <f>Opv.kohd.[[#This Row],[Maahan-muuttajien koulutus 4]]-Opv.kohd.[[#This Row],[Maahan-muuttajien koulutus 1]]</f>
        <v>0</v>
      </c>
      <c r="AN167" s="204">
        <f>Opv.kohd.[[#This Row],[Nuorisotyöt. väh. ja osaamistarp. vast., muu kuin työvoima-koulutus 4]]-Opv.kohd.[[#This Row],[Nuorisotyöt. väh. ja osaamistarp. vast., muu kuin työvoima-koulutus 1]]</f>
        <v>0</v>
      </c>
      <c r="AO167" s="204">
        <f>Opv.kohd.[[#This Row],[Nuorisotyöt. väh. ja osaamistarp. vast., työvoima-koulutus 4]]-Opv.kohd.[[#This Row],[Nuorisotyöt. väh. ja osaamistarp. vast., työvoima-koulutus 1]]</f>
        <v>0</v>
      </c>
      <c r="AP167" s="204">
        <f>Opv.kohd.[[#This Row],[Yhteensä 4]]-Opv.kohd.[[#This Row],[Yhteensä  1]]</f>
        <v>0</v>
      </c>
      <c r="AQ167" s="204">
        <f>Opv.kohd.[[#This Row],[Ensikertaisella suoritepäätöksellä jaetut tavoitteelliset opiskelijavuodet yhteensä 4]]-Opv.kohd.[[#This Row],[Ensikertaisella suoritepäätöksellä jaetut tavoitteelliset opiskelijavuodet yhteensä 1]]</f>
        <v>0</v>
      </c>
      <c r="AR167" s="208">
        <f>IFERROR(Opv.kohd.[[#This Row],[Järjestämisluvan mukaiset 5]]/Opv.kohd.[[#This Row],[Järjestämisluvan mukaiset 4]],0)</f>
        <v>0</v>
      </c>
      <c r="AS167" s="208">
        <f>IFERROR(Opv.kohd.[[#This Row],[Kohdentamat-tomat 5]]/Opv.kohd.[[#This Row],[Kohdentamat-tomat 4]],0)</f>
        <v>0</v>
      </c>
      <c r="AT167" s="208">
        <f>IFERROR(Opv.kohd.[[#This Row],[Työvoima-koulutus 5]]/Opv.kohd.[[#This Row],[Työvoima-koulutus 4]],0)</f>
        <v>0</v>
      </c>
      <c r="AU167" s="208">
        <f>IFERROR(Opv.kohd.[[#This Row],[Maahan-muuttajien koulutus 5]]/Opv.kohd.[[#This Row],[Maahan-muuttajien koulutus 4]],0)</f>
        <v>0</v>
      </c>
      <c r="AV167" s="208">
        <f>IFERROR(Opv.kohd.[[#This Row],[Nuorisotyöt. väh. ja osaamistarp. vast., muu kuin työvoima-koulutus 5]]/Opv.kohd.[[#This Row],[Nuorisotyöt. väh. ja osaamistarp. vast., muu kuin työvoima-koulutus 4]],0)</f>
        <v>0</v>
      </c>
      <c r="AW167" s="208">
        <f>IFERROR(Opv.kohd.[[#This Row],[Nuorisotyöt. väh. ja osaamistarp. vast., työvoima-koulutus 5]]/Opv.kohd.[[#This Row],[Nuorisotyöt. väh. ja osaamistarp. vast., työvoima-koulutus 4]],0)</f>
        <v>0</v>
      </c>
      <c r="AX167" s="208">
        <f>IFERROR(Opv.kohd.[[#This Row],[Yhteensä 5]]/Opv.kohd.[[#This Row],[Yhteensä 4]],0)</f>
        <v>0</v>
      </c>
      <c r="AY167" s="208">
        <f>IFERROR(Opv.kohd.[[#This Row],[Ensikertaisella suoritepäätöksellä jaetut tavoitteelliset opiskelijavuodet yhteensä 5]]/Opv.kohd.[[#This Row],[Ensikertaisella suoritepäätöksellä jaetut tavoitteelliset opiskelijavuodet yhteensä 4]],0)</f>
        <v>0</v>
      </c>
      <c r="AZ167" s="207">
        <f>Opv.kohd.[[#This Row],[Yhteensä 7a]]-Opv.kohd.[[#This Row],[Työvoima-koulutus 7a]]</f>
        <v>0</v>
      </c>
      <c r="BA167" s="207">
        <f>IFERROR(VLOOKUP(Opv.kohd.[[#This Row],[Y-tunnus]],#REF!,COLUMN(#REF!),FALSE),0)</f>
        <v>0</v>
      </c>
      <c r="BB167" s="207">
        <f>IFERROR(VLOOKUP(Opv.kohd.[[#This Row],[Y-tunnus]],#REF!,COLUMN(#REF!),FALSE),0)</f>
        <v>0</v>
      </c>
      <c r="BC167" s="207">
        <f>Opv.kohd.[[#This Row],[Muu kuin työvoima-koulutus 7c]]-Opv.kohd.[[#This Row],[Muu kuin työvoima-koulutus 7a]]</f>
        <v>0</v>
      </c>
      <c r="BD167" s="207">
        <f>Opv.kohd.[[#This Row],[Työvoima-koulutus 7c]]-Opv.kohd.[[#This Row],[Työvoima-koulutus 7a]]</f>
        <v>0</v>
      </c>
      <c r="BE167" s="207">
        <f>Opv.kohd.[[#This Row],[Yhteensä 7c]]-Opv.kohd.[[#This Row],[Yhteensä 7a]]</f>
        <v>0</v>
      </c>
      <c r="BF167" s="207">
        <f>Opv.kohd.[[#This Row],[Yhteensä 7c]]-Opv.kohd.[[#This Row],[Työvoima-koulutus 7c]]</f>
        <v>0</v>
      </c>
      <c r="BG167" s="207">
        <f>IFERROR(VLOOKUP(Opv.kohd.[[#This Row],[Y-tunnus]],#REF!,COLUMN(#REF!),FALSE),0)</f>
        <v>0</v>
      </c>
      <c r="BH167" s="207">
        <f>IFERROR(VLOOKUP(Opv.kohd.[[#This Row],[Y-tunnus]],#REF!,COLUMN(#REF!),FALSE),0)</f>
        <v>0</v>
      </c>
      <c r="BI167" s="207">
        <f>IFERROR(VLOOKUP(Opv.kohd.[[#This Row],[Y-tunnus]],#REF!,COLUMN(#REF!),FALSE),0)</f>
        <v>0</v>
      </c>
      <c r="BJ167" s="207">
        <f>IFERROR(VLOOKUP(Opv.kohd.[[#This Row],[Y-tunnus]],#REF!,COLUMN(#REF!),FALSE),0)</f>
        <v>0</v>
      </c>
      <c r="BK167" s="207">
        <f>Opv.kohd.[[#This Row],[Muu kuin työvoima-koulutus 7d]]+Opv.kohd.[[#This Row],[Työvoima-koulutus 7d]]</f>
        <v>0</v>
      </c>
      <c r="BL167" s="207">
        <f>Opv.kohd.[[#This Row],[Muu kuin työvoima-koulutus 7c]]-Opv.kohd.[[#This Row],[Muu kuin työvoima-koulutus 7d]]</f>
        <v>0</v>
      </c>
      <c r="BM167" s="207">
        <f>Opv.kohd.[[#This Row],[Työvoima-koulutus 7c]]-Opv.kohd.[[#This Row],[Työvoima-koulutus 7d]]</f>
        <v>0</v>
      </c>
      <c r="BN167" s="207">
        <f>Opv.kohd.[[#This Row],[Yhteensä 7c]]-Opv.kohd.[[#This Row],[Yhteensä 7d]]</f>
        <v>0</v>
      </c>
      <c r="BO167" s="207">
        <f>Opv.kohd.[[#This Row],[Muu kuin työvoima-koulutus 7e]]-(Opv.kohd.[[#This Row],[Järjestämisluvan mukaiset 4]]+Opv.kohd.[[#This Row],[Kohdentamat-tomat 4]]+Opv.kohd.[[#This Row],[Maahan-muuttajien koulutus 4]]+Opv.kohd.[[#This Row],[Nuorisotyöt. väh. ja osaamistarp. vast., muu kuin työvoima-koulutus 4]])</f>
        <v>0</v>
      </c>
      <c r="BP167" s="207">
        <f>Opv.kohd.[[#This Row],[Työvoima-koulutus 7e]]-(Opv.kohd.[[#This Row],[Työvoima-koulutus 4]]+Opv.kohd.[[#This Row],[Nuorisotyöt. väh. ja osaamistarp. vast., työvoima-koulutus 4]])</f>
        <v>0</v>
      </c>
      <c r="BQ167" s="207">
        <f>Opv.kohd.[[#This Row],[Yhteensä 7e]]-Opv.kohd.[[#This Row],[Ensikertaisella suoritepäätöksellä jaetut tavoitteelliset opiskelijavuodet yhteensä 4]]</f>
        <v>0</v>
      </c>
      <c r="BR167" s="263">
        <v>0</v>
      </c>
      <c r="BS167" s="263">
        <v>0</v>
      </c>
      <c r="BT167" s="263">
        <v>0</v>
      </c>
      <c r="BU167" s="263">
        <v>0</v>
      </c>
      <c r="BV167" s="263">
        <v>0</v>
      </c>
      <c r="BW167" s="263">
        <v>0</v>
      </c>
      <c r="BX167" s="263">
        <v>0</v>
      </c>
      <c r="BY167" s="263">
        <v>0</v>
      </c>
      <c r="BZ167" s="207">
        <f t="shared" si="32"/>
        <v>0</v>
      </c>
      <c r="CA167" s="207">
        <f t="shared" si="33"/>
        <v>0</v>
      </c>
      <c r="CB167" s="207">
        <f t="shared" si="34"/>
        <v>0</v>
      </c>
      <c r="CC167" s="207">
        <f t="shared" si="35"/>
        <v>0</v>
      </c>
      <c r="CD167" s="207">
        <f t="shared" si="36"/>
        <v>0</v>
      </c>
      <c r="CE167" s="207">
        <f t="shared" si="37"/>
        <v>0</v>
      </c>
      <c r="CF167" s="207">
        <f t="shared" si="38"/>
        <v>0</v>
      </c>
      <c r="CG167" s="207">
        <f t="shared" si="39"/>
        <v>0</v>
      </c>
      <c r="CH167" s="207">
        <f>Opv.kohd.[[#This Row],[Tavoitteelliset opiskelijavuodet yhteensä 9]]-Opv.kohd.[[#This Row],[Työvoima-koulutus 9]]-Opv.kohd.[[#This Row],[Nuorisotyöt. väh. ja osaamistarp. vast., työvoima-koulutus 9]]-Opv.kohd.[[#This Row],[Muu kuin työvoima-koulutus 7e]]</f>
        <v>0</v>
      </c>
      <c r="CI167" s="207">
        <f>(Opv.kohd.[[#This Row],[Työvoima-koulutus 9]]+Opv.kohd.[[#This Row],[Nuorisotyöt. väh. ja osaamistarp. vast., työvoima-koulutus 9]])-Opv.kohd.[[#This Row],[Työvoima-koulutus 7e]]</f>
        <v>0</v>
      </c>
      <c r="CJ167" s="207">
        <f>Opv.kohd.[[#This Row],[Tavoitteelliset opiskelijavuodet yhteensä 9]]-Opv.kohd.[[#This Row],[Yhteensä 7e]]</f>
        <v>0</v>
      </c>
      <c r="CK167" s="207">
        <f>Opv.kohd.[[#This Row],[Järjestämisluvan mukaiset 4]]+Opv.kohd.[[#This Row],[Järjestämisluvan mukaiset 13]]</f>
        <v>0</v>
      </c>
      <c r="CL167" s="207">
        <f>Opv.kohd.[[#This Row],[Kohdentamat-tomat 4]]+Opv.kohd.[[#This Row],[Kohdentamat-tomat 13]]</f>
        <v>0</v>
      </c>
      <c r="CM167" s="207">
        <f>Opv.kohd.[[#This Row],[Työvoima-koulutus 4]]+Opv.kohd.[[#This Row],[Työvoima-koulutus 13]]</f>
        <v>0</v>
      </c>
      <c r="CN167" s="207">
        <f>Opv.kohd.[[#This Row],[Maahan-muuttajien koulutus 4]]+Opv.kohd.[[#This Row],[Maahan-muuttajien koulutus 13]]</f>
        <v>0</v>
      </c>
      <c r="CO167" s="207">
        <f>Opv.kohd.[[#This Row],[Nuorisotyöt. väh. ja osaamistarp. vast., muu kuin työvoima-koulutus 4]]+Opv.kohd.[[#This Row],[Nuorisotyöt. väh. ja osaamistarp. vast., muu kuin työvoima-koulutus 13]]</f>
        <v>0</v>
      </c>
      <c r="CP167" s="207">
        <f>Opv.kohd.[[#This Row],[Nuorisotyöt. väh. ja osaamistarp. vast., työvoima-koulutus 4]]+Opv.kohd.[[#This Row],[Nuorisotyöt. väh. ja osaamistarp. vast., työvoima-koulutus 13]]</f>
        <v>0</v>
      </c>
      <c r="CQ167" s="207">
        <f>Opv.kohd.[[#This Row],[Yhteensä 4]]+Opv.kohd.[[#This Row],[Yhteensä 13]]</f>
        <v>0</v>
      </c>
      <c r="CR167" s="207">
        <f>Opv.kohd.[[#This Row],[Ensikertaisella suoritepäätöksellä jaetut tavoitteelliset opiskelijavuodet yhteensä 4]]+Opv.kohd.[[#This Row],[Tavoitteelliset opiskelijavuodet yhteensä 13]]</f>
        <v>0</v>
      </c>
      <c r="CS167" s="120">
        <v>0</v>
      </c>
      <c r="CT167" s="120">
        <v>0</v>
      </c>
      <c r="CU167" s="120">
        <v>0</v>
      </c>
      <c r="CV167" s="120">
        <v>0</v>
      </c>
      <c r="CW167" s="120">
        <v>0</v>
      </c>
      <c r="CX167" s="120">
        <v>0</v>
      </c>
      <c r="CY167" s="120">
        <v>0</v>
      </c>
      <c r="CZ167" s="120">
        <v>0</v>
      </c>
      <c r="DA167" s="209">
        <f>IFERROR(Opv.kohd.[[#This Row],[Järjestämisluvan mukaiset 13]]/Opv.kohd.[[#This Row],[Järjestämisluvan mukaiset 12]],0)</f>
        <v>0</v>
      </c>
      <c r="DB167" s="209">
        <f>IFERROR(Opv.kohd.[[#This Row],[Kohdentamat-tomat 13]]/Opv.kohd.[[#This Row],[Kohdentamat-tomat 12]],0)</f>
        <v>0</v>
      </c>
      <c r="DC167" s="209">
        <f>IFERROR(Opv.kohd.[[#This Row],[Työvoima-koulutus 13]]/Opv.kohd.[[#This Row],[Työvoima-koulutus 12]],0)</f>
        <v>0</v>
      </c>
      <c r="DD167" s="209">
        <f>IFERROR(Opv.kohd.[[#This Row],[Maahan-muuttajien koulutus 13]]/Opv.kohd.[[#This Row],[Maahan-muuttajien koulutus 12]],0)</f>
        <v>0</v>
      </c>
      <c r="DE167" s="209">
        <f>IFERROR(Opv.kohd.[[#This Row],[Nuorisotyöt. väh. ja osaamistarp. vast., muu kuin työvoima-koulutus 13]]/Opv.kohd.[[#This Row],[Nuorisotyöt. väh. ja osaamistarp. vast., muu kuin työvoima-koulutus 12]],0)</f>
        <v>0</v>
      </c>
      <c r="DF167" s="209">
        <f>IFERROR(Opv.kohd.[[#This Row],[Nuorisotyöt. väh. ja osaamistarp. vast., työvoima-koulutus 13]]/Opv.kohd.[[#This Row],[Nuorisotyöt. väh. ja osaamistarp. vast., työvoima-koulutus 12]],0)</f>
        <v>0</v>
      </c>
      <c r="DG167" s="209">
        <f>IFERROR(Opv.kohd.[[#This Row],[Yhteensä 13]]/Opv.kohd.[[#This Row],[Yhteensä 12]],0)</f>
        <v>0</v>
      </c>
      <c r="DH167" s="209">
        <f>IFERROR(Opv.kohd.[[#This Row],[Tavoitteelliset opiskelijavuodet yhteensä 13]]/Opv.kohd.[[#This Row],[Tavoitteelliset opiskelijavuodet yhteensä 12]],0)</f>
        <v>0</v>
      </c>
      <c r="DI167" s="207">
        <f>Opv.kohd.[[#This Row],[Järjestämisluvan mukaiset 12]]-Opv.kohd.[[#This Row],[Järjestämisluvan mukaiset 9]]</f>
        <v>0</v>
      </c>
      <c r="DJ167" s="207">
        <f>Opv.kohd.[[#This Row],[Kohdentamat-tomat 12]]-Opv.kohd.[[#This Row],[Kohdentamat-tomat 9]]</f>
        <v>0</v>
      </c>
      <c r="DK167" s="207">
        <f>Opv.kohd.[[#This Row],[Työvoima-koulutus 12]]-Opv.kohd.[[#This Row],[Työvoima-koulutus 9]]</f>
        <v>0</v>
      </c>
      <c r="DL167" s="207">
        <f>Opv.kohd.[[#This Row],[Maahan-muuttajien koulutus 12]]-Opv.kohd.[[#This Row],[Maahan-muuttajien koulutus 9]]</f>
        <v>0</v>
      </c>
      <c r="DM167" s="207">
        <f>Opv.kohd.[[#This Row],[Nuorisotyöt. väh. ja osaamistarp. vast., muu kuin työvoima-koulutus 12]]-Opv.kohd.[[#This Row],[Nuorisotyöt. väh. ja osaamistarp. vast., muu kuin työvoima-koulutus 9]]</f>
        <v>0</v>
      </c>
      <c r="DN167" s="207">
        <f>Opv.kohd.[[#This Row],[Nuorisotyöt. väh. ja osaamistarp. vast., työvoima-koulutus 12]]-Opv.kohd.[[#This Row],[Nuorisotyöt. väh. ja osaamistarp. vast., työvoima-koulutus 9]]</f>
        <v>0</v>
      </c>
      <c r="DO167" s="207">
        <f>Opv.kohd.[[#This Row],[Yhteensä 12]]-Opv.kohd.[[#This Row],[Yhteensä 9]]</f>
        <v>0</v>
      </c>
      <c r="DP167" s="207">
        <f>Opv.kohd.[[#This Row],[Tavoitteelliset opiskelijavuodet yhteensä 12]]-Opv.kohd.[[#This Row],[Tavoitteelliset opiskelijavuodet yhteensä 9]]</f>
        <v>0</v>
      </c>
      <c r="DQ167" s="209">
        <f>IFERROR(Opv.kohd.[[#This Row],[Järjestämisluvan mukaiset 15]]/Opv.kohd.[[#This Row],[Järjestämisluvan mukaiset 9]],0)</f>
        <v>0</v>
      </c>
      <c r="DR167" s="209">
        <f t="shared" si="40"/>
        <v>0</v>
      </c>
      <c r="DS167" s="209">
        <f t="shared" si="41"/>
        <v>0</v>
      </c>
      <c r="DT167" s="209">
        <f t="shared" si="42"/>
        <v>0</v>
      </c>
      <c r="DU167" s="209">
        <f t="shared" si="43"/>
        <v>0</v>
      </c>
      <c r="DV167" s="209">
        <f t="shared" si="44"/>
        <v>0</v>
      </c>
      <c r="DW167" s="209">
        <f t="shared" si="45"/>
        <v>0</v>
      </c>
      <c r="DX167" s="209">
        <f t="shared" si="46"/>
        <v>0</v>
      </c>
    </row>
    <row r="168" spans="1:128" x14ac:dyDescent="0.25">
      <c r="A168" s="204" t="e">
        <f>IF(INDEX(#REF!,ROW(168:168)-1,1)=0,"",INDEX(#REF!,ROW(168:168)-1,1))</f>
        <v>#REF!</v>
      </c>
      <c r="B168" s="205" t="str">
        <f>IFERROR(VLOOKUP(Opv.kohd.[[#This Row],[Y-tunnus]],'0 Järjestäjätiedot'!$A:$H,2,FALSE),"")</f>
        <v/>
      </c>
      <c r="C168" s="204" t="str">
        <f>IFERROR(VLOOKUP(Opv.kohd.[[#This Row],[Y-tunnus]],'0 Järjestäjätiedot'!$A:$H,COLUMN('0 Järjestäjätiedot'!D:D),FALSE),"")</f>
        <v/>
      </c>
      <c r="D168" s="204" t="str">
        <f>IFERROR(VLOOKUP(Opv.kohd.[[#This Row],[Y-tunnus]],'0 Järjestäjätiedot'!$A:$H,COLUMN('0 Järjestäjätiedot'!H:H),FALSE),"")</f>
        <v/>
      </c>
      <c r="E168" s="204">
        <f>IFERROR(VLOOKUP(Opv.kohd.[[#This Row],[Y-tunnus]],#REF!,COLUMN(#REF!),FALSE),0)</f>
        <v>0</v>
      </c>
      <c r="F168" s="204">
        <f>IFERROR(VLOOKUP(Opv.kohd.[[#This Row],[Y-tunnus]],#REF!,COLUMN(#REF!),FALSE),0)</f>
        <v>0</v>
      </c>
      <c r="G168" s="204">
        <f>IFERROR(VLOOKUP(Opv.kohd.[[#This Row],[Y-tunnus]],#REF!,COLUMN(#REF!),FALSE),0)</f>
        <v>0</v>
      </c>
      <c r="H168" s="204">
        <f>IFERROR(VLOOKUP(Opv.kohd.[[#This Row],[Y-tunnus]],#REF!,COLUMN(#REF!),FALSE),0)</f>
        <v>0</v>
      </c>
      <c r="I168" s="204">
        <f>IFERROR(VLOOKUP(Opv.kohd.[[#This Row],[Y-tunnus]],#REF!,COLUMN(#REF!),FALSE),0)</f>
        <v>0</v>
      </c>
      <c r="J168" s="204">
        <f>IFERROR(VLOOKUP(Opv.kohd.[[#This Row],[Y-tunnus]],#REF!,COLUMN(#REF!),FALSE),0)</f>
        <v>0</v>
      </c>
      <c r="K168"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68" s="204">
        <f>Opv.kohd.[[#This Row],[Järjestämisluvan mukaiset 1]]+Opv.kohd.[[#This Row],[Yhteensä  1]]</f>
        <v>0</v>
      </c>
      <c r="M168" s="204">
        <f>IFERROR(VLOOKUP(Opv.kohd.[[#This Row],[Y-tunnus]],#REF!,COLUMN(#REF!),FALSE),0)</f>
        <v>0</v>
      </c>
      <c r="N168" s="204">
        <f>IFERROR(VLOOKUP(Opv.kohd.[[#This Row],[Y-tunnus]],#REF!,COLUMN(#REF!),FALSE),0)</f>
        <v>0</v>
      </c>
      <c r="O168" s="204">
        <f>IFERROR(VLOOKUP(Opv.kohd.[[#This Row],[Y-tunnus]],#REF!,COLUMN(#REF!),FALSE)+VLOOKUP(Opv.kohd.[[#This Row],[Y-tunnus]],#REF!,COLUMN(#REF!),FALSE),0)</f>
        <v>0</v>
      </c>
      <c r="P168" s="204">
        <f>Opv.kohd.[[#This Row],[Talousarvion perusteella kohdentamattomat]]+Opv.kohd.[[#This Row],[Talousarvion perusteella työvoimakoulutus 1]]+Opv.kohd.[[#This Row],[Lisätalousarvioiden perusteella]]</f>
        <v>0</v>
      </c>
      <c r="Q168" s="204">
        <f>IFERROR(VLOOKUP(Opv.kohd.[[#This Row],[Y-tunnus]],#REF!,COLUMN(#REF!),FALSE),0)</f>
        <v>0</v>
      </c>
      <c r="R168" s="210">
        <f>IFERROR(VLOOKUP(Opv.kohd.[[#This Row],[Y-tunnus]],#REF!,COLUMN(#REF!),FALSE)-(Opv.kohd.[[#This Row],[Kohdentamaton työvoima-koulutus 2]]+Opv.kohd.[[#This Row],[Maahan-muuttajien koulutus 2]]+Opv.kohd.[[#This Row],[Lisätalousarvioiden perusteella jaetut 2]]),0)</f>
        <v>0</v>
      </c>
      <c r="S168" s="210">
        <f>IFERROR(VLOOKUP(Opv.kohd.[[#This Row],[Y-tunnus]],#REF!,COLUMN(#REF!),FALSE)+VLOOKUP(Opv.kohd.[[#This Row],[Y-tunnus]],#REF!,COLUMN(#REF!),FALSE),0)</f>
        <v>0</v>
      </c>
      <c r="T168" s="210">
        <f>IFERROR(VLOOKUP(Opv.kohd.[[#This Row],[Y-tunnus]],#REF!,COLUMN(#REF!),FALSE)+VLOOKUP(Opv.kohd.[[#This Row],[Y-tunnus]],#REF!,COLUMN(#REF!),FALSE),0)</f>
        <v>0</v>
      </c>
      <c r="U168"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68" s="210">
        <f>Opv.kohd.[[#This Row],[Kohdentamat-tomat 2]]+Opv.kohd.[[#This Row],[Kohdentamaton työvoima-koulutus 2]]+Opv.kohd.[[#This Row],[Maahan-muuttajien koulutus 2]]+Opv.kohd.[[#This Row],[Lisätalousarvioiden perusteella jaetut 2]]</f>
        <v>0</v>
      </c>
      <c r="W168" s="210">
        <f>Opv.kohd.[[#This Row],[Kohdentamat-tomat 2]]-(Opv.kohd.[[#This Row],[Järjestämisluvan mukaiset 1]]+Opv.kohd.[[#This Row],[Kohdentamat-tomat 1]]+Opv.kohd.[[#This Row],[Nuorisotyöt. väh. ja osaamistarp. vast., muu kuin työvoima-koulutus 1]]+Opv.kohd.[[#This Row],[Talousarvion perusteella kohdentamattomat]])</f>
        <v>0</v>
      </c>
      <c r="X168" s="210">
        <f>Opv.kohd.[[#This Row],[Kohdentamaton työvoima-koulutus 2]]-(Opv.kohd.[[#This Row],[Työvoima-koulutus 1]]+Opv.kohd.[[#This Row],[Nuorisotyöt. väh. ja osaamistarp. vast., työvoima-koulutus 1]]+Opv.kohd.[[#This Row],[Talousarvion perusteella työvoimakoulutus 1]])</f>
        <v>0</v>
      </c>
      <c r="Y168" s="210">
        <f>Opv.kohd.[[#This Row],[Maahan-muuttajien koulutus 2]]-Opv.kohd.[[#This Row],[Maahan-muuttajien koulutus 1]]</f>
        <v>0</v>
      </c>
      <c r="Z168" s="210">
        <f>Opv.kohd.[[#This Row],[Lisätalousarvioiden perusteella jaetut 2]]-Opv.kohd.[[#This Row],[Lisätalousarvioiden perusteella]]</f>
        <v>0</v>
      </c>
      <c r="AA168" s="210">
        <f>Opv.kohd.[[#This Row],[Toteutuneet opiskelijavuodet yhteensä 2]]-Opv.kohd.[[#This Row],[Vuoden 2018 tavoitteelliset opiskelijavuodet yhteensä 1]]</f>
        <v>0</v>
      </c>
      <c r="AB168" s="207">
        <f>IFERROR(VLOOKUP(Opv.kohd.[[#This Row],[Y-tunnus]],#REF!,3,FALSE),0)</f>
        <v>0</v>
      </c>
      <c r="AC168" s="207">
        <f>IFERROR(VLOOKUP(Opv.kohd.[[#This Row],[Y-tunnus]],#REF!,4,FALSE),0)</f>
        <v>0</v>
      </c>
      <c r="AD168" s="207">
        <f>IFERROR(VLOOKUP(Opv.kohd.[[#This Row],[Y-tunnus]],#REF!,5,FALSE),0)</f>
        <v>0</v>
      </c>
      <c r="AE168" s="207">
        <f>IFERROR(VLOOKUP(Opv.kohd.[[#This Row],[Y-tunnus]],#REF!,6,FALSE),0)</f>
        <v>0</v>
      </c>
      <c r="AF168" s="207">
        <f>IFERROR(VLOOKUP(Opv.kohd.[[#This Row],[Y-tunnus]],#REF!,7,FALSE),0)</f>
        <v>0</v>
      </c>
      <c r="AG168" s="207">
        <f>IFERROR(VLOOKUP(Opv.kohd.[[#This Row],[Y-tunnus]],#REF!,8,FALSE),0)</f>
        <v>0</v>
      </c>
      <c r="AH168" s="207">
        <f>IFERROR(VLOOKUP(Opv.kohd.[[#This Row],[Y-tunnus]],#REF!,9,FALSE),0)</f>
        <v>0</v>
      </c>
      <c r="AI168" s="207">
        <f>IFERROR(VLOOKUP(Opv.kohd.[[#This Row],[Y-tunnus]],#REF!,10,FALSE),0)</f>
        <v>0</v>
      </c>
      <c r="AJ168" s="204">
        <f>Opv.kohd.[[#This Row],[Järjestämisluvan mukaiset 4]]-Opv.kohd.[[#This Row],[Järjestämisluvan mukaiset 1]]</f>
        <v>0</v>
      </c>
      <c r="AK168" s="204">
        <f>Opv.kohd.[[#This Row],[Kohdentamat-tomat 4]]-Opv.kohd.[[#This Row],[Kohdentamat-tomat 1]]</f>
        <v>0</v>
      </c>
      <c r="AL168" s="204">
        <f>Opv.kohd.[[#This Row],[Työvoima-koulutus 4]]-Opv.kohd.[[#This Row],[Työvoima-koulutus 1]]</f>
        <v>0</v>
      </c>
      <c r="AM168" s="204">
        <f>Opv.kohd.[[#This Row],[Maahan-muuttajien koulutus 4]]-Opv.kohd.[[#This Row],[Maahan-muuttajien koulutus 1]]</f>
        <v>0</v>
      </c>
      <c r="AN168" s="204">
        <f>Opv.kohd.[[#This Row],[Nuorisotyöt. väh. ja osaamistarp. vast., muu kuin työvoima-koulutus 4]]-Opv.kohd.[[#This Row],[Nuorisotyöt. väh. ja osaamistarp. vast., muu kuin työvoima-koulutus 1]]</f>
        <v>0</v>
      </c>
      <c r="AO168" s="204">
        <f>Opv.kohd.[[#This Row],[Nuorisotyöt. väh. ja osaamistarp. vast., työvoima-koulutus 4]]-Opv.kohd.[[#This Row],[Nuorisotyöt. väh. ja osaamistarp. vast., työvoima-koulutus 1]]</f>
        <v>0</v>
      </c>
      <c r="AP168" s="204">
        <f>Opv.kohd.[[#This Row],[Yhteensä 4]]-Opv.kohd.[[#This Row],[Yhteensä  1]]</f>
        <v>0</v>
      </c>
      <c r="AQ168" s="204">
        <f>Opv.kohd.[[#This Row],[Ensikertaisella suoritepäätöksellä jaetut tavoitteelliset opiskelijavuodet yhteensä 4]]-Opv.kohd.[[#This Row],[Ensikertaisella suoritepäätöksellä jaetut tavoitteelliset opiskelijavuodet yhteensä 1]]</f>
        <v>0</v>
      </c>
      <c r="AR168" s="208">
        <f>IFERROR(Opv.kohd.[[#This Row],[Järjestämisluvan mukaiset 5]]/Opv.kohd.[[#This Row],[Järjestämisluvan mukaiset 4]],0)</f>
        <v>0</v>
      </c>
      <c r="AS168" s="208">
        <f>IFERROR(Opv.kohd.[[#This Row],[Kohdentamat-tomat 5]]/Opv.kohd.[[#This Row],[Kohdentamat-tomat 4]],0)</f>
        <v>0</v>
      </c>
      <c r="AT168" s="208">
        <f>IFERROR(Opv.kohd.[[#This Row],[Työvoima-koulutus 5]]/Opv.kohd.[[#This Row],[Työvoima-koulutus 4]],0)</f>
        <v>0</v>
      </c>
      <c r="AU168" s="208">
        <f>IFERROR(Opv.kohd.[[#This Row],[Maahan-muuttajien koulutus 5]]/Opv.kohd.[[#This Row],[Maahan-muuttajien koulutus 4]],0)</f>
        <v>0</v>
      </c>
      <c r="AV168" s="208">
        <f>IFERROR(Opv.kohd.[[#This Row],[Nuorisotyöt. väh. ja osaamistarp. vast., muu kuin työvoima-koulutus 5]]/Opv.kohd.[[#This Row],[Nuorisotyöt. väh. ja osaamistarp. vast., muu kuin työvoima-koulutus 4]],0)</f>
        <v>0</v>
      </c>
      <c r="AW168" s="208">
        <f>IFERROR(Opv.kohd.[[#This Row],[Nuorisotyöt. väh. ja osaamistarp. vast., työvoima-koulutus 5]]/Opv.kohd.[[#This Row],[Nuorisotyöt. väh. ja osaamistarp. vast., työvoima-koulutus 4]],0)</f>
        <v>0</v>
      </c>
      <c r="AX168" s="208">
        <f>IFERROR(Opv.kohd.[[#This Row],[Yhteensä 5]]/Opv.kohd.[[#This Row],[Yhteensä 4]],0)</f>
        <v>0</v>
      </c>
      <c r="AY168" s="208">
        <f>IFERROR(Opv.kohd.[[#This Row],[Ensikertaisella suoritepäätöksellä jaetut tavoitteelliset opiskelijavuodet yhteensä 5]]/Opv.kohd.[[#This Row],[Ensikertaisella suoritepäätöksellä jaetut tavoitteelliset opiskelijavuodet yhteensä 4]],0)</f>
        <v>0</v>
      </c>
      <c r="AZ168" s="207">
        <f>Opv.kohd.[[#This Row],[Yhteensä 7a]]-Opv.kohd.[[#This Row],[Työvoima-koulutus 7a]]</f>
        <v>0</v>
      </c>
      <c r="BA168" s="207">
        <f>IFERROR(VLOOKUP(Opv.kohd.[[#This Row],[Y-tunnus]],#REF!,COLUMN(#REF!),FALSE),0)</f>
        <v>0</v>
      </c>
      <c r="BB168" s="207">
        <f>IFERROR(VLOOKUP(Opv.kohd.[[#This Row],[Y-tunnus]],#REF!,COLUMN(#REF!),FALSE),0)</f>
        <v>0</v>
      </c>
      <c r="BC168" s="207">
        <f>Opv.kohd.[[#This Row],[Muu kuin työvoima-koulutus 7c]]-Opv.kohd.[[#This Row],[Muu kuin työvoima-koulutus 7a]]</f>
        <v>0</v>
      </c>
      <c r="BD168" s="207">
        <f>Opv.kohd.[[#This Row],[Työvoima-koulutus 7c]]-Opv.kohd.[[#This Row],[Työvoima-koulutus 7a]]</f>
        <v>0</v>
      </c>
      <c r="BE168" s="207">
        <f>Opv.kohd.[[#This Row],[Yhteensä 7c]]-Opv.kohd.[[#This Row],[Yhteensä 7a]]</f>
        <v>0</v>
      </c>
      <c r="BF168" s="207">
        <f>Opv.kohd.[[#This Row],[Yhteensä 7c]]-Opv.kohd.[[#This Row],[Työvoima-koulutus 7c]]</f>
        <v>0</v>
      </c>
      <c r="BG168" s="207">
        <f>IFERROR(VLOOKUP(Opv.kohd.[[#This Row],[Y-tunnus]],#REF!,COLUMN(#REF!),FALSE),0)</f>
        <v>0</v>
      </c>
      <c r="BH168" s="207">
        <f>IFERROR(VLOOKUP(Opv.kohd.[[#This Row],[Y-tunnus]],#REF!,COLUMN(#REF!),FALSE),0)</f>
        <v>0</v>
      </c>
      <c r="BI168" s="207">
        <f>IFERROR(VLOOKUP(Opv.kohd.[[#This Row],[Y-tunnus]],#REF!,COLUMN(#REF!),FALSE),0)</f>
        <v>0</v>
      </c>
      <c r="BJ168" s="207">
        <f>IFERROR(VLOOKUP(Opv.kohd.[[#This Row],[Y-tunnus]],#REF!,COLUMN(#REF!),FALSE),0)</f>
        <v>0</v>
      </c>
      <c r="BK168" s="207">
        <f>Opv.kohd.[[#This Row],[Muu kuin työvoima-koulutus 7d]]+Opv.kohd.[[#This Row],[Työvoima-koulutus 7d]]</f>
        <v>0</v>
      </c>
      <c r="BL168" s="207">
        <f>Opv.kohd.[[#This Row],[Muu kuin työvoima-koulutus 7c]]-Opv.kohd.[[#This Row],[Muu kuin työvoima-koulutus 7d]]</f>
        <v>0</v>
      </c>
      <c r="BM168" s="207">
        <f>Opv.kohd.[[#This Row],[Työvoima-koulutus 7c]]-Opv.kohd.[[#This Row],[Työvoima-koulutus 7d]]</f>
        <v>0</v>
      </c>
      <c r="BN168" s="207">
        <f>Opv.kohd.[[#This Row],[Yhteensä 7c]]-Opv.kohd.[[#This Row],[Yhteensä 7d]]</f>
        <v>0</v>
      </c>
      <c r="BO168" s="207">
        <f>Opv.kohd.[[#This Row],[Muu kuin työvoima-koulutus 7e]]-(Opv.kohd.[[#This Row],[Järjestämisluvan mukaiset 4]]+Opv.kohd.[[#This Row],[Kohdentamat-tomat 4]]+Opv.kohd.[[#This Row],[Maahan-muuttajien koulutus 4]]+Opv.kohd.[[#This Row],[Nuorisotyöt. väh. ja osaamistarp. vast., muu kuin työvoima-koulutus 4]])</f>
        <v>0</v>
      </c>
      <c r="BP168" s="207">
        <f>Opv.kohd.[[#This Row],[Työvoima-koulutus 7e]]-(Opv.kohd.[[#This Row],[Työvoima-koulutus 4]]+Opv.kohd.[[#This Row],[Nuorisotyöt. väh. ja osaamistarp. vast., työvoima-koulutus 4]])</f>
        <v>0</v>
      </c>
      <c r="BQ168" s="207">
        <f>Opv.kohd.[[#This Row],[Yhteensä 7e]]-Opv.kohd.[[#This Row],[Ensikertaisella suoritepäätöksellä jaetut tavoitteelliset opiskelijavuodet yhteensä 4]]</f>
        <v>0</v>
      </c>
      <c r="BR168" s="263">
        <v>0</v>
      </c>
      <c r="BS168" s="263">
        <v>0</v>
      </c>
      <c r="BT168" s="263">
        <v>0</v>
      </c>
      <c r="BU168" s="263">
        <v>0</v>
      </c>
      <c r="BV168" s="263">
        <v>0</v>
      </c>
      <c r="BW168" s="263">
        <v>0</v>
      </c>
      <c r="BX168" s="263">
        <v>0</v>
      </c>
      <c r="BY168" s="263">
        <v>0</v>
      </c>
      <c r="BZ168" s="207">
        <f t="shared" si="32"/>
        <v>0</v>
      </c>
      <c r="CA168" s="207">
        <f t="shared" si="33"/>
        <v>0</v>
      </c>
      <c r="CB168" s="207">
        <f t="shared" si="34"/>
        <v>0</v>
      </c>
      <c r="CC168" s="207">
        <f t="shared" si="35"/>
        <v>0</v>
      </c>
      <c r="CD168" s="207">
        <f t="shared" si="36"/>
        <v>0</v>
      </c>
      <c r="CE168" s="207">
        <f t="shared" si="37"/>
        <v>0</v>
      </c>
      <c r="CF168" s="207">
        <f t="shared" si="38"/>
        <v>0</v>
      </c>
      <c r="CG168" s="207">
        <f t="shared" si="39"/>
        <v>0</v>
      </c>
      <c r="CH168" s="207">
        <f>Opv.kohd.[[#This Row],[Tavoitteelliset opiskelijavuodet yhteensä 9]]-Opv.kohd.[[#This Row],[Työvoima-koulutus 9]]-Opv.kohd.[[#This Row],[Nuorisotyöt. väh. ja osaamistarp. vast., työvoima-koulutus 9]]-Opv.kohd.[[#This Row],[Muu kuin työvoima-koulutus 7e]]</f>
        <v>0</v>
      </c>
      <c r="CI168" s="207">
        <f>(Opv.kohd.[[#This Row],[Työvoima-koulutus 9]]+Opv.kohd.[[#This Row],[Nuorisotyöt. väh. ja osaamistarp. vast., työvoima-koulutus 9]])-Opv.kohd.[[#This Row],[Työvoima-koulutus 7e]]</f>
        <v>0</v>
      </c>
      <c r="CJ168" s="207">
        <f>Opv.kohd.[[#This Row],[Tavoitteelliset opiskelijavuodet yhteensä 9]]-Opv.kohd.[[#This Row],[Yhteensä 7e]]</f>
        <v>0</v>
      </c>
      <c r="CK168" s="207">
        <f>Opv.kohd.[[#This Row],[Järjestämisluvan mukaiset 4]]+Opv.kohd.[[#This Row],[Järjestämisluvan mukaiset 13]]</f>
        <v>0</v>
      </c>
      <c r="CL168" s="207">
        <f>Opv.kohd.[[#This Row],[Kohdentamat-tomat 4]]+Opv.kohd.[[#This Row],[Kohdentamat-tomat 13]]</f>
        <v>0</v>
      </c>
      <c r="CM168" s="207">
        <f>Opv.kohd.[[#This Row],[Työvoima-koulutus 4]]+Opv.kohd.[[#This Row],[Työvoima-koulutus 13]]</f>
        <v>0</v>
      </c>
      <c r="CN168" s="207">
        <f>Opv.kohd.[[#This Row],[Maahan-muuttajien koulutus 4]]+Opv.kohd.[[#This Row],[Maahan-muuttajien koulutus 13]]</f>
        <v>0</v>
      </c>
      <c r="CO168" s="207">
        <f>Opv.kohd.[[#This Row],[Nuorisotyöt. väh. ja osaamistarp. vast., muu kuin työvoima-koulutus 4]]+Opv.kohd.[[#This Row],[Nuorisotyöt. väh. ja osaamistarp. vast., muu kuin työvoima-koulutus 13]]</f>
        <v>0</v>
      </c>
      <c r="CP168" s="207">
        <f>Opv.kohd.[[#This Row],[Nuorisotyöt. väh. ja osaamistarp. vast., työvoima-koulutus 4]]+Opv.kohd.[[#This Row],[Nuorisotyöt. väh. ja osaamistarp. vast., työvoima-koulutus 13]]</f>
        <v>0</v>
      </c>
      <c r="CQ168" s="207">
        <f>Opv.kohd.[[#This Row],[Yhteensä 4]]+Opv.kohd.[[#This Row],[Yhteensä 13]]</f>
        <v>0</v>
      </c>
      <c r="CR168" s="207">
        <f>Opv.kohd.[[#This Row],[Ensikertaisella suoritepäätöksellä jaetut tavoitteelliset opiskelijavuodet yhteensä 4]]+Opv.kohd.[[#This Row],[Tavoitteelliset opiskelijavuodet yhteensä 13]]</f>
        <v>0</v>
      </c>
      <c r="CS168" s="120">
        <v>0</v>
      </c>
      <c r="CT168" s="120">
        <v>0</v>
      </c>
      <c r="CU168" s="120">
        <v>0</v>
      </c>
      <c r="CV168" s="120">
        <v>0</v>
      </c>
      <c r="CW168" s="120">
        <v>0</v>
      </c>
      <c r="CX168" s="120">
        <v>0</v>
      </c>
      <c r="CY168" s="120">
        <v>0</v>
      </c>
      <c r="CZ168" s="120">
        <v>0</v>
      </c>
      <c r="DA168" s="209">
        <f>IFERROR(Opv.kohd.[[#This Row],[Järjestämisluvan mukaiset 13]]/Opv.kohd.[[#This Row],[Järjestämisluvan mukaiset 12]],0)</f>
        <v>0</v>
      </c>
      <c r="DB168" s="209">
        <f>IFERROR(Opv.kohd.[[#This Row],[Kohdentamat-tomat 13]]/Opv.kohd.[[#This Row],[Kohdentamat-tomat 12]],0)</f>
        <v>0</v>
      </c>
      <c r="DC168" s="209">
        <f>IFERROR(Opv.kohd.[[#This Row],[Työvoima-koulutus 13]]/Opv.kohd.[[#This Row],[Työvoima-koulutus 12]],0)</f>
        <v>0</v>
      </c>
      <c r="DD168" s="209">
        <f>IFERROR(Opv.kohd.[[#This Row],[Maahan-muuttajien koulutus 13]]/Opv.kohd.[[#This Row],[Maahan-muuttajien koulutus 12]],0)</f>
        <v>0</v>
      </c>
      <c r="DE168" s="209">
        <f>IFERROR(Opv.kohd.[[#This Row],[Nuorisotyöt. väh. ja osaamistarp. vast., muu kuin työvoima-koulutus 13]]/Opv.kohd.[[#This Row],[Nuorisotyöt. väh. ja osaamistarp. vast., muu kuin työvoima-koulutus 12]],0)</f>
        <v>0</v>
      </c>
      <c r="DF168" s="209">
        <f>IFERROR(Opv.kohd.[[#This Row],[Nuorisotyöt. väh. ja osaamistarp. vast., työvoima-koulutus 13]]/Opv.kohd.[[#This Row],[Nuorisotyöt. väh. ja osaamistarp. vast., työvoima-koulutus 12]],0)</f>
        <v>0</v>
      </c>
      <c r="DG168" s="209">
        <f>IFERROR(Opv.kohd.[[#This Row],[Yhteensä 13]]/Opv.kohd.[[#This Row],[Yhteensä 12]],0)</f>
        <v>0</v>
      </c>
      <c r="DH168" s="209">
        <f>IFERROR(Opv.kohd.[[#This Row],[Tavoitteelliset opiskelijavuodet yhteensä 13]]/Opv.kohd.[[#This Row],[Tavoitteelliset opiskelijavuodet yhteensä 12]],0)</f>
        <v>0</v>
      </c>
      <c r="DI168" s="207">
        <f>Opv.kohd.[[#This Row],[Järjestämisluvan mukaiset 12]]-Opv.kohd.[[#This Row],[Järjestämisluvan mukaiset 9]]</f>
        <v>0</v>
      </c>
      <c r="DJ168" s="207">
        <f>Opv.kohd.[[#This Row],[Kohdentamat-tomat 12]]-Opv.kohd.[[#This Row],[Kohdentamat-tomat 9]]</f>
        <v>0</v>
      </c>
      <c r="DK168" s="207">
        <f>Opv.kohd.[[#This Row],[Työvoima-koulutus 12]]-Opv.kohd.[[#This Row],[Työvoima-koulutus 9]]</f>
        <v>0</v>
      </c>
      <c r="DL168" s="207">
        <f>Opv.kohd.[[#This Row],[Maahan-muuttajien koulutus 12]]-Opv.kohd.[[#This Row],[Maahan-muuttajien koulutus 9]]</f>
        <v>0</v>
      </c>
      <c r="DM168" s="207">
        <f>Opv.kohd.[[#This Row],[Nuorisotyöt. väh. ja osaamistarp. vast., muu kuin työvoima-koulutus 12]]-Opv.kohd.[[#This Row],[Nuorisotyöt. väh. ja osaamistarp. vast., muu kuin työvoima-koulutus 9]]</f>
        <v>0</v>
      </c>
      <c r="DN168" s="207">
        <f>Opv.kohd.[[#This Row],[Nuorisotyöt. väh. ja osaamistarp. vast., työvoima-koulutus 12]]-Opv.kohd.[[#This Row],[Nuorisotyöt. väh. ja osaamistarp. vast., työvoima-koulutus 9]]</f>
        <v>0</v>
      </c>
      <c r="DO168" s="207">
        <f>Opv.kohd.[[#This Row],[Yhteensä 12]]-Opv.kohd.[[#This Row],[Yhteensä 9]]</f>
        <v>0</v>
      </c>
      <c r="DP168" s="207">
        <f>Opv.kohd.[[#This Row],[Tavoitteelliset opiskelijavuodet yhteensä 12]]-Opv.kohd.[[#This Row],[Tavoitteelliset opiskelijavuodet yhteensä 9]]</f>
        <v>0</v>
      </c>
      <c r="DQ168" s="209">
        <f>IFERROR(Opv.kohd.[[#This Row],[Järjestämisluvan mukaiset 15]]/Opv.kohd.[[#This Row],[Järjestämisluvan mukaiset 9]],0)</f>
        <v>0</v>
      </c>
      <c r="DR168" s="209">
        <f t="shared" si="40"/>
        <v>0</v>
      </c>
      <c r="DS168" s="209">
        <f t="shared" si="41"/>
        <v>0</v>
      </c>
      <c r="DT168" s="209">
        <f t="shared" si="42"/>
        <v>0</v>
      </c>
      <c r="DU168" s="209">
        <f t="shared" si="43"/>
        <v>0</v>
      </c>
      <c r="DV168" s="209">
        <f t="shared" si="44"/>
        <v>0</v>
      </c>
      <c r="DW168" s="209">
        <f t="shared" si="45"/>
        <v>0</v>
      </c>
      <c r="DX168" s="209">
        <f t="shared" si="46"/>
        <v>0</v>
      </c>
    </row>
    <row r="169" spans="1:128" x14ac:dyDescent="0.25">
      <c r="A169" s="204" t="e">
        <f>IF(INDEX(#REF!,ROW(169:169)-1,1)=0,"",INDEX(#REF!,ROW(169:169)-1,1))</f>
        <v>#REF!</v>
      </c>
      <c r="B169" s="205" t="str">
        <f>IFERROR(VLOOKUP(Opv.kohd.[[#This Row],[Y-tunnus]],'0 Järjestäjätiedot'!$A:$H,2,FALSE),"")</f>
        <v/>
      </c>
      <c r="C169" s="204" t="str">
        <f>IFERROR(VLOOKUP(Opv.kohd.[[#This Row],[Y-tunnus]],'0 Järjestäjätiedot'!$A:$H,COLUMN('0 Järjestäjätiedot'!D:D),FALSE),"")</f>
        <v/>
      </c>
      <c r="D169" s="204" t="str">
        <f>IFERROR(VLOOKUP(Opv.kohd.[[#This Row],[Y-tunnus]],'0 Järjestäjätiedot'!$A:$H,COLUMN('0 Järjestäjätiedot'!H:H),FALSE),"")</f>
        <v/>
      </c>
      <c r="E169" s="204">
        <f>IFERROR(VLOOKUP(Opv.kohd.[[#This Row],[Y-tunnus]],#REF!,COLUMN(#REF!),FALSE),0)</f>
        <v>0</v>
      </c>
      <c r="F169" s="204">
        <f>IFERROR(VLOOKUP(Opv.kohd.[[#This Row],[Y-tunnus]],#REF!,COLUMN(#REF!),FALSE),0)</f>
        <v>0</v>
      </c>
      <c r="G169" s="204">
        <f>IFERROR(VLOOKUP(Opv.kohd.[[#This Row],[Y-tunnus]],#REF!,COLUMN(#REF!),FALSE),0)</f>
        <v>0</v>
      </c>
      <c r="H169" s="204">
        <f>IFERROR(VLOOKUP(Opv.kohd.[[#This Row],[Y-tunnus]],#REF!,COLUMN(#REF!),FALSE),0)</f>
        <v>0</v>
      </c>
      <c r="I169" s="204">
        <f>IFERROR(VLOOKUP(Opv.kohd.[[#This Row],[Y-tunnus]],#REF!,COLUMN(#REF!),FALSE),0)</f>
        <v>0</v>
      </c>
      <c r="J169" s="204">
        <f>IFERROR(VLOOKUP(Opv.kohd.[[#This Row],[Y-tunnus]],#REF!,COLUMN(#REF!),FALSE),0)</f>
        <v>0</v>
      </c>
      <c r="K169"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69" s="204">
        <f>Opv.kohd.[[#This Row],[Järjestämisluvan mukaiset 1]]+Opv.kohd.[[#This Row],[Yhteensä  1]]</f>
        <v>0</v>
      </c>
      <c r="M169" s="204">
        <f>IFERROR(VLOOKUP(Opv.kohd.[[#This Row],[Y-tunnus]],#REF!,COLUMN(#REF!),FALSE),0)</f>
        <v>0</v>
      </c>
      <c r="N169" s="204">
        <f>IFERROR(VLOOKUP(Opv.kohd.[[#This Row],[Y-tunnus]],#REF!,COLUMN(#REF!),FALSE),0)</f>
        <v>0</v>
      </c>
      <c r="O169" s="204">
        <f>IFERROR(VLOOKUP(Opv.kohd.[[#This Row],[Y-tunnus]],#REF!,COLUMN(#REF!),FALSE)+VLOOKUP(Opv.kohd.[[#This Row],[Y-tunnus]],#REF!,COLUMN(#REF!),FALSE),0)</f>
        <v>0</v>
      </c>
      <c r="P169" s="204">
        <f>Opv.kohd.[[#This Row],[Talousarvion perusteella kohdentamattomat]]+Opv.kohd.[[#This Row],[Talousarvion perusteella työvoimakoulutus 1]]+Opv.kohd.[[#This Row],[Lisätalousarvioiden perusteella]]</f>
        <v>0</v>
      </c>
      <c r="Q169" s="204">
        <f>IFERROR(VLOOKUP(Opv.kohd.[[#This Row],[Y-tunnus]],#REF!,COLUMN(#REF!),FALSE),0)</f>
        <v>0</v>
      </c>
      <c r="R169" s="210">
        <f>IFERROR(VLOOKUP(Opv.kohd.[[#This Row],[Y-tunnus]],#REF!,COLUMN(#REF!),FALSE)-(Opv.kohd.[[#This Row],[Kohdentamaton työvoima-koulutus 2]]+Opv.kohd.[[#This Row],[Maahan-muuttajien koulutus 2]]+Opv.kohd.[[#This Row],[Lisätalousarvioiden perusteella jaetut 2]]),0)</f>
        <v>0</v>
      </c>
      <c r="S169" s="210">
        <f>IFERROR(VLOOKUP(Opv.kohd.[[#This Row],[Y-tunnus]],#REF!,COLUMN(#REF!),FALSE)+VLOOKUP(Opv.kohd.[[#This Row],[Y-tunnus]],#REF!,COLUMN(#REF!),FALSE),0)</f>
        <v>0</v>
      </c>
      <c r="T169" s="210">
        <f>IFERROR(VLOOKUP(Opv.kohd.[[#This Row],[Y-tunnus]],#REF!,COLUMN(#REF!),FALSE)+VLOOKUP(Opv.kohd.[[#This Row],[Y-tunnus]],#REF!,COLUMN(#REF!),FALSE),0)</f>
        <v>0</v>
      </c>
      <c r="U169"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69" s="210">
        <f>Opv.kohd.[[#This Row],[Kohdentamat-tomat 2]]+Opv.kohd.[[#This Row],[Kohdentamaton työvoima-koulutus 2]]+Opv.kohd.[[#This Row],[Maahan-muuttajien koulutus 2]]+Opv.kohd.[[#This Row],[Lisätalousarvioiden perusteella jaetut 2]]</f>
        <v>0</v>
      </c>
      <c r="W169" s="210">
        <f>Opv.kohd.[[#This Row],[Kohdentamat-tomat 2]]-(Opv.kohd.[[#This Row],[Järjestämisluvan mukaiset 1]]+Opv.kohd.[[#This Row],[Kohdentamat-tomat 1]]+Opv.kohd.[[#This Row],[Nuorisotyöt. väh. ja osaamistarp. vast., muu kuin työvoima-koulutus 1]]+Opv.kohd.[[#This Row],[Talousarvion perusteella kohdentamattomat]])</f>
        <v>0</v>
      </c>
      <c r="X169" s="210">
        <f>Opv.kohd.[[#This Row],[Kohdentamaton työvoima-koulutus 2]]-(Opv.kohd.[[#This Row],[Työvoima-koulutus 1]]+Opv.kohd.[[#This Row],[Nuorisotyöt. väh. ja osaamistarp. vast., työvoima-koulutus 1]]+Opv.kohd.[[#This Row],[Talousarvion perusteella työvoimakoulutus 1]])</f>
        <v>0</v>
      </c>
      <c r="Y169" s="210">
        <f>Opv.kohd.[[#This Row],[Maahan-muuttajien koulutus 2]]-Opv.kohd.[[#This Row],[Maahan-muuttajien koulutus 1]]</f>
        <v>0</v>
      </c>
      <c r="Z169" s="210">
        <f>Opv.kohd.[[#This Row],[Lisätalousarvioiden perusteella jaetut 2]]-Opv.kohd.[[#This Row],[Lisätalousarvioiden perusteella]]</f>
        <v>0</v>
      </c>
      <c r="AA169" s="210">
        <f>Opv.kohd.[[#This Row],[Toteutuneet opiskelijavuodet yhteensä 2]]-Opv.kohd.[[#This Row],[Vuoden 2018 tavoitteelliset opiskelijavuodet yhteensä 1]]</f>
        <v>0</v>
      </c>
      <c r="AB169" s="207">
        <f>IFERROR(VLOOKUP(Opv.kohd.[[#This Row],[Y-tunnus]],#REF!,3,FALSE),0)</f>
        <v>0</v>
      </c>
      <c r="AC169" s="207">
        <f>IFERROR(VLOOKUP(Opv.kohd.[[#This Row],[Y-tunnus]],#REF!,4,FALSE),0)</f>
        <v>0</v>
      </c>
      <c r="AD169" s="207">
        <f>IFERROR(VLOOKUP(Opv.kohd.[[#This Row],[Y-tunnus]],#REF!,5,FALSE),0)</f>
        <v>0</v>
      </c>
      <c r="AE169" s="207">
        <f>IFERROR(VLOOKUP(Opv.kohd.[[#This Row],[Y-tunnus]],#REF!,6,FALSE),0)</f>
        <v>0</v>
      </c>
      <c r="AF169" s="207">
        <f>IFERROR(VLOOKUP(Opv.kohd.[[#This Row],[Y-tunnus]],#REF!,7,FALSE),0)</f>
        <v>0</v>
      </c>
      <c r="AG169" s="207">
        <f>IFERROR(VLOOKUP(Opv.kohd.[[#This Row],[Y-tunnus]],#REF!,8,FALSE),0)</f>
        <v>0</v>
      </c>
      <c r="AH169" s="207">
        <f>IFERROR(VLOOKUP(Opv.kohd.[[#This Row],[Y-tunnus]],#REF!,9,FALSE),0)</f>
        <v>0</v>
      </c>
      <c r="AI169" s="207">
        <f>IFERROR(VLOOKUP(Opv.kohd.[[#This Row],[Y-tunnus]],#REF!,10,FALSE),0)</f>
        <v>0</v>
      </c>
      <c r="AJ169" s="204">
        <f>Opv.kohd.[[#This Row],[Järjestämisluvan mukaiset 4]]-Opv.kohd.[[#This Row],[Järjestämisluvan mukaiset 1]]</f>
        <v>0</v>
      </c>
      <c r="AK169" s="204">
        <f>Opv.kohd.[[#This Row],[Kohdentamat-tomat 4]]-Opv.kohd.[[#This Row],[Kohdentamat-tomat 1]]</f>
        <v>0</v>
      </c>
      <c r="AL169" s="204">
        <f>Opv.kohd.[[#This Row],[Työvoima-koulutus 4]]-Opv.kohd.[[#This Row],[Työvoima-koulutus 1]]</f>
        <v>0</v>
      </c>
      <c r="AM169" s="204">
        <f>Opv.kohd.[[#This Row],[Maahan-muuttajien koulutus 4]]-Opv.kohd.[[#This Row],[Maahan-muuttajien koulutus 1]]</f>
        <v>0</v>
      </c>
      <c r="AN169" s="204">
        <f>Opv.kohd.[[#This Row],[Nuorisotyöt. väh. ja osaamistarp. vast., muu kuin työvoima-koulutus 4]]-Opv.kohd.[[#This Row],[Nuorisotyöt. väh. ja osaamistarp. vast., muu kuin työvoima-koulutus 1]]</f>
        <v>0</v>
      </c>
      <c r="AO169" s="204">
        <f>Opv.kohd.[[#This Row],[Nuorisotyöt. väh. ja osaamistarp. vast., työvoima-koulutus 4]]-Opv.kohd.[[#This Row],[Nuorisotyöt. väh. ja osaamistarp. vast., työvoima-koulutus 1]]</f>
        <v>0</v>
      </c>
      <c r="AP169" s="204">
        <f>Opv.kohd.[[#This Row],[Yhteensä 4]]-Opv.kohd.[[#This Row],[Yhteensä  1]]</f>
        <v>0</v>
      </c>
      <c r="AQ169" s="204">
        <f>Opv.kohd.[[#This Row],[Ensikertaisella suoritepäätöksellä jaetut tavoitteelliset opiskelijavuodet yhteensä 4]]-Opv.kohd.[[#This Row],[Ensikertaisella suoritepäätöksellä jaetut tavoitteelliset opiskelijavuodet yhteensä 1]]</f>
        <v>0</v>
      </c>
      <c r="AR169" s="208">
        <f>IFERROR(Opv.kohd.[[#This Row],[Järjestämisluvan mukaiset 5]]/Opv.kohd.[[#This Row],[Järjestämisluvan mukaiset 4]],0)</f>
        <v>0</v>
      </c>
      <c r="AS169" s="208">
        <f>IFERROR(Opv.kohd.[[#This Row],[Kohdentamat-tomat 5]]/Opv.kohd.[[#This Row],[Kohdentamat-tomat 4]],0)</f>
        <v>0</v>
      </c>
      <c r="AT169" s="208">
        <f>IFERROR(Opv.kohd.[[#This Row],[Työvoima-koulutus 5]]/Opv.kohd.[[#This Row],[Työvoima-koulutus 4]],0)</f>
        <v>0</v>
      </c>
      <c r="AU169" s="208">
        <f>IFERROR(Opv.kohd.[[#This Row],[Maahan-muuttajien koulutus 5]]/Opv.kohd.[[#This Row],[Maahan-muuttajien koulutus 4]],0)</f>
        <v>0</v>
      </c>
      <c r="AV169" s="208">
        <f>IFERROR(Opv.kohd.[[#This Row],[Nuorisotyöt. väh. ja osaamistarp. vast., muu kuin työvoima-koulutus 5]]/Opv.kohd.[[#This Row],[Nuorisotyöt. väh. ja osaamistarp. vast., muu kuin työvoima-koulutus 4]],0)</f>
        <v>0</v>
      </c>
      <c r="AW169" s="208">
        <f>IFERROR(Opv.kohd.[[#This Row],[Nuorisotyöt. väh. ja osaamistarp. vast., työvoima-koulutus 5]]/Opv.kohd.[[#This Row],[Nuorisotyöt. väh. ja osaamistarp. vast., työvoima-koulutus 4]],0)</f>
        <v>0</v>
      </c>
      <c r="AX169" s="208">
        <f>IFERROR(Opv.kohd.[[#This Row],[Yhteensä 5]]/Opv.kohd.[[#This Row],[Yhteensä 4]],0)</f>
        <v>0</v>
      </c>
      <c r="AY169" s="208">
        <f>IFERROR(Opv.kohd.[[#This Row],[Ensikertaisella suoritepäätöksellä jaetut tavoitteelliset opiskelijavuodet yhteensä 5]]/Opv.kohd.[[#This Row],[Ensikertaisella suoritepäätöksellä jaetut tavoitteelliset opiskelijavuodet yhteensä 4]],0)</f>
        <v>0</v>
      </c>
      <c r="AZ169" s="207">
        <f>Opv.kohd.[[#This Row],[Yhteensä 7a]]-Opv.kohd.[[#This Row],[Työvoima-koulutus 7a]]</f>
        <v>0</v>
      </c>
      <c r="BA169" s="207">
        <f>IFERROR(VLOOKUP(Opv.kohd.[[#This Row],[Y-tunnus]],#REF!,COLUMN(#REF!),FALSE),0)</f>
        <v>0</v>
      </c>
      <c r="BB169" s="207">
        <f>IFERROR(VLOOKUP(Opv.kohd.[[#This Row],[Y-tunnus]],#REF!,COLUMN(#REF!),FALSE),0)</f>
        <v>0</v>
      </c>
      <c r="BC169" s="207">
        <f>Opv.kohd.[[#This Row],[Muu kuin työvoima-koulutus 7c]]-Opv.kohd.[[#This Row],[Muu kuin työvoima-koulutus 7a]]</f>
        <v>0</v>
      </c>
      <c r="BD169" s="207">
        <f>Opv.kohd.[[#This Row],[Työvoima-koulutus 7c]]-Opv.kohd.[[#This Row],[Työvoima-koulutus 7a]]</f>
        <v>0</v>
      </c>
      <c r="BE169" s="207">
        <f>Opv.kohd.[[#This Row],[Yhteensä 7c]]-Opv.kohd.[[#This Row],[Yhteensä 7a]]</f>
        <v>0</v>
      </c>
      <c r="BF169" s="207">
        <f>Opv.kohd.[[#This Row],[Yhteensä 7c]]-Opv.kohd.[[#This Row],[Työvoima-koulutus 7c]]</f>
        <v>0</v>
      </c>
      <c r="BG169" s="207">
        <f>IFERROR(VLOOKUP(Opv.kohd.[[#This Row],[Y-tunnus]],#REF!,COLUMN(#REF!),FALSE),0)</f>
        <v>0</v>
      </c>
      <c r="BH169" s="207">
        <f>IFERROR(VLOOKUP(Opv.kohd.[[#This Row],[Y-tunnus]],#REF!,COLUMN(#REF!),FALSE),0)</f>
        <v>0</v>
      </c>
      <c r="BI169" s="207">
        <f>IFERROR(VLOOKUP(Opv.kohd.[[#This Row],[Y-tunnus]],#REF!,COLUMN(#REF!),FALSE),0)</f>
        <v>0</v>
      </c>
      <c r="BJ169" s="207">
        <f>IFERROR(VLOOKUP(Opv.kohd.[[#This Row],[Y-tunnus]],#REF!,COLUMN(#REF!),FALSE),0)</f>
        <v>0</v>
      </c>
      <c r="BK169" s="207">
        <f>Opv.kohd.[[#This Row],[Muu kuin työvoima-koulutus 7d]]+Opv.kohd.[[#This Row],[Työvoima-koulutus 7d]]</f>
        <v>0</v>
      </c>
      <c r="BL169" s="207">
        <f>Opv.kohd.[[#This Row],[Muu kuin työvoima-koulutus 7c]]-Opv.kohd.[[#This Row],[Muu kuin työvoima-koulutus 7d]]</f>
        <v>0</v>
      </c>
      <c r="BM169" s="207">
        <f>Opv.kohd.[[#This Row],[Työvoima-koulutus 7c]]-Opv.kohd.[[#This Row],[Työvoima-koulutus 7d]]</f>
        <v>0</v>
      </c>
      <c r="BN169" s="207">
        <f>Opv.kohd.[[#This Row],[Yhteensä 7c]]-Opv.kohd.[[#This Row],[Yhteensä 7d]]</f>
        <v>0</v>
      </c>
      <c r="BO169" s="207">
        <f>Opv.kohd.[[#This Row],[Muu kuin työvoima-koulutus 7e]]-(Opv.kohd.[[#This Row],[Järjestämisluvan mukaiset 4]]+Opv.kohd.[[#This Row],[Kohdentamat-tomat 4]]+Opv.kohd.[[#This Row],[Maahan-muuttajien koulutus 4]]+Opv.kohd.[[#This Row],[Nuorisotyöt. väh. ja osaamistarp. vast., muu kuin työvoima-koulutus 4]])</f>
        <v>0</v>
      </c>
      <c r="BP169" s="207">
        <f>Opv.kohd.[[#This Row],[Työvoima-koulutus 7e]]-(Opv.kohd.[[#This Row],[Työvoima-koulutus 4]]+Opv.kohd.[[#This Row],[Nuorisotyöt. väh. ja osaamistarp. vast., työvoima-koulutus 4]])</f>
        <v>0</v>
      </c>
      <c r="BQ169" s="207">
        <f>Opv.kohd.[[#This Row],[Yhteensä 7e]]-Opv.kohd.[[#This Row],[Ensikertaisella suoritepäätöksellä jaetut tavoitteelliset opiskelijavuodet yhteensä 4]]</f>
        <v>0</v>
      </c>
      <c r="BR169" s="263">
        <v>0</v>
      </c>
      <c r="BS169" s="263">
        <v>0</v>
      </c>
      <c r="BT169" s="263">
        <v>0</v>
      </c>
      <c r="BU169" s="263">
        <v>0</v>
      </c>
      <c r="BV169" s="263">
        <v>0</v>
      </c>
      <c r="BW169" s="263">
        <v>0</v>
      </c>
      <c r="BX169" s="263">
        <v>0</v>
      </c>
      <c r="BY169" s="263">
        <v>0</v>
      </c>
      <c r="BZ169" s="207">
        <f t="shared" si="32"/>
        <v>0</v>
      </c>
      <c r="CA169" s="207">
        <f t="shared" si="33"/>
        <v>0</v>
      </c>
      <c r="CB169" s="207">
        <f t="shared" si="34"/>
        <v>0</v>
      </c>
      <c r="CC169" s="207">
        <f t="shared" si="35"/>
        <v>0</v>
      </c>
      <c r="CD169" s="207">
        <f t="shared" si="36"/>
        <v>0</v>
      </c>
      <c r="CE169" s="207">
        <f t="shared" si="37"/>
        <v>0</v>
      </c>
      <c r="CF169" s="207">
        <f t="shared" si="38"/>
        <v>0</v>
      </c>
      <c r="CG169" s="207">
        <f t="shared" si="39"/>
        <v>0</v>
      </c>
      <c r="CH169" s="207">
        <f>Opv.kohd.[[#This Row],[Tavoitteelliset opiskelijavuodet yhteensä 9]]-Opv.kohd.[[#This Row],[Työvoima-koulutus 9]]-Opv.kohd.[[#This Row],[Nuorisotyöt. väh. ja osaamistarp. vast., työvoima-koulutus 9]]-Opv.kohd.[[#This Row],[Muu kuin työvoima-koulutus 7e]]</f>
        <v>0</v>
      </c>
      <c r="CI169" s="207">
        <f>(Opv.kohd.[[#This Row],[Työvoima-koulutus 9]]+Opv.kohd.[[#This Row],[Nuorisotyöt. väh. ja osaamistarp. vast., työvoima-koulutus 9]])-Opv.kohd.[[#This Row],[Työvoima-koulutus 7e]]</f>
        <v>0</v>
      </c>
      <c r="CJ169" s="207">
        <f>Opv.kohd.[[#This Row],[Tavoitteelliset opiskelijavuodet yhteensä 9]]-Opv.kohd.[[#This Row],[Yhteensä 7e]]</f>
        <v>0</v>
      </c>
      <c r="CK169" s="207">
        <f>Opv.kohd.[[#This Row],[Järjestämisluvan mukaiset 4]]+Opv.kohd.[[#This Row],[Järjestämisluvan mukaiset 13]]</f>
        <v>0</v>
      </c>
      <c r="CL169" s="207">
        <f>Opv.kohd.[[#This Row],[Kohdentamat-tomat 4]]+Opv.kohd.[[#This Row],[Kohdentamat-tomat 13]]</f>
        <v>0</v>
      </c>
      <c r="CM169" s="207">
        <f>Opv.kohd.[[#This Row],[Työvoima-koulutus 4]]+Opv.kohd.[[#This Row],[Työvoima-koulutus 13]]</f>
        <v>0</v>
      </c>
      <c r="CN169" s="207">
        <f>Opv.kohd.[[#This Row],[Maahan-muuttajien koulutus 4]]+Opv.kohd.[[#This Row],[Maahan-muuttajien koulutus 13]]</f>
        <v>0</v>
      </c>
      <c r="CO169" s="207">
        <f>Opv.kohd.[[#This Row],[Nuorisotyöt. väh. ja osaamistarp. vast., muu kuin työvoima-koulutus 4]]+Opv.kohd.[[#This Row],[Nuorisotyöt. väh. ja osaamistarp. vast., muu kuin työvoima-koulutus 13]]</f>
        <v>0</v>
      </c>
      <c r="CP169" s="207">
        <f>Opv.kohd.[[#This Row],[Nuorisotyöt. väh. ja osaamistarp. vast., työvoima-koulutus 4]]+Opv.kohd.[[#This Row],[Nuorisotyöt. väh. ja osaamistarp. vast., työvoima-koulutus 13]]</f>
        <v>0</v>
      </c>
      <c r="CQ169" s="207">
        <f>Opv.kohd.[[#This Row],[Yhteensä 4]]+Opv.kohd.[[#This Row],[Yhteensä 13]]</f>
        <v>0</v>
      </c>
      <c r="CR169" s="207">
        <f>Opv.kohd.[[#This Row],[Ensikertaisella suoritepäätöksellä jaetut tavoitteelliset opiskelijavuodet yhteensä 4]]+Opv.kohd.[[#This Row],[Tavoitteelliset opiskelijavuodet yhteensä 13]]</f>
        <v>0</v>
      </c>
      <c r="CS169" s="120">
        <v>0</v>
      </c>
      <c r="CT169" s="120">
        <v>0</v>
      </c>
      <c r="CU169" s="120">
        <v>0</v>
      </c>
      <c r="CV169" s="120">
        <v>0</v>
      </c>
      <c r="CW169" s="120">
        <v>0</v>
      </c>
      <c r="CX169" s="120">
        <v>0</v>
      </c>
      <c r="CY169" s="120">
        <v>0</v>
      </c>
      <c r="CZ169" s="120">
        <v>0</v>
      </c>
      <c r="DA169" s="209">
        <f>IFERROR(Opv.kohd.[[#This Row],[Järjestämisluvan mukaiset 13]]/Opv.kohd.[[#This Row],[Järjestämisluvan mukaiset 12]],0)</f>
        <v>0</v>
      </c>
      <c r="DB169" s="209">
        <f>IFERROR(Opv.kohd.[[#This Row],[Kohdentamat-tomat 13]]/Opv.kohd.[[#This Row],[Kohdentamat-tomat 12]],0)</f>
        <v>0</v>
      </c>
      <c r="DC169" s="209">
        <f>IFERROR(Opv.kohd.[[#This Row],[Työvoima-koulutus 13]]/Opv.kohd.[[#This Row],[Työvoima-koulutus 12]],0)</f>
        <v>0</v>
      </c>
      <c r="DD169" s="209">
        <f>IFERROR(Opv.kohd.[[#This Row],[Maahan-muuttajien koulutus 13]]/Opv.kohd.[[#This Row],[Maahan-muuttajien koulutus 12]],0)</f>
        <v>0</v>
      </c>
      <c r="DE169" s="209">
        <f>IFERROR(Opv.kohd.[[#This Row],[Nuorisotyöt. väh. ja osaamistarp. vast., muu kuin työvoima-koulutus 13]]/Opv.kohd.[[#This Row],[Nuorisotyöt. väh. ja osaamistarp. vast., muu kuin työvoima-koulutus 12]],0)</f>
        <v>0</v>
      </c>
      <c r="DF169" s="209">
        <f>IFERROR(Opv.kohd.[[#This Row],[Nuorisotyöt. väh. ja osaamistarp. vast., työvoima-koulutus 13]]/Opv.kohd.[[#This Row],[Nuorisotyöt. väh. ja osaamistarp. vast., työvoima-koulutus 12]],0)</f>
        <v>0</v>
      </c>
      <c r="DG169" s="209">
        <f>IFERROR(Opv.kohd.[[#This Row],[Yhteensä 13]]/Opv.kohd.[[#This Row],[Yhteensä 12]],0)</f>
        <v>0</v>
      </c>
      <c r="DH169" s="209">
        <f>IFERROR(Opv.kohd.[[#This Row],[Tavoitteelliset opiskelijavuodet yhteensä 13]]/Opv.kohd.[[#This Row],[Tavoitteelliset opiskelijavuodet yhteensä 12]],0)</f>
        <v>0</v>
      </c>
      <c r="DI169" s="207">
        <f>Opv.kohd.[[#This Row],[Järjestämisluvan mukaiset 12]]-Opv.kohd.[[#This Row],[Järjestämisluvan mukaiset 9]]</f>
        <v>0</v>
      </c>
      <c r="DJ169" s="207">
        <f>Opv.kohd.[[#This Row],[Kohdentamat-tomat 12]]-Opv.kohd.[[#This Row],[Kohdentamat-tomat 9]]</f>
        <v>0</v>
      </c>
      <c r="DK169" s="207">
        <f>Opv.kohd.[[#This Row],[Työvoima-koulutus 12]]-Opv.kohd.[[#This Row],[Työvoima-koulutus 9]]</f>
        <v>0</v>
      </c>
      <c r="DL169" s="207">
        <f>Opv.kohd.[[#This Row],[Maahan-muuttajien koulutus 12]]-Opv.kohd.[[#This Row],[Maahan-muuttajien koulutus 9]]</f>
        <v>0</v>
      </c>
      <c r="DM169" s="207">
        <f>Opv.kohd.[[#This Row],[Nuorisotyöt. väh. ja osaamistarp. vast., muu kuin työvoima-koulutus 12]]-Opv.kohd.[[#This Row],[Nuorisotyöt. väh. ja osaamistarp. vast., muu kuin työvoima-koulutus 9]]</f>
        <v>0</v>
      </c>
      <c r="DN169" s="207">
        <f>Opv.kohd.[[#This Row],[Nuorisotyöt. väh. ja osaamistarp. vast., työvoima-koulutus 12]]-Opv.kohd.[[#This Row],[Nuorisotyöt. väh. ja osaamistarp. vast., työvoima-koulutus 9]]</f>
        <v>0</v>
      </c>
      <c r="DO169" s="207">
        <f>Opv.kohd.[[#This Row],[Yhteensä 12]]-Opv.kohd.[[#This Row],[Yhteensä 9]]</f>
        <v>0</v>
      </c>
      <c r="DP169" s="207">
        <f>Opv.kohd.[[#This Row],[Tavoitteelliset opiskelijavuodet yhteensä 12]]-Opv.kohd.[[#This Row],[Tavoitteelliset opiskelijavuodet yhteensä 9]]</f>
        <v>0</v>
      </c>
      <c r="DQ169" s="209">
        <f>IFERROR(Opv.kohd.[[#This Row],[Järjestämisluvan mukaiset 15]]/Opv.kohd.[[#This Row],[Järjestämisluvan mukaiset 9]],0)</f>
        <v>0</v>
      </c>
      <c r="DR169" s="209">
        <f t="shared" si="40"/>
        <v>0</v>
      </c>
      <c r="DS169" s="209">
        <f t="shared" si="41"/>
        <v>0</v>
      </c>
      <c r="DT169" s="209">
        <f t="shared" si="42"/>
        <v>0</v>
      </c>
      <c r="DU169" s="209">
        <f t="shared" si="43"/>
        <v>0</v>
      </c>
      <c r="DV169" s="209">
        <f t="shared" si="44"/>
        <v>0</v>
      </c>
      <c r="DW169" s="209">
        <f t="shared" si="45"/>
        <v>0</v>
      </c>
      <c r="DX169" s="209">
        <f t="shared" si="46"/>
        <v>0</v>
      </c>
    </row>
    <row r="170" spans="1:128" x14ac:dyDescent="0.25">
      <c r="A170" s="204" t="e">
        <f>IF(INDEX(#REF!,ROW(170:170)-1,1)=0,"",INDEX(#REF!,ROW(170:170)-1,1))</f>
        <v>#REF!</v>
      </c>
      <c r="B170" s="205" t="str">
        <f>IFERROR(VLOOKUP(Opv.kohd.[[#This Row],[Y-tunnus]],'0 Järjestäjätiedot'!$A:$H,2,FALSE),"")</f>
        <v/>
      </c>
      <c r="C170" s="204" t="str">
        <f>IFERROR(VLOOKUP(Opv.kohd.[[#This Row],[Y-tunnus]],'0 Järjestäjätiedot'!$A:$H,COLUMN('0 Järjestäjätiedot'!D:D),FALSE),"")</f>
        <v/>
      </c>
      <c r="D170" s="204" t="str">
        <f>IFERROR(VLOOKUP(Opv.kohd.[[#This Row],[Y-tunnus]],'0 Järjestäjätiedot'!$A:$H,COLUMN('0 Järjestäjätiedot'!H:H),FALSE),"")</f>
        <v/>
      </c>
      <c r="E170" s="204">
        <f>IFERROR(VLOOKUP(Opv.kohd.[[#This Row],[Y-tunnus]],#REF!,COLUMN(#REF!),FALSE),0)</f>
        <v>0</v>
      </c>
      <c r="F170" s="204">
        <f>IFERROR(VLOOKUP(Opv.kohd.[[#This Row],[Y-tunnus]],#REF!,COLUMN(#REF!),FALSE),0)</f>
        <v>0</v>
      </c>
      <c r="G170" s="204">
        <f>IFERROR(VLOOKUP(Opv.kohd.[[#This Row],[Y-tunnus]],#REF!,COLUMN(#REF!),FALSE),0)</f>
        <v>0</v>
      </c>
      <c r="H170" s="204">
        <f>IFERROR(VLOOKUP(Opv.kohd.[[#This Row],[Y-tunnus]],#REF!,COLUMN(#REF!),FALSE),0)</f>
        <v>0</v>
      </c>
      <c r="I170" s="204">
        <f>IFERROR(VLOOKUP(Opv.kohd.[[#This Row],[Y-tunnus]],#REF!,COLUMN(#REF!),FALSE),0)</f>
        <v>0</v>
      </c>
      <c r="J170" s="204">
        <f>IFERROR(VLOOKUP(Opv.kohd.[[#This Row],[Y-tunnus]],#REF!,COLUMN(#REF!),FALSE),0)</f>
        <v>0</v>
      </c>
      <c r="K170"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70" s="204">
        <f>Opv.kohd.[[#This Row],[Järjestämisluvan mukaiset 1]]+Opv.kohd.[[#This Row],[Yhteensä  1]]</f>
        <v>0</v>
      </c>
      <c r="M170" s="204">
        <f>IFERROR(VLOOKUP(Opv.kohd.[[#This Row],[Y-tunnus]],#REF!,COLUMN(#REF!),FALSE),0)</f>
        <v>0</v>
      </c>
      <c r="N170" s="204">
        <f>IFERROR(VLOOKUP(Opv.kohd.[[#This Row],[Y-tunnus]],#REF!,COLUMN(#REF!),FALSE),0)</f>
        <v>0</v>
      </c>
      <c r="O170" s="204">
        <f>IFERROR(VLOOKUP(Opv.kohd.[[#This Row],[Y-tunnus]],#REF!,COLUMN(#REF!),FALSE)+VLOOKUP(Opv.kohd.[[#This Row],[Y-tunnus]],#REF!,COLUMN(#REF!),FALSE),0)</f>
        <v>0</v>
      </c>
      <c r="P170" s="204">
        <f>Opv.kohd.[[#This Row],[Talousarvion perusteella kohdentamattomat]]+Opv.kohd.[[#This Row],[Talousarvion perusteella työvoimakoulutus 1]]+Opv.kohd.[[#This Row],[Lisätalousarvioiden perusteella]]</f>
        <v>0</v>
      </c>
      <c r="Q170" s="204">
        <f>IFERROR(VLOOKUP(Opv.kohd.[[#This Row],[Y-tunnus]],#REF!,COLUMN(#REF!),FALSE),0)</f>
        <v>0</v>
      </c>
      <c r="R170" s="210">
        <f>IFERROR(VLOOKUP(Opv.kohd.[[#This Row],[Y-tunnus]],#REF!,COLUMN(#REF!),FALSE)-(Opv.kohd.[[#This Row],[Kohdentamaton työvoima-koulutus 2]]+Opv.kohd.[[#This Row],[Maahan-muuttajien koulutus 2]]+Opv.kohd.[[#This Row],[Lisätalousarvioiden perusteella jaetut 2]]),0)</f>
        <v>0</v>
      </c>
      <c r="S170" s="210">
        <f>IFERROR(VLOOKUP(Opv.kohd.[[#This Row],[Y-tunnus]],#REF!,COLUMN(#REF!),FALSE)+VLOOKUP(Opv.kohd.[[#This Row],[Y-tunnus]],#REF!,COLUMN(#REF!),FALSE),0)</f>
        <v>0</v>
      </c>
      <c r="T170" s="210">
        <f>IFERROR(VLOOKUP(Opv.kohd.[[#This Row],[Y-tunnus]],#REF!,COLUMN(#REF!),FALSE)+VLOOKUP(Opv.kohd.[[#This Row],[Y-tunnus]],#REF!,COLUMN(#REF!),FALSE),0)</f>
        <v>0</v>
      </c>
      <c r="U170"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70" s="210">
        <f>Opv.kohd.[[#This Row],[Kohdentamat-tomat 2]]+Opv.kohd.[[#This Row],[Kohdentamaton työvoima-koulutus 2]]+Opv.kohd.[[#This Row],[Maahan-muuttajien koulutus 2]]+Opv.kohd.[[#This Row],[Lisätalousarvioiden perusteella jaetut 2]]</f>
        <v>0</v>
      </c>
      <c r="W170" s="210">
        <f>Opv.kohd.[[#This Row],[Kohdentamat-tomat 2]]-(Opv.kohd.[[#This Row],[Järjestämisluvan mukaiset 1]]+Opv.kohd.[[#This Row],[Kohdentamat-tomat 1]]+Opv.kohd.[[#This Row],[Nuorisotyöt. väh. ja osaamistarp. vast., muu kuin työvoima-koulutus 1]]+Opv.kohd.[[#This Row],[Talousarvion perusteella kohdentamattomat]])</f>
        <v>0</v>
      </c>
      <c r="X170" s="210">
        <f>Opv.kohd.[[#This Row],[Kohdentamaton työvoima-koulutus 2]]-(Opv.kohd.[[#This Row],[Työvoima-koulutus 1]]+Opv.kohd.[[#This Row],[Nuorisotyöt. väh. ja osaamistarp. vast., työvoima-koulutus 1]]+Opv.kohd.[[#This Row],[Talousarvion perusteella työvoimakoulutus 1]])</f>
        <v>0</v>
      </c>
      <c r="Y170" s="210">
        <f>Opv.kohd.[[#This Row],[Maahan-muuttajien koulutus 2]]-Opv.kohd.[[#This Row],[Maahan-muuttajien koulutus 1]]</f>
        <v>0</v>
      </c>
      <c r="Z170" s="210">
        <f>Opv.kohd.[[#This Row],[Lisätalousarvioiden perusteella jaetut 2]]-Opv.kohd.[[#This Row],[Lisätalousarvioiden perusteella]]</f>
        <v>0</v>
      </c>
      <c r="AA170" s="210">
        <f>Opv.kohd.[[#This Row],[Toteutuneet opiskelijavuodet yhteensä 2]]-Opv.kohd.[[#This Row],[Vuoden 2018 tavoitteelliset opiskelijavuodet yhteensä 1]]</f>
        <v>0</v>
      </c>
      <c r="AB170" s="207">
        <f>IFERROR(VLOOKUP(Opv.kohd.[[#This Row],[Y-tunnus]],#REF!,3,FALSE),0)</f>
        <v>0</v>
      </c>
      <c r="AC170" s="207">
        <f>IFERROR(VLOOKUP(Opv.kohd.[[#This Row],[Y-tunnus]],#REF!,4,FALSE),0)</f>
        <v>0</v>
      </c>
      <c r="AD170" s="207">
        <f>IFERROR(VLOOKUP(Opv.kohd.[[#This Row],[Y-tunnus]],#REF!,5,FALSE),0)</f>
        <v>0</v>
      </c>
      <c r="AE170" s="207">
        <f>IFERROR(VLOOKUP(Opv.kohd.[[#This Row],[Y-tunnus]],#REF!,6,FALSE),0)</f>
        <v>0</v>
      </c>
      <c r="AF170" s="207">
        <f>IFERROR(VLOOKUP(Opv.kohd.[[#This Row],[Y-tunnus]],#REF!,7,FALSE),0)</f>
        <v>0</v>
      </c>
      <c r="AG170" s="207">
        <f>IFERROR(VLOOKUP(Opv.kohd.[[#This Row],[Y-tunnus]],#REF!,8,FALSE),0)</f>
        <v>0</v>
      </c>
      <c r="AH170" s="207">
        <f>IFERROR(VLOOKUP(Opv.kohd.[[#This Row],[Y-tunnus]],#REF!,9,FALSE),0)</f>
        <v>0</v>
      </c>
      <c r="AI170" s="207">
        <f>IFERROR(VLOOKUP(Opv.kohd.[[#This Row],[Y-tunnus]],#REF!,10,FALSE),0)</f>
        <v>0</v>
      </c>
      <c r="AJ170" s="204">
        <f>Opv.kohd.[[#This Row],[Järjestämisluvan mukaiset 4]]-Opv.kohd.[[#This Row],[Järjestämisluvan mukaiset 1]]</f>
        <v>0</v>
      </c>
      <c r="AK170" s="204">
        <f>Opv.kohd.[[#This Row],[Kohdentamat-tomat 4]]-Opv.kohd.[[#This Row],[Kohdentamat-tomat 1]]</f>
        <v>0</v>
      </c>
      <c r="AL170" s="204">
        <f>Opv.kohd.[[#This Row],[Työvoima-koulutus 4]]-Opv.kohd.[[#This Row],[Työvoima-koulutus 1]]</f>
        <v>0</v>
      </c>
      <c r="AM170" s="204">
        <f>Opv.kohd.[[#This Row],[Maahan-muuttajien koulutus 4]]-Opv.kohd.[[#This Row],[Maahan-muuttajien koulutus 1]]</f>
        <v>0</v>
      </c>
      <c r="AN170" s="204">
        <f>Opv.kohd.[[#This Row],[Nuorisotyöt. väh. ja osaamistarp. vast., muu kuin työvoima-koulutus 4]]-Opv.kohd.[[#This Row],[Nuorisotyöt. väh. ja osaamistarp. vast., muu kuin työvoima-koulutus 1]]</f>
        <v>0</v>
      </c>
      <c r="AO170" s="204">
        <f>Opv.kohd.[[#This Row],[Nuorisotyöt. väh. ja osaamistarp. vast., työvoima-koulutus 4]]-Opv.kohd.[[#This Row],[Nuorisotyöt. väh. ja osaamistarp. vast., työvoima-koulutus 1]]</f>
        <v>0</v>
      </c>
      <c r="AP170" s="204">
        <f>Opv.kohd.[[#This Row],[Yhteensä 4]]-Opv.kohd.[[#This Row],[Yhteensä  1]]</f>
        <v>0</v>
      </c>
      <c r="AQ170" s="204">
        <f>Opv.kohd.[[#This Row],[Ensikertaisella suoritepäätöksellä jaetut tavoitteelliset opiskelijavuodet yhteensä 4]]-Opv.kohd.[[#This Row],[Ensikertaisella suoritepäätöksellä jaetut tavoitteelliset opiskelijavuodet yhteensä 1]]</f>
        <v>0</v>
      </c>
      <c r="AR170" s="208">
        <f>IFERROR(Opv.kohd.[[#This Row],[Järjestämisluvan mukaiset 5]]/Opv.kohd.[[#This Row],[Järjestämisluvan mukaiset 4]],0)</f>
        <v>0</v>
      </c>
      <c r="AS170" s="208">
        <f>IFERROR(Opv.kohd.[[#This Row],[Kohdentamat-tomat 5]]/Opv.kohd.[[#This Row],[Kohdentamat-tomat 4]],0)</f>
        <v>0</v>
      </c>
      <c r="AT170" s="208">
        <f>IFERROR(Opv.kohd.[[#This Row],[Työvoima-koulutus 5]]/Opv.kohd.[[#This Row],[Työvoima-koulutus 4]],0)</f>
        <v>0</v>
      </c>
      <c r="AU170" s="208">
        <f>IFERROR(Opv.kohd.[[#This Row],[Maahan-muuttajien koulutus 5]]/Opv.kohd.[[#This Row],[Maahan-muuttajien koulutus 4]],0)</f>
        <v>0</v>
      </c>
      <c r="AV170" s="208">
        <f>IFERROR(Opv.kohd.[[#This Row],[Nuorisotyöt. väh. ja osaamistarp. vast., muu kuin työvoima-koulutus 5]]/Opv.kohd.[[#This Row],[Nuorisotyöt. väh. ja osaamistarp. vast., muu kuin työvoima-koulutus 4]],0)</f>
        <v>0</v>
      </c>
      <c r="AW170" s="208">
        <f>IFERROR(Opv.kohd.[[#This Row],[Nuorisotyöt. väh. ja osaamistarp. vast., työvoima-koulutus 5]]/Opv.kohd.[[#This Row],[Nuorisotyöt. väh. ja osaamistarp. vast., työvoima-koulutus 4]],0)</f>
        <v>0</v>
      </c>
      <c r="AX170" s="208">
        <f>IFERROR(Opv.kohd.[[#This Row],[Yhteensä 5]]/Opv.kohd.[[#This Row],[Yhteensä 4]],0)</f>
        <v>0</v>
      </c>
      <c r="AY170" s="208">
        <f>IFERROR(Opv.kohd.[[#This Row],[Ensikertaisella suoritepäätöksellä jaetut tavoitteelliset opiskelijavuodet yhteensä 5]]/Opv.kohd.[[#This Row],[Ensikertaisella suoritepäätöksellä jaetut tavoitteelliset opiskelijavuodet yhteensä 4]],0)</f>
        <v>0</v>
      </c>
      <c r="AZ170" s="207">
        <f>Opv.kohd.[[#This Row],[Yhteensä 7a]]-Opv.kohd.[[#This Row],[Työvoima-koulutus 7a]]</f>
        <v>0</v>
      </c>
      <c r="BA170" s="207">
        <f>IFERROR(VLOOKUP(Opv.kohd.[[#This Row],[Y-tunnus]],#REF!,COLUMN(#REF!),FALSE),0)</f>
        <v>0</v>
      </c>
      <c r="BB170" s="207">
        <f>IFERROR(VLOOKUP(Opv.kohd.[[#This Row],[Y-tunnus]],#REF!,COLUMN(#REF!),FALSE),0)</f>
        <v>0</v>
      </c>
      <c r="BC170" s="207">
        <f>Opv.kohd.[[#This Row],[Muu kuin työvoima-koulutus 7c]]-Opv.kohd.[[#This Row],[Muu kuin työvoima-koulutus 7a]]</f>
        <v>0</v>
      </c>
      <c r="BD170" s="207">
        <f>Opv.kohd.[[#This Row],[Työvoima-koulutus 7c]]-Opv.kohd.[[#This Row],[Työvoima-koulutus 7a]]</f>
        <v>0</v>
      </c>
      <c r="BE170" s="207">
        <f>Opv.kohd.[[#This Row],[Yhteensä 7c]]-Opv.kohd.[[#This Row],[Yhteensä 7a]]</f>
        <v>0</v>
      </c>
      <c r="BF170" s="207">
        <f>Opv.kohd.[[#This Row],[Yhteensä 7c]]-Opv.kohd.[[#This Row],[Työvoima-koulutus 7c]]</f>
        <v>0</v>
      </c>
      <c r="BG170" s="207">
        <f>IFERROR(VLOOKUP(Opv.kohd.[[#This Row],[Y-tunnus]],#REF!,COLUMN(#REF!),FALSE),0)</f>
        <v>0</v>
      </c>
      <c r="BH170" s="207">
        <f>IFERROR(VLOOKUP(Opv.kohd.[[#This Row],[Y-tunnus]],#REF!,COLUMN(#REF!),FALSE),0)</f>
        <v>0</v>
      </c>
      <c r="BI170" s="207">
        <f>IFERROR(VLOOKUP(Opv.kohd.[[#This Row],[Y-tunnus]],#REF!,COLUMN(#REF!),FALSE),0)</f>
        <v>0</v>
      </c>
      <c r="BJ170" s="207">
        <f>IFERROR(VLOOKUP(Opv.kohd.[[#This Row],[Y-tunnus]],#REF!,COLUMN(#REF!),FALSE),0)</f>
        <v>0</v>
      </c>
      <c r="BK170" s="207">
        <f>Opv.kohd.[[#This Row],[Muu kuin työvoima-koulutus 7d]]+Opv.kohd.[[#This Row],[Työvoima-koulutus 7d]]</f>
        <v>0</v>
      </c>
      <c r="BL170" s="207">
        <f>Opv.kohd.[[#This Row],[Muu kuin työvoima-koulutus 7c]]-Opv.kohd.[[#This Row],[Muu kuin työvoima-koulutus 7d]]</f>
        <v>0</v>
      </c>
      <c r="BM170" s="207">
        <f>Opv.kohd.[[#This Row],[Työvoima-koulutus 7c]]-Opv.kohd.[[#This Row],[Työvoima-koulutus 7d]]</f>
        <v>0</v>
      </c>
      <c r="BN170" s="207">
        <f>Opv.kohd.[[#This Row],[Yhteensä 7c]]-Opv.kohd.[[#This Row],[Yhteensä 7d]]</f>
        <v>0</v>
      </c>
      <c r="BO170" s="207">
        <f>Opv.kohd.[[#This Row],[Muu kuin työvoima-koulutus 7e]]-(Opv.kohd.[[#This Row],[Järjestämisluvan mukaiset 4]]+Opv.kohd.[[#This Row],[Kohdentamat-tomat 4]]+Opv.kohd.[[#This Row],[Maahan-muuttajien koulutus 4]]+Opv.kohd.[[#This Row],[Nuorisotyöt. väh. ja osaamistarp. vast., muu kuin työvoima-koulutus 4]])</f>
        <v>0</v>
      </c>
      <c r="BP170" s="207">
        <f>Opv.kohd.[[#This Row],[Työvoima-koulutus 7e]]-(Opv.kohd.[[#This Row],[Työvoima-koulutus 4]]+Opv.kohd.[[#This Row],[Nuorisotyöt. väh. ja osaamistarp. vast., työvoima-koulutus 4]])</f>
        <v>0</v>
      </c>
      <c r="BQ170" s="207">
        <f>Opv.kohd.[[#This Row],[Yhteensä 7e]]-Opv.kohd.[[#This Row],[Ensikertaisella suoritepäätöksellä jaetut tavoitteelliset opiskelijavuodet yhteensä 4]]</f>
        <v>0</v>
      </c>
      <c r="BR170" s="263">
        <v>0</v>
      </c>
      <c r="BS170" s="263">
        <v>0</v>
      </c>
      <c r="BT170" s="263">
        <v>0</v>
      </c>
      <c r="BU170" s="263">
        <v>0</v>
      </c>
      <c r="BV170" s="263">
        <v>0</v>
      </c>
      <c r="BW170" s="263">
        <v>0</v>
      </c>
      <c r="BX170" s="263">
        <v>0</v>
      </c>
      <c r="BY170" s="263">
        <v>0</v>
      </c>
      <c r="BZ170" s="207">
        <f t="shared" si="32"/>
        <v>0</v>
      </c>
      <c r="CA170" s="207">
        <f t="shared" si="33"/>
        <v>0</v>
      </c>
      <c r="CB170" s="207">
        <f t="shared" si="34"/>
        <v>0</v>
      </c>
      <c r="CC170" s="207">
        <f t="shared" si="35"/>
        <v>0</v>
      </c>
      <c r="CD170" s="207">
        <f t="shared" si="36"/>
        <v>0</v>
      </c>
      <c r="CE170" s="207">
        <f t="shared" si="37"/>
        <v>0</v>
      </c>
      <c r="CF170" s="207">
        <f t="shared" si="38"/>
        <v>0</v>
      </c>
      <c r="CG170" s="207">
        <f t="shared" si="39"/>
        <v>0</v>
      </c>
      <c r="CH170" s="207">
        <f>Opv.kohd.[[#This Row],[Tavoitteelliset opiskelijavuodet yhteensä 9]]-Opv.kohd.[[#This Row],[Työvoima-koulutus 9]]-Opv.kohd.[[#This Row],[Nuorisotyöt. väh. ja osaamistarp. vast., työvoima-koulutus 9]]-Opv.kohd.[[#This Row],[Muu kuin työvoima-koulutus 7e]]</f>
        <v>0</v>
      </c>
      <c r="CI170" s="207">
        <f>(Opv.kohd.[[#This Row],[Työvoima-koulutus 9]]+Opv.kohd.[[#This Row],[Nuorisotyöt. väh. ja osaamistarp. vast., työvoima-koulutus 9]])-Opv.kohd.[[#This Row],[Työvoima-koulutus 7e]]</f>
        <v>0</v>
      </c>
      <c r="CJ170" s="207">
        <f>Opv.kohd.[[#This Row],[Tavoitteelliset opiskelijavuodet yhteensä 9]]-Opv.kohd.[[#This Row],[Yhteensä 7e]]</f>
        <v>0</v>
      </c>
      <c r="CK170" s="207">
        <f>Opv.kohd.[[#This Row],[Järjestämisluvan mukaiset 4]]+Opv.kohd.[[#This Row],[Järjestämisluvan mukaiset 13]]</f>
        <v>0</v>
      </c>
      <c r="CL170" s="207">
        <f>Opv.kohd.[[#This Row],[Kohdentamat-tomat 4]]+Opv.kohd.[[#This Row],[Kohdentamat-tomat 13]]</f>
        <v>0</v>
      </c>
      <c r="CM170" s="207">
        <f>Opv.kohd.[[#This Row],[Työvoima-koulutus 4]]+Opv.kohd.[[#This Row],[Työvoima-koulutus 13]]</f>
        <v>0</v>
      </c>
      <c r="CN170" s="207">
        <f>Opv.kohd.[[#This Row],[Maahan-muuttajien koulutus 4]]+Opv.kohd.[[#This Row],[Maahan-muuttajien koulutus 13]]</f>
        <v>0</v>
      </c>
      <c r="CO170" s="207">
        <f>Opv.kohd.[[#This Row],[Nuorisotyöt. väh. ja osaamistarp. vast., muu kuin työvoima-koulutus 4]]+Opv.kohd.[[#This Row],[Nuorisotyöt. väh. ja osaamistarp. vast., muu kuin työvoima-koulutus 13]]</f>
        <v>0</v>
      </c>
      <c r="CP170" s="207">
        <f>Opv.kohd.[[#This Row],[Nuorisotyöt. väh. ja osaamistarp. vast., työvoima-koulutus 4]]+Opv.kohd.[[#This Row],[Nuorisotyöt. väh. ja osaamistarp. vast., työvoima-koulutus 13]]</f>
        <v>0</v>
      </c>
      <c r="CQ170" s="207">
        <f>Opv.kohd.[[#This Row],[Yhteensä 4]]+Opv.kohd.[[#This Row],[Yhteensä 13]]</f>
        <v>0</v>
      </c>
      <c r="CR170" s="207">
        <f>Opv.kohd.[[#This Row],[Ensikertaisella suoritepäätöksellä jaetut tavoitteelliset opiskelijavuodet yhteensä 4]]+Opv.kohd.[[#This Row],[Tavoitteelliset opiskelijavuodet yhteensä 13]]</f>
        <v>0</v>
      </c>
      <c r="CS170" s="120">
        <v>0</v>
      </c>
      <c r="CT170" s="120">
        <v>0</v>
      </c>
      <c r="CU170" s="120">
        <v>0</v>
      </c>
      <c r="CV170" s="120">
        <v>0</v>
      </c>
      <c r="CW170" s="120">
        <v>0</v>
      </c>
      <c r="CX170" s="120">
        <v>0</v>
      </c>
      <c r="CY170" s="120">
        <v>0</v>
      </c>
      <c r="CZ170" s="120">
        <v>0</v>
      </c>
      <c r="DA170" s="209">
        <f>IFERROR(Opv.kohd.[[#This Row],[Järjestämisluvan mukaiset 13]]/Opv.kohd.[[#This Row],[Järjestämisluvan mukaiset 12]],0)</f>
        <v>0</v>
      </c>
      <c r="DB170" s="209">
        <f>IFERROR(Opv.kohd.[[#This Row],[Kohdentamat-tomat 13]]/Opv.kohd.[[#This Row],[Kohdentamat-tomat 12]],0)</f>
        <v>0</v>
      </c>
      <c r="DC170" s="209">
        <f>IFERROR(Opv.kohd.[[#This Row],[Työvoima-koulutus 13]]/Opv.kohd.[[#This Row],[Työvoima-koulutus 12]],0)</f>
        <v>0</v>
      </c>
      <c r="DD170" s="209">
        <f>IFERROR(Opv.kohd.[[#This Row],[Maahan-muuttajien koulutus 13]]/Opv.kohd.[[#This Row],[Maahan-muuttajien koulutus 12]],0)</f>
        <v>0</v>
      </c>
      <c r="DE170" s="209">
        <f>IFERROR(Opv.kohd.[[#This Row],[Nuorisotyöt. väh. ja osaamistarp. vast., muu kuin työvoima-koulutus 13]]/Opv.kohd.[[#This Row],[Nuorisotyöt. väh. ja osaamistarp. vast., muu kuin työvoima-koulutus 12]],0)</f>
        <v>0</v>
      </c>
      <c r="DF170" s="209">
        <f>IFERROR(Opv.kohd.[[#This Row],[Nuorisotyöt. väh. ja osaamistarp. vast., työvoima-koulutus 13]]/Opv.kohd.[[#This Row],[Nuorisotyöt. väh. ja osaamistarp. vast., työvoima-koulutus 12]],0)</f>
        <v>0</v>
      </c>
      <c r="DG170" s="209">
        <f>IFERROR(Opv.kohd.[[#This Row],[Yhteensä 13]]/Opv.kohd.[[#This Row],[Yhteensä 12]],0)</f>
        <v>0</v>
      </c>
      <c r="DH170" s="209">
        <f>IFERROR(Opv.kohd.[[#This Row],[Tavoitteelliset opiskelijavuodet yhteensä 13]]/Opv.kohd.[[#This Row],[Tavoitteelliset opiskelijavuodet yhteensä 12]],0)</f>
        <v>0</v>
      </c>
      <c r="DI170" s="207">
        <f>Opv.kohd.[[#This Row],[Järjestämisluvan mukaiset 12]]-Opv.kohd.[[#This Row],[Järjestämisluvan mukaiset 9]]</f>
        <v>0</v>
      </c>
      <c r="DJ170" s="207">
        <f>Opv.kohd.[[#This Row],[Kohdentamat-tomat 12]]-Opv.kohd.[[#This Row],[Kohdentamat-tomat 9]]</f>
        <v>0</v>
      </c>
      <c r="DK170" s="207">
        <f>Opv.kohd.[[#This Row],[Työvoima-koulutus 12]]-Opv.kohd.[[#This Row],[Työvoima-koulutus 9]]</f>
        <v>0</v>
      </c>
      <c r="DL170" s="207">
        <f>Opv.kohd.[[#This Row],[Maahan-muuttajien koulutus 12]]-Opv.kohd.[[#This Row],[Maahan-muuttajien koulutus 9]]</f>
        <v>0</v>
      </c>
      <c r="DM170" s="207">
        <f>Opv.kohd.[[#This Row],[Nuorisotyöt. väh. ja osaamistarp. vast., muu kuin työvoima-koulutus 12]]-Opv.kohd.[[#This Row],[Nuorisotyöt. väh. ja osaamistarp. vast., muu kuin työvoima-koulutus 9]]</f>
        <v>0</v>
      </c>
      <c r="DN170" s="207">
        <f>Opv.kohd.[[#This Row],[Nuorisotyöt. väh. ja osaamistarp. vast., työvoima-koulutus 12]]-Opv.kohd.[[#This Row],[Nuorisotyöt. väh. ja osaamistarp. vast., työvoima-koulutus 9]]</f>
        <v>0</v>
      </c>
      <c r="DO170" s="207">
        <f>Opv.kohd.[[#This Row],[Yhteensä 12]]-Opv.kohd.[[#This Row],[Yhteensä 9]]</f>
        <v>0</v>
      </c>
      <c r="DP170" s="207">
        <f>Opv.kohd.[[#This Row],[Tavoitteelliset opiskelijavuodet yhteensä 12]]-Opv.kohd.[[#This Row],[Tavoitteelliset opiskelijavuodet yhteensä 9]]</f>
        <v>0</v>
      </c>
      <c r="DQ170" s="209">
        <f>IFERROR(Opv.kohd.[[#This Row],[Järjestämisluvan mukaiset 15]]/Opv.kohd.[[#This Row],[Järjestämisluvan mukaiset 9]],0)</f>
        <v>0</v>
      </c>
      <c r="DR170" s="209">
        <f t="shared" si="40"/>
        <v>0</v>
      </c>
      <c r="DS170" s="209">
        <f t="shared" si="41"/>
        <v>0</v>
      </c>
      <c r="DT170" s="209">
        <f t="shared" si="42"/>
        <v>0</v>
      </c>
      <c r="DU170" s="209">
        <f t="shared" si="43"/>
        <v>0</v>
      </c>
      <c r="DV170" s="209">
        <f t="shared" si="44"/>
        <v>0</v>
      </c>
      <c r="DW170" s="209">
        <f t="shared" si="45"/>
        <v>0</v>
      </c>
      <c r="DX170" s="209">
        <f t="shared" si="46"/>
        <v>0</v>
      </c>
    </row>
    <row r="171" spans="1:128" x14ac:dyDescent="0.25">
      <c r="A171" s="204" t="e">
        <f>IF(INDEX(#REF!,ROW(171:171)-1,1)=0,"",INDEX(#REF!,ROW(171:171)-1,1))</f>
        <v>#REF!</v>
      </c>
      <c r="B171" s="205" t="str">
        <f>IFERROR(VLOOKUP(Opv.kohd.[[#This Row],[Y-tunnus]],'0 Järjestäjätiedot'!$A:$H,2,FALSE),"")</f>
        <v/>
      </c>
      <c r="C171" s="204" t="str">
        <f>IFERROR(VLOOKUP(Opv.kohd.[[#This Row],[Y-tunnus]],'0 Järjestäjätiedot'!$A:$H,COLUMN('0 Järjestäjätiedot'!D:D),FALSE),"")</f>
        <v/>
      </c>
      <c r="D171" s="204" t="str">
        <f>IFERROR(VLOOKUP(Opv.kohd.[[#This Row],[Y-tunnus]],'0 Järjestäjätiedot'!$A:$H,COLUMN('0 Järjestäjätiedot'!H:H),FALSE),"")</f>
        <v/>
      </c>
      <c r="E171" s="204">
        <f>IFERROR(VLOOKUP(Opv.kohd.[[#This Row],[Y-tunnus]],#REF!,COLUMN(#REF!),FALSE),0)</f>
        <v>0</v>
      </c>
      <c r="F171" s="204">
        <f>IFERROR(VLOOKUP(Opv.kohd.[[#This Row],[Y-tunnus]],#REF!,COLUMN(#REF!),FALSE),0)</f>
        <v>0</v>
      </c>
      <c r="G171" s="204">
        <f>IFERROR(VLOOKUP(Opv.kohd.[[#This Row],[Y-tunnus]],#REF!,COLUMN(#REF!),FALSE),0)</f>
        <v>0</v>
      </c>
      <c r="H171" s="204">
        <f>IFERROR(VLOOKUP(Opv.kohd.[[#This Row],[Y-tunnus]],#REF!,COLUMN(#REF!),FALSE),0)</f>
        <v>0</v>
      </c>
      <c r="I171" s="204">
        <f>IFERROR(VLOOKUP(Opv.kohd.[[#This Row],[Y-tunnus]],#REF!,COLUMN(#REF!),FALSE),0)</f>
        <v>0</v>
      </c>
      <c r="J171" s="204">
        <f>IFERROR(VLOOKUP(Opv.kohd.[[#This Row],[Y-tunnus]],#REF!,COLUMN(#REF!),FALSE),0)</f>
        <v>0</v>
      </c>
      <c r="K171"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71" s="204">
        <f>Opv.kohd.[[#This Row],[Järjestämisluvan mukaiset 1]]+Opv.kohd.[[#This Row],[Yhteensä  1]]</f>
        <v>0</v>
      </c>
      <c r="M171" s="204">
        <f>IFERROR(VLOOKUP(Opv.kohd.[[#This Row],[Y-tunnus]],#REF!,COLUMN(#REF!),FALSE),0)</f>
        <v>0</v>
      </c>
      <c r="N171" s="204">
        <f>IFERROR(VLOOKUP(Opv.kohd.[[#This Row],[Y-tunnus]],#REF!,COLUMN(#REF!),FALSE),0)</f>
        <v>0</v>
      </c>
      <c r="O171" s="204">
        <f>IFERROR(VLOOKUP(Opv.kohd.[[#This Row],[Y-tunnus]],#REF!,COLUMN(#REF!),FALSE)+VLOOKUP(Opv.kohd.[[#This Row],[Y-tunnus]],#REF!,COLUMN(#REF!),FALSE),0)</f>
        <v>0</v>
      </c>
      <c r="P171" s="204">
        <f>Opv.kohd.[[#This Row],[Talousarvion perusteella kohdentamattomat]]+Opv.kohd.[[#This Row],[Talousarvion perusteella työvoimakoulutus 1]]+Opv.kohd.[[#This Row],[Lisätalousarvioiden perusteella]]</f>
        <v>0</v>
      </c>
      <c r="Q171" s="204">
        <f>IFERROR(VLOOKUP(Opv.kohd.[[#This Row],[Y-tunnus]],#REF!,COLUMN(#REF!),FALSE),0)</f>
        <v>0</v>
      </c>
      <c r="R171" s="210">
        <f>IFERROR(VLOOKUP(Opv.kohd.[[#This Row],[Y-tunnus]],#REF!,COLUMN(#REF!),FALSE)-(Opv.kohd.[[#This Row],[Kohdentamaton työvoima-koulutus 2]]+Opv.kohd.[[#This Row],[Maahan-muuttajien koulutus 2]]+Opv.kohd.[[#This Row],[Lisätalousarvioiden perusteella jaetut 2]]),0)</f>
        <v>0</v>
      </c>
      <c r="S171" s="210">
        <f>IFERROR(VLOOKUP(Opv.kohd.[[#This Row],[Y-tunnus]],#REF!,COLUMN(#REF!),FALSE)+VLOOKUP(Opv.kohd.[[#This Row],[Y-tunnus]],#REF!,COLUMN(#REF!),FALSE),0)</f>
        <v>0</v>
      </c>
      <c r="T171" s="210">
        <f>IFERROR(VLOOKUP(Opv.kohd.[[#This Row],[Y-tunnus]],#REF!,COLUMN(#REF!),FALSE)+VLOOKUP(Opv.kohd.[[#This Row],[Y-tunnus]],#REF!,COLUMN(#REF!),FALSE),0)</f>
        <v>0</v>
      </c>
      <c r="U171"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71" s="210">
        <f>Opv.kohd.[[#This Row],[Kohdentamat-tomat 2]]+Opv.kohd.[[#This Row],[Kohdentamaton työvoima-koulutus 2]]+Opv.kohd.[[#This Row],[Maahan-muuttajien koulutus 2]]+Opv.kohd.[[#This Row],[Lisätalousarvioiden perusteella jaetut 2]]</f>
        <v>0</v>
      </c>
      <c r="W171" s="210">
        <f>Opv.kohd.[[#This Row],[Kohdentamat-tomat 2]]-(Opv.kohd.[[#This Row],[Järjestämisluvan mukaiset 1]]+Opv.kohd.[[#This Row],[Kohdentamat-tomat 1]]+Opv.kohd.[[#This Row],[Nuorisotyöt. väh. ja osaamistarp. vast., muu kuin työvoima-koulutus 1]]+Opv.kohd.[[#This Row],[Talousarvion perusteella kohdentamattomat]])</f>
        <v>0</v>
      </c>
      <c r="X171" s="210">
        <f>Opv.kohd.[[#This Row],[Kohdentamaton työvoima-koulutus 2]]-(Opv.kohd.[[#This Row],[Työvoima-koulutus 1]]+Opv.kohd.[[#This Row],[Nuorisotyöt. väh. ja osaamistarp. vast., työvoima-koulutus 1]]+Opv.kohd.[[#This Row],[Talousarvion perusteella työvoimakoulutus 1]])</f>
        <v>0</v>
      </c>
      <c r="Y171" s="210">
        <f>Opv.kohd.[[#This Row],[Maahan-muuttajien koulutus 2]]-Opv.kohd.[[#This Row],[Maahan-muuttajien koulutus 1]]</f>
        <v>0</v>
      </c>
      <c r="Z171" s="210">
        <f>Opv.kohd.[[#This Row],[Lisätalousarvioiden perusteella jaetut 2]]-Opv.kohd.[[#This Row],[Lisätalousarvioiden perusteella]]</f>
        <v>0</v>
      </c>
      <c r="AA171" s="210">
        <f>Opv.kohd.[[#This Row],[Toteutuneet opiskelijavuodet yhteensä 2]]-Opv.kohd.[[#This Row],[Vuoden 2018 tavoitteelliset opiskelijavuodet yhteensä 1]]</f>
        <v>0</v>
      </c>
      <c r="AB171" s="207">
        <f>IFERROR(VLOOKUP(Opv.kohd.[[#This Row],[Y-tunnus]],#REF!,3,FALSE),0)</f>
        <v>0</v>
      </c>
      <c r="AC171" s="207">
        <f>IFERROR(VLOOKUP(Opv.kohd.[[#This Row],[Y-tunnus]],#REF!,4,FALSE),0)</f>
        <v>0</v>
      </c>
      <c r="AD171" s="207">
        <f>IFERROR(VLOOKUP(Opv.kohd.[[#This Row],[Y-tunnus]],#REF!,5,FALSE),0)</f>
        <v>0</v>
      </c>
      <c r="AE171" s="207">
        <f>IFERROR(VLOOKUP(Opv.kohd.[[#This Row],[Y-tunnus]],#REF!,6,FALSE),0)</f>
        <v>0</v>
      </c>
      <c r="AF171" s="207">
        <f>IFERROR(VLOOKUP(Opv.kohd.[[#This Row],[Y-tunnus]],#REF!,7,FALSE),0)</f>
        <v>0</v>
      </c>
      <c r="AG171" s="207">
        <f>IFERROR(VLOOKUP(Opv.kohd.[[#This Row],[Y-tunnus]],#REF!,8,FALSE),0)</f>
        <v>0</v>
      </c>
      <c r="AH171" s="207">
        <f>IFERROR(VLOOKUP(Opv.kohd.[[#This Row],[Y-tunnus]],#REF!,9,FALSE),0)</f>
        <v>0</v>
      </c>
      <c r="AI171" s="207">
        <f>IFERROR(VLOOKUP(Opv.kohd.[[#This Row],[Y-tunnus]],#REF!,10,FALSE),0)</f>
        <v>0</v>
      </c>
      <c r="AJ171" s="204">
        <f>Opv.kohd.[[#This Row],[Järjestämisluvan mukaiset 4]]-Opv.kohd.[[#This Row],[Järjestämisluvan mukaiset 1]]</f>
        <v>0</v>
      </c>
      <c r="AK171" s="204">
        <f>Opv.kohd.[[#This Row],[Kohdentamat-tomat 4]]-Opv.kohd.[[#This Row],[Kohdentamat-tomat 1]]</f>
        <v>0</v>
      </c>
      <c r="AL171" s="204">
        <f>Opv.kohd.[[#This Row],[Työvoima-koulutus 4]]-Opv.kohd.[[#This Row],[Työvoima-koulutus 1]]</f>
        <v>0</v>
      </c>
      <c r="AM171" s="204">
        <f>Opv.kohd.[[#This Row],[Maahan-muuttajien koulutus 4]]-Opv.kohd.[[#This Row],[Maahan-muuttajien koulutus 1]]</f>
        <v>0</v>
      </c>
      <c r="AN171" s="204">
        <f>Opv.kohd.[[#This Row],[Nuorisotyöt. väh. ja osaamistarp. vast., muu kuin työvoima-koulutus 4]]-Opv.kohd.[[#This Row],[Nuorisotyöt. väh. ja osaamistarp. vast., muu kuin työvoima-koulutus 1]]</f>
        <v>0</v>
      </c>
      <c r="AO171" s="204">
        <f>Opv.kohd.[[#This Row],[Nuorisotyöt. väh. ja osaamistarp. vast., työvoima-koulutus 4]]-Opv.kohd.[[#This Row],[Nuorisotyöt. väh. ja osaamistarp. vast., työvoima-koulutus 1]]</f>
        <v>0</v>
      </c>
      <c r="AP171" s="204">
        <f>Opv.kohd.[[#This Row],[Yhteensä 4]]-Opv.kohd.[[#This Row],[Yhteensä  1]]</f>
        <v>0</v>
      </c>
      <c r="AQ171" s="204">
        <f>Opv.kohd.[[#This Row],[Ensikertaisella suoritepäätöksellä jaetut tavoitteelliset opiskelijavuodet yhteensä 4]]-Opv.kohd.[[#This Row],[Ensikertaisella suoritepäätöksellä jaetut tavoitteelliset opiskelijavuodet yhteensä 1]]</f>
        <v>0</v>
      </c>
      <c r="AR171" s="208">
        <f>IFERROR(Opv.kohd.[[#This Row],[Järjestämisluvan mukaiset 5]]/Opv.kohd.[[#This Row],[Järjestämisluvan mukaiset 4]],0)</f>
        <v>0</v>
      </c>
      <c r="AS171" s="208">
        <f>IFERROR(Opv.kohd.[[#This Row],[Kohdentamat-tomat 5]]/Opv.kohd.[[#This Row],[Kohdentamat-tomat 4]],0)</f>
        <v>0</v>
      </c>
      <c r="AT171" s="208">
        <f>IFERROR(Opv.kohd.[[#This Row],[Työvoima-koulutus 5]]/Opv.kohd.[[#This Row],[Työvoima-koulutus 4]],0)</f>
        <v>0</v>
      </c>
      <c r="AU171" s="208">
        <f>IFERROR(Opv.kohd.[[#This Row],[Maahan-muuttajien koulutus 5]]/Opv.kohd.[[#This Row],[Maahan-muuttajien koulutus 4]],0)</f>
        <v>0</v>
      </c>
      <c r="AV171" s="208">
        <f>IFERROR(Opv.kohd.[[#This Row],[Nuorisotyöt. väh. ja osaamistarp. vast., muu kuin työvoima-koulutus 5]]/Opv.kohd.[[#This Row],[Nuorisotyöt. väh. ja osaamistarp. vast., muu kuin työvoima-koulutus 4]],0)</f>
        <v>0</v>
      </c>
      <c r="AW171" s="208">
        <f>IFERROR(Opv.kohd.[[#This Row],[Nuorisotyöt. väh. ja osaamistarp. vast., työvoima-koulutus 5]]/Opv.kohd.[[#This Row],[Nuorisotyöt. väh. ja osaamistarp. vast., työvoima-koulutus 4]],0)</f>
        <v>0</v>
      </c>
      <c r="AX171" s="208">
        <f>IFERROR(Opv.kohd.[[#This Row],[Yhteensä 5]]/Opv.kohd.[[#This Row],[Yhteensä 4]],0)</f>
        <v>0</v>
      </c>
      <c r="AY171" s="208">
        <f>IFERROR(Opv.kohd.[[#This Row],[Ensikertaisella suoritepäätöksellä jaetut tavoitteelliset opiskelijavuodet yhteensä 5]]/Opv.kohd.[[#This Row],[Ensikertaisella suoritepäätöksellä jaetut tavoitteelliset opiskelijavuodet yhteensä 4]],0)</f>
        <v>0</v>
      </c>
      <c r="AZ171" s="207">
        <f>Opv.kohd.[[#This Row],[Yhteensä 7a]]-Opv.kohd.[[#This Row],[Työvoima-koulutus 7a]]</f>
        <v>0</v>
      </c>
      <c r="BA171" s="207">
        <f>IFERROR(VLOOKUP(Opv.kohd.[[#This Row],[Y-tunnus]],#REF!,COLUMN(#REF!),FALSE),0)</f>
        <v>0</v>
      </c>
      <c r="BB171" s="207">
        <f>IFERROR(VLOOKUP(Opv.kohd.[[#This Row],[Y-tunnus]],#REF!,COLUMN(#REF!),FALSE),0)</f>
        <v>0</v>
      </c>
      <c r="BC171" s="207">
        <f>Opv.kohd.[[#This Row],[Muu kuin työvoima-koulutus 7c]]-Opv.kohd.[[#This Row],[Muu kuin työvoima-koulutus 7a]]</f>
        <v>0</v>
      </c>
      <c r="BD171" s="207">
        <f>Opv.kohd.[[#This Row],[Työvoima-koulutus 7c]]-Opv.kohd.[[#This Row],[Työvoima-koulutus 7a]]</f>
        <v>0</v>
      </c>
      <c r="BE171" s="207">
        <f>Opv.kohd.[[#This Row],[Yhteensä 7c]]-Opv.kohd.[[#This Row],[Yhteensä 7a]]</f>
        <v>0</v>
      </c>
      <c r="BF171" s="207">
        <f>Opv.kohd.[[#This Row],[Yhteensä 7c]]-Opv.kohd.[[#This Row],[Työvoima-koulutus 7c]]</f>
        <v>0</v>
      </c>
      <c r="BG171" s="207">
        <f>IFERROR(VLOOKUP(Opv.kohd.[[#This Row],[Y-tunnus]],#REF!,COLUMN(#REF!),FALSE),0)</f>
        <v>0</v>
      </c>
      <c r="BH171" s="207">
        <f>IFERROR(VLOOKUP(Opv.kohd.[[#This Row],[Y-tunnus]],#REF!,COLUMN(#REF!),FALSE),0)</f>
        <v>0</v>
      </c>
      <c r="BI171" s="207">
        <f>IFERROR(VLOOKUP(Opv.kohd.[[#This Row],[Y-tunnus]],#REF!,COLUMN(#REF!),FALSE),0)</f>
        <v>0</v>
      </c>
      <c r="BJ171" s="207">
        <f>IFERROR(VLOOKUP(Opv.kohd.[[#This Row],[Y-tunnus]],#REF!,COLUMN(#REF!),FALSE),0)</f>
        <v>0</v>
      </c>
      <c r="BK171" s="207">
        <f>Opv.kohd.[[#This Row],[Muu kuin työvoima-koulutus 7d]]+Opv.kohd.[[#This Row],[Työvoima-koulutus 7d]]</f>
        <v>0</v>
      </c>
      <c r="BL171" s="207">
        <f>Opv.kohd.[[#This Row],[Muu kuin työvoima-koulutus 7c]]-Opv.kohd.[[#This Row],[Muu kuin työvoima-koulutus 7d]]</f>
        <v>0</v>
      </c>
      <c r="BM171" s="207">
        <f>Opv.kohd.[[#This Row],[Työvoima-koulutus 7c]]-Opv.kohd.[[#This Row],[Työvoima-koulutus 7d]]</f>
        <v>0</v>
      </c>
      <c r="BN171" s="207">
        <f>Opv.kohd.[[#This Row],[Yhteensä 7c]]-Opv.kohd.[[#This Row],[Yhteensä 7d]]</f>
        <v>0</v>
      </c>
      <c r="BO171" s="207">
        <f>Opv.kohd.[[#This Row],[Muu kuin työvoima-koulutus 7e]]-(Opv.kohd.[[#This Row],[Järjestämisluvan mukaiset 4]]+Opv.kohd.[[#This Row],[Kohdentamat-tomat 4]]+Opv.kohd.[[#This Row],[Maahan-muuttajien koulutus 4]]+Opv.kohd.[[#This Row],[Nuorisotyöt. väh. ja osaamistarp. vast., muu kuin työvoima-koulutus 4]])</f>
        <v>0</v>
      </c>
      <c r="BP171" s="207">
        <f>Opv.kohd.[[#This Row],[Työvoima-koulutus 7e]]-(Opv.kohd.[[#This Row],[Työvoima-koulutus 4]]+Opv.kohd.[[#This Row],[Nuorisotyöt. väh. ja osaamistarp. vast., työvoima-koulutus 4]])</f>
        <v>0</v>
      </c>
      <c r="BQ171" s="207">
        <f>Opv.kohd.[[#This Row],[Yhteensä 7e]]-Opv.kohd.[[#This Row],[Ensikertaisella suoritepäätöksellä jaetut tavoitteelliset opiskelijavuodet yhteensä 4]]</f>
        <v>0</v>
      </c>
      <c r="BR171" s="263">
        <v>0</v>
      </c>
      <c r="BS171" s="263">
        <v>0</v>
      </c>
      <c r="BT171" s="263">
        <v>0</v>
      </c>
      <c r="BU171" s="263">
        <v>0</v>
      </c>
      <c r="BV171" s="263">
        <v>0</v>
      </c>
      <c r="BW171" s="263">
        <v>0</v>
      </c>
      <c r="BX171" s="263">
        <v>0</v>
      </c>
      <c r="BY171" s="263">
        <v>0</v>
      </c>
      <c r="BZ171" s="207">
        <f t="shared" si="32"/>
        <v>0</v>
      </c>
      <c r="CA171" s="207">
        <f t="shared" si="33"/>
        <v>0</v>
      </c>
      <c r="CB171" s="207">
        <f t="shared" si="34"/>
        <v>0</v>
      </c>
      <c r="CC171" s="207">
        <f t="shared" si="35"/>
        <v>0</v>
      </c>
      <c r="CD171" s="207">
        <f t="shared" si="36"/>
        <v>0</v>
      </c>
      <c r="CE171" s="207">
        <f t="shared" si="37"/>
        <v>0</v>
      </c>
      <c r="CF171" s="207">
        <f t="shared" si="38"/>
        <v>0</v>
      </c>
      <c r="CG171" s="207">
        <f t="shared" si="39"/>
        <v>0</v>
      </c>
      <c r="CH171" s="207">
        <f>Opv.kohd.[[#This Row],[Tavoitteelliset opiskelijavuodet yhteensä 9]]-Opv.kohd.[[#This Row],[Työvoima-koulutus 9]]-Opv.kohd.[[#This Row],[Nuorisotyöt. väh. ja osaamistarp. vast., työvoima-koulutus 9]]-Opv.kohd.[[#This Row],[Muu kuin työvoima-koulutus 7e]]</f>
        <v>0</v>
      </c>
      <c r="CI171" s="207">
        <f>(Opv.kohd.[[#This Row],[Työvoima-koulutus 9]]+Opv.kohd.[[#This Row],[Nuorisotyöt. väh. ja osaamistarp. vast., työvoima-koulutus 9]])-Opv.kohd.[[#This Row],[Työvoima-koulutus 7e]]</f>
        <v>0</v>
      </c>
      <c r="CJ171" s="207">
        <f>Opv.kohd.[[#This Row],[Tavoitteelliset opiskelijavuodet yhteensä 9]]-Opv.kohd.[[#This Row],[Yhteensä 7e]]</f>
        <v>0</v>
      </c>
      <c r="CK171" s="207">
        <f>Opv.kohd.[[#This Row],[Järjestämisluvan mukaiset 4]]+Opv.kohd.[[#This Row],[Järjestämisluvan mukaiset 13]]</f>
        <v>0</v>
      </c>
      <c r="CL171" s="207">
        <f>Opv.kohd.[[#This Row],[Kohdentamat-tomat 4]]+Opv.kohd.[[#This Row],[Kohdentamat-tomat 13]]</f>
        <v>0</v>
      </c>
      <c r="CM171" s="207">
        <f>Opv.kohd.[[#This Row],[Työvoima-koulutus 4]]+Opv.kohd.[[#This Row],[Työvoima-koulutus 13]]</f>
        <v>0</v>
      </c>
      <c r="CN171" s="207">
        <f>Opv.kohd.[[#This Row],[Maahan-muuttajien koulutus 4]]+Opv.kohd.[[#This Row],[Maahan-muuttajien koulutus 13]]</f>
        <v>0</v>
      </c>
      <c r="CO171" s="207">
        <f>Opv.kohd.[[#This Row],[Nuorisotyöt. väh. ja osaamistarp. vast., muu kuin työvoima-koulutus 4]]+Opv.kohd.[[#This Row],[Nuorisotyöt. väh. ja osaamistarp. vast., muu kuin työvoima-koulutus 13]]</f>
        <v>0</v>
      </c>
      <c r="CP171" s="207">
        <f>Opv.kohd.[[#This Row],[Nuorisotyöt. väh. ja osaamistarp. vast., työvoima-koulutus 4]]+Opv.kohd.[[#This Row],[Nuorisotyöt. väh. ja osaamistarp. vast., työvoima-koulutus 13]]</f>
        <v>0</v>
      </c>
      <c r="CQ171" s="207">
        <f>Opv.kohd.[[#This Row],[Yhteensä 4]]+Opv.kohd.[[#This Row],[Yhteensä 13]]</f>
        <v>0</v>
      </c>
      <c r="CR171" s="207">
        <f>Opv.kohd.[[#This Row],[Ensikertaisella suoritepäätöksellä jaetut tavoitteelliset opiskelijavuodet yhteensä 4]]+Opv.kohd.[[#This Row],[Tavoitteelliset opiskelijavuodet yhteensä 13]]</f>
        <v>0</v>
      </c>
      <c r="CS171" s="120">
        <v>0</v>
      </c>
      <c r="CT171" s="120">
        <v>0</v>
      </c>
      <c r="CU171" s="120">
        <v>0</v>
      </c>
      <c r="CV171" s="120">
        <v>0</v>
      </c>
      <c r="CW171" s="120">
        <v>0</v>
      </c>
      <c r="CX171" s="120">
        <v>0</v>
      </c>
      <c r="CY171" s="120">
        <v>0</v>
      </c>
      <c r="CZ171" s="120">
        <v>0</v>
      </c>
      <c r="DA171" s="209">
        <f>IFERROR(Opv.kohd.[[#This Row],[Järjestämisluvan mukaiset 13]]/Opv.kohd.[[#This Row],[Järjestämisluvan mukaiset 12]],0)</f>
        <v>0</v>
      </c>
      <c r="DB171" s="209">
        <f>IFERROR(Opv.kohd.[[#This Row],[Kohdentamat-tomat 13]]/Opv.kohd.[[#This Row],[Kohdentamat-tomat 12]],0)</f>
        <v>0</v>
      </c>
      <c r="DC171" s="209">
        <f>IFERROR(Opv.kohd.[[#This Row],[Työvoima-koulutus 13]]/Opv.kohd.[[#This Row],[Työvoima-koulutus 12]],0)</f>
        <v>0</v>
      </c>
      <c r="DD171" s="209">
        <f>IFERROR(Opv.kohd.[[#This Row],[Maahan-muuttajien koulutus 13]]/Opv.kohd.[[#This Row],[Maahan-muuttajien koulutus 12]],0)</f>
        <v>0</v>
      </c>
      <c r="DE171" s="209">
        <f>IFERROR(Opv.kohd.[[#This Row],[Nuorisotyöt. väh. ja osaamistarp. vast., muu kuin työvoima-koulutus 13]]/Opv.kohd.[[#This Row],[Nuorisotyöt. väh. ja osaamistarp. vast., muu kuin työvoima-koulutus 12]],0)</f>
        <v>0</v>
      </c>
      <c r="DF171" s="209">
        <f>IFERROR(Opv.kohd.[[#This Row],[Nuorisotyöt. väh. ja osaamistarp. vast., työvoima-koulutus 13]]/Opv.kohd.[[#This Row],[Nuorisotyöt. väh. ja osaamistarp. vast., työvoima-koulutus 12]],0)</f>
        <v>0</v>
      </c>
      <c r="DG171" s="209">
        <f>IFERROR(Opv.kohd.[[#This Row],[Yhteensä 13]]/Opv.kohd.[[#This Row],[Yhteensä 12]],0)</f>
        <v>0</v>
      </c>
      <c r="DH171" s="209">
        <f>IFERROR(Opv.kohd.[[#This Row],[Tavoitteelliset opiskelijavuodet yhteensä 13]]/Opv.kohd.[[#This Row],[Tavoitteelliset opiskelijavuodet yhteensä 12]],0)</f>
        <v>0</v>
      </c>
      <c r="DI171" s="207">
        <f>Opv.kohd.[[#This Row],[Järjestämisluvan mukaiset 12]]-Opv.kohd.[[#This Row],[Järjestämisluvan mukaiset 9]]</f>
        <v>0</v>
      </c>
      <c r="DJ171" s="207">
        <f>Opv.kohd.[[#This Row],[Kohdentamat-tomat 12]]-Opv.kohd.[[#This Row],[Kohdentamat-tomat 9]]</f>
        <v>0</v>
      </c>
      <c r="DK171" s="207">
        <f>Opv.kohd.[[#This Row],[Työvoima-koulutus 12]]-Opv.kohd.[[#This Row],[Työvoima-koulutus 9]]</f>
        <v>0</v>
      </c>
      <c r="DL171" s="207">
        <f>Opv.kohd.[[#This Row],[Maahan-muuttajien koulutus 12]]-Opv.kohd.[[#This Row],[Maahan-muuttajien koulutus 9]]</f>
        <v>0</v>
      </c>
      <c r="DM171" s="207">
        <f>Opv.kohd.[[#This Row],[Nuorisotyöt. väh. ja osaamistarp. vast., muu kuin työvoima-koulutus 12]]-Opv.kohd.[[#This Row],[Nuorisotyöt. väh. ja osaamistarp. vast., muu kuin työvoima-koulutus 9]]</f>
        <v>0</v>
      </c>
      <c r="DN171" s="207">
        <f>Opv.kohd.[[#This Row],[Nuorisotyöt. väh. ja osaamistarp. vast., työvoima-koulutus 12]]-Opv.kohd.[[#This Row],[Nuorisotyöt. väh. ja osaamistarp. vast., työvoima-koulutus 9]]</f>
        <v>0</v>
      </c>
      <c r="DO171" s="207">
        <f>Opv.kohd.[[#This Row],[Yhteensä 12]]-Opv.kohd.[[#This Row],[Yhteensä 9]]</f>
        <v>0</v>
      </c>
      <c r="DP171" s="207">
        <f>Opv.kohd.[[#This Row],[Tavoitteelliset opiskelijavuodet yhteensä 12]]-Opv.kohd.[[#This Row],[Tavoitteelliset opiskelijavuodet yhteensä 9]]</f>
        <v>0</v>
      </c>
      <c r="DQ171" s="209">
        <f>IFERROR(Opv.kohd.[[#This Row],[Järjestämisluvan mukaiset 15]]/Opv.kohd.[[#This Row],[Järjestämisluvan mukaiset 9]],0)</f>
        <v>0</v>
      </c>
      <c r="DR171" s="209">
        <f t="shared" si="40"/>
        <v>0</v>
      </c>
      <c r="DS171" s="209">
        <f t="shared" si="41"/>
        <v>0</v>
      </c>
      <c r="DT171" s="209">
        <f t="shared" si="42"/>
        <v>0</v>
      </c>
      <c r="DU171" s="209">
        <f t="shared" si="43"/>
        <v>0</v>
      </c>
      <c r="DV171" s="209">
        <f t="shared" si="44"/>
        <v>0</v>
      </c>
      <c r="DW171" s="209">
        <f t="shared" si="45"/>
        <v>0</v>
      </c>
      <c r="DX171" s="209">
        <f t="shared" si="46"/>
        <v>0</v>
      </c>
    </row>
    <row r="172" spans="1:128" x14ac:dyDescent="0.25">
      <c r="A172" s="204" t="e">
        <f>IF(INDEX(#REF!,ROW(172:172)-1,1)=0,"",INDEX(#REF!,ROW(172:172)-1,1))</f>
        <v>#REF!</v>
      </c>
      <c r="B172" s="205" t="str">
        <f>IFERROR(VLOOKUP(Opv.kohd.[[#This Row],[Y-tunnus]],'0 Järjestäjätiedot'!$A:$H,2,FALSE),"")</f>
        <v/>
      </c>
      <c r="C172" s="204" t="str">
        <f>IFERROR(VLOOKUP(Opv.kohd.[[#This Row],[Y-tunnus]],'0 Järjestäjätiedot'!$A:$H,COLUMN('0 Järjestäjätiedot'!D:D),FALSE),"")</f>
        <v/>
      </c>
      <c r="D172" s="204" t="str">
        <f>IFERROR(VLOOKUP(Opv.kohd.[[#This Row],[Y-tunnus]],'0 Järjestäjätiedot'!$A:$H,COLUMN('0 Järjestäjätiedot'!H:H),FALSE),"")</f>
        <v/>
      </c>
      <c r="E172" s="204">
        <f>IFERROR(VLOOKUP(Opv.kohd.[[#This Row],[Y-tunnus]],#REF!,COLUMN(#REF!),FALSE),0)</f>
        <v>0</v>
      </c>
      <c r="F172" s="204">
        <f>IFERROR(VLOOKUP(Opv.kohd.[[#This Row],[Y-tunnus]],#REF!,COLUMN(#REF!),FALSE),0)</f>
        <v>0</v>
      </c>
      <c r="G172" s="204">
        <f>IFERROR(VLOOKUP(Opv.kohd.[[#This Row],[Y-tunnus]],#REF!,COLUMN(#REF!),FALSE),0)</f>
        <v>0</v>
      </c>
      <c r="H172" s="204">
        <f>IFERROR(VLOOKUP(Opv.kohd.[[#This Row],[Y-tunnus]],#REF!,COLUMN(#REF!),FALSE),0)</f>
        <v>0</v>
      </c>
      <c r="I172" s="204">
        <f>IFERROR(VLOOKUP(Opv.kohd.[[#This Row],[Y-tunnus]],#REF!,COLUMN(#REF!),FALSE),0)</f>
        <v>0</v>
      </c>
      <c r="J172" s="204">
        <f>IFERROR(VLOOKUP(Opv.kohd.[[#This Row],[Y-tunnus]],#REF!,COLUMN(#REF!),FALSE),0)</f>
        <v>0</v>
      </c>
      <c r="K172"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72" s="204">
        <f>Opv.kohd.[[#This Row],[Järjestämisluvan mukaiset 1]]+Opv.kohd.[[#This Row],[Yhteensä  1]]</f>
        <v>0</v>
      </c>
      <c r="M172" s="204">
        <f>IFERROR(VLOOKUP(Opv.kohd.[[#This Row],[Y-tunnus]],#REF!,COLUMN(#REF!),FALSE),0)</f>
        <v>0</v>
      </c>
      <c r="N172" s="204">
        <f>IFERROR(VLOOKUP(Opv.kohd.[[#This Row],[Y-tunnus]],#REF!,COLUMN(#REF!),FALSE),0)</f>
        <v>0</v>
      </c>
      <c r="O172" s="204">
        <f>IFERROR(VLOOKUP(Opv.kohd.[[#This Row],[Y-tunnus]],#REF!,COLUMN(#REF!),FALSE)+VLOOKUP(Opv.kohd.[[#This Row],[Y-tunnus]],#REF!,COLUMN(#REF!),FALSE),0)</f>
        <v>0</v>
      </c>
      <c r="P172" s="204">
        <f>Opv.kohd.[[#This Row],[Talousarvion perusteella kohdentamattomat]]+Opv.kohd.[[#This Row],[Talousarvion perusteella työvoimakoulutus 1]]+Opv.kohd.[[#This Row],[Lisätalousarvioiden perusteella]]</f>
        <v>0</v>
      </c>
      <c r="Q172" s="204">
        <f>IFERROR(VLOOKUP(Opv.kohd.[[#This Row],[Y-tunnus]],#REF!,COLUMN(#REF!),FALSE),0)</f>
        <v>0</v>
      </c>
      <c r="R172" s="210">
        <f>IFERROR(VLOOKUP(Opv.kohd.[[#This Row],[Y-tunnus]],#REF!,COLUMN(#REF!),FALSE)-(Opv.kohd.[[#This Row],[Kohdentamaton työvoima-koulutus 2]]+Opv.kohd.[[#This Row],[Maahan-muuttajien koulutus 2]]+Opv.kohd.[[#This Row],[Lisätalousarvioiden perusteella jaetut 2]]),0)</f>
        <v>0</v>
      </c>
      <c r="S172" s="210">
        <f>IFERROR(VLOOKUP(Opv.kohd.[[#This Row],[Y-tunnus]],#REF!,COLUMN(#REF!),FALSE)+VLOOKUP(Opv.kohd.[[#This Row],[Y-tunnus]],#REF!,COLUMN(#REF!),FALSE),0)</f>
        <v>0</v>
      </c>
      <c r="T172" s="210">
        <f>IFERROR(VLOOKUP(Opv.kohd.[[#This Row],[Y-tunnus]],#REF!,COLUMN(#REF!),FALSE)+VLOOKUP(Opv.kohd.[[#This Row],[Y-tunnus]],#REF!,COLUMN(#REF!),FALSE),0)</f>
        <v>0</v>
      </c>
      <c r="U172"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72" s="210">
        <f>Opv.kohd.[[#This Row],[Kohdentamat-tomat 2]]+Opv.kohd.[[#This Row],[Kohdentamaton työvoima-koulutus 2]]+Opv.kohd.[[#This Row],[Maahan-muuttajien koulutus 2]]+Opv.kohd.[[#This Row],[Lisätalousarvioiden perusteella jaetut 2]]</f>
        <v>0</v>
      </c>
      <c r="W172" s="210">
        <f>Opv.kohd.[[#This Row],[Kohdentamat-tomat 2]]-(Opv.kohd.[[#This Row],[Järjestämisluvan mukaiset 1]]+Opv.kohd.[[#This Row],[Kohdentamat-tomat 1]]+Opv.kohd.[[#This Row],[Nuorisotyöt. väh. ja osaamistarp. vast., muu kuin työvoima-koulutus 1]]+Opv.kohd.[[#This Row],[Talousarvion perusteella kohdentamattomat]])</f>
        <v>0</v>
      </c>
      <c r="X172" s="210">
        <f>Opv.kohd.[[#This Row],[Kohdentamaton työvoima-koulutus 2]]-(Opv.kohd.[[#This Row],[Työvoima-koulutus 1]]+Opv.kohd.[[#This Row],[Nuorisotyöt. väh. ja osaamistarp. vast., työvoima-koulutus 1]]+Opv.kohd.[[#This Row],[Talousarvion perusteella työvoimakoulutus 1]])</f>
        <v>0</v>
      </c>
      <c r="Y172" s="210">
        <f>Opv.kohd.[[#This Row],[Maahan-muuttajien koulutus 2]]-Opv.kohd.[[#This Row],[Maahan-muuttajien koulutus 1]]</f>
        <v>0</v>
      </c>
      <c r="Z172" s="210">
        <f>Opv.kohd.[[#This Row],[Lisätalousarvioiden perusteella jaetut 2]]-Opv.kohd.[[#This Row],[Lisätalousarvioiden perusteella]]</f>
        <v>0</v>
      </c>
      <c r="AA172" s="210">
        <f>Opv.kohd.[[#This Row],[Toteutuneet opiskelijavuodet yhteensä 2]]-Opv.kohd.[[#This Row],[Vuoden 2018 tavoitteelliset opiskelijavuodet yhteensä 1]]</f>
        <v>0</v>
      </c>
      <c r="AB172" s="207">
        <f>IFERROR(VLOOKUP(Opv.kohd.[[#This Row],[Y-tunnus]],#REF!,3,FALSE),0)</f>
        <v>0</v>
      </c>
      <c r="AC172" s="207">
        <f>IFERROR(VLOOKUP(Opv.kohd.[[#This Row],[Y-tunnus]],#REF!,4,FALSE),0)</f>
        <v>0</v>
      </c>
      <c r="AD172" s="207">
        <f>IFERROR(VLOOKUP(Opv.kohd.[[#This Row],[Y-tunnus]],#REF!,5,FALSE),0)</f>
        <v>0</v>
      </c>
      <c r="AE172" s="207">
        <f>IFERROR(VLOOKUP(Opv.kohd.[[#This Row],[Y-tunnus]],#REF!,6,FALSE),0)</f>
        <v>0</v>
      </c>
      <c r="AF172" s="207">
        <f>IFERROR(VLOOKUP(Opv.kohd.[[#This Row],[Y-tunnus]],#REF!,7,FALSE),0)</f>
        <v>0</v>
      </c>
      <c r="AG172" s="207">
        <f>IFERROR(VLOOKUP(Opv.kohd.[[#This Row],[Y-tunnus]],#REF!,8,FALSE),0)</f>
        <v>0</v>
      </c>
      <c r="AH172" s="207">
        <f>IFERROR(VLOOKUP(Opv.kohd.[[#This Row],[Y-tunnus]],#REF!,9,FALSE),0)</f>
        <v>0</v>
      </c>
      <c r="AI172" s="207">
        <f>IFERROR(VLOOKUP(Opv.kohd.[[#This Row],[Y-tunnus]],#REF!,10,FALSE),0)</f>
        <v>0</v>
      </c>
      <c r="AJ172" s="204">
        <f>Opv.kohd.[[#This Row],[Järjestämisluvan mukaiset 4]]-Opv.kohd.[[#This Row],[Järjestämisluvan mukaiset 1]]</f>
        <v>0</v>
      </c>
      <c r="AK172" s="204">
        <f>Opv.kohd.[[#This Row],[Kohdentamat-tomat 4]]-Opv.kohd.[[#This Row],[Kohdentamat-tomat 1]]</f>
        <v>0</v>
      </c>
      <c r="AL172" s="204">
        <f>Opv.kohd.[[#This Row],[Työvoima-koulutus 4]]-Opv.kohd.[[#This Row],[Työvoima-koulutus 1]]</f>
        <v>0</v>
      </c>
      <c r="AM172" s="204">
        <f>Opv.kohd.[[#This Row],[Maahan-muuttajien koulutus 4]]-Opv.kohd.[[#This Row],[Maahan-muuttajien koulutus 1]]</f>
        <v>0</v>
      </c>
      <c r="AN172" s="204">
        <f>Opv.kohd.[[#This Row],[Nuorisotyöt. väh. ja osaamistarp. vast., muu kuin työvoima-koulutus 4]]-Opv.kohd.[[#This Row],[Nuorisotyöt. väh. ja osaamistarp. vast., muu kuin työvoima-koulutus 1]]</f>
        <v>0</v>
      </c>
      <c r="AO172" s="204">
        <f>Opv.kohd.[[#This Row],[Nuorisotyöt. väh. ja osaamistarp. vast., työvoima-koulutus 4]]-Opv.kohd.[[#This Row],[Nuorisotyöt. väh. ja osaamistarp. vast., työvoima-koulutus 1]]</f>
        <v>0</v>
      </c>
      <c r="AP172" s="204">
        <f>Opv.kohd.[[#This Row],[Yhteensä 4]]-Opv.kohd.[[#This Row],[Yhteensä  1]]</f>
        <v>0</v>
      </c>
      <c r="AQ172" s="204">
        <f>Opv.kohd.[[#This Row],[Ensikertaisella suoritepäätöksellä jaetut tavoitteelliset opiskelijavuodet yhteensä 4]]-Opv.kohd.[[#This Row],[Ensikertaisella suoritepäätöksellä jaetut tavoitteelliset opiskelijavuodet yhteensä 1]]</f>
        <v>0</v>
      </c>
      <c r="AR172" s="208">
        <f>IFERROR(Opv.kohd.[[#This Row],[Järjestämisluvan mukaiset 5]]/Opv.kohd.[[#This Row],[Järjestämisluvan mukaiset 4]],0)</f>
        <v>0</v>
      </c>
      <c r="AS172" s="208">
        <f>IFERROR(Opv.kohd.[[#This Row],[Kohdentamat-tomat 5]]/Opv.kohd.[[#This Row],[Kohdentamat-tomat 4]],0)</f>
        <v>0</v>
      </c>
      <c r="AT172" s="208">
        <f>IFERROR(Opv.kohd.[[#This Row],[Työvoima-koulutus 5]]/Opv.kohd.[[#This Row],[Työvoima-koulutus 4]],0)</f>
        <v>0</v>
      </c>
      <c r="AU172" s="208">
        <f>IFERROR(Opv.kohd.[[#This Row],[Maahan-muuttajien koulutus 5]]/Opv.kohd.[[#This Row],[Maahan-muuttajien koulutus 4]],0)</f>
        <v>0</v>
      </c>
      <c r="AV172" s="208">
        <f>IFERROR(Opv.kohd.[[#This Row],[Nuorisotyöt. väh. ja osaamistarp. vast., muu kuin työvoima-koulutus 5]]/Opv.kohd.[[#This Row],[Nuorisotyöt. väh. ja osaamistarp. vast., muu kuin työvoima-koulutus 4]],0)</f>
        <v>0</v>
      </c>
      <c r="AW172" s="208">
        <f>IFERROR(Opv.kohd.[[#This Row],[Nuorisotyöt. väh. ja osaamistarp. vast., työvoima-koulutus 5]]/Opv.kohd.[[#This Row],[Nuorisotyöt. väh. ja osaamistarp. vast., työvoima-koulutus 4]],0)</f>
        <v>0</v>
      </c>
      <c r="AX172" s="208">
        <f>IFERROR(Opv.kohd.[[#This Row],[Yhteensä 5]]/Opv.kohd.[[#This Row],[Yhteensä 4]],0)</f>
        <v>0</v>
      </c>
      <c r="AY172" s="208">
        <f>IFERROR(Opv.kohd.[[#This Row],[Ensikertaisella suoritepäätöksellä jaetut tavoitteelliset opiskelijavuodet yhteensä 5]]/Opv.kohd.[[#This Row],[Ensikertaisella suoritepäätöksellä jaetut tavoitteelliset opiskelijavuodet yhteensä 4]],0)</f>
        <v>0</v>
      </c>
      <c r="AZ172" s="207">
        <f>Opv.kohd.[[#This Row],[Yhteensä 7a]]-Opv.kohd.[[#This Row],[Työvoima-koulutus 7a]]</f>
        <v>0</v>
      </c>
      <c r="BA172" s="207">
        <f>IFERROR(VLOOKUP(Opv.kohd.[[#This Row],[Y-tunnus]],#REF!,COLUMN(#REF!),FALSE),0)</f>
        <v>0</v>
      </c>
      <c r="BB172" s="207">
        <f>IFERROR(VLOOKUP(Opv.kohd.[[#This Row],[Y-tunnus]],#REF!,COLUMN(#REF!),FALSE),0)</f>
        <v>0</v>
      </c>
      <c r="BC172" s="207">
        <f>Opv.kohd.[[#This Row],[Muu kuin työvoima-koulutus 7c]]-Opv.kohd.[[#This Row],[Muu kuin työvoima-koulutus 7a]]</f>
        <v>0</v>
      </c>
      <c r="BD172" s="207">
        <f>Opv.kohd.[[#This Row],[Työvoima-koulutus 7c]]-Opv.kohd.[[#This Row],[Työvoima-koulutus 7a]]</f>
        <v>0</v>
      </c>
      <c r="BE172" s="207">
        <f>Opv.kohd.[[#This Row],[Yhteensä 7c]]-Opv.kohd.[[#This Row],[Yhteensä 7a]]</f>
        <v>0</v>
      </c>
      <c r="BF172" s="207">
        <f>Opv.kohd.[[#This Row],[Yhteensä 7c]]-Opv.kohd.[[#This Row],[Työvoima-koulutus 7c]]</f>
        <v>0</v>
      </c>
      <c r="BG172" s="207">
        <f>IFERROR(VLOOKUP(Opv.kohd.[[#This Row],[Y-tunnus]],#REF!,COLUMN(#REF!),FALSE),0)</f>
        <v>0</v>
      </c>
      <c r="BH172" s="207">
        <f>IFERROR(VLOOKUP(Opv.kohd.[[#This Row],[Y-tunnus]],#REF!,COLUMN(#REF!),FALSE),0)</f>
        <v>0</v>
      </c>
      <c r="BI172" s="207">
        <f>IFERROR(VLOOKUP(Opv.kohd.[[#This Row],[Y-tunnus]],#REF!,COLUMN(#REF!),FALSE),0)</f>
        <v>0</v>
      </c>
      <c r="BJ172" s="207">
        <f>IFERROR(VLOOKUP(Opv.kohd.[[#This Row],[Y-tunnus]],#REF!,COLUMN(#REF!),FALSE),0)</f>
        <v>0</v>
      </c>
      <c r="BK172" s="207">
        <f>Opv.kohd.[[#This Row],[Muu kuin työvoima-koulutus 7d]]+Opv.kohd.[[#This Row],[Työvoima-koulutus 7d]]</f>
        <v>0</v>
      </c>
      <c r="BL172" s="207">
        <f>Opv.kohd.[[#This Row],[Muu kuin työvoima-koulutus 7c]]-Opv.kohd.[[#This Row],[Muu kuin työvoima-koulutus 7d]]</f>
        <v>0</v>
      </c>
      <c r="BM172" s="207">
        <f>Opv.kohd.[[#This Row],[Työvoima-koulutus 7c]]-Opv.kohd.[[#This Row],[Työvoima-koulutus 7d]]</f>
        <v>0</v>
      </c>
      <c r="BN172" s="207">
        <f>Opv.kohd.[[#This Row],[Yhteensä 7c]]-Opv.kohd.[[#This Row],[Yhteensä 7d]]</f>
        <v>0</v>
      </c>
      <c r="BO172" s="207">
        <f>Opv.kohd.[[#This Row],[Muu kuin työvoima-koulutus 7e]]-(Opv.kohd.[[#This Row],[Järjestämisluvan mukaiset 4]]+Opv.kohd.[[#This Row],[Kohdentamat-tomat 4]]+Opv.kohd.[[#This Row],[Maahan-muuttajien koulutus 4]]+Opv.kohd.[[#This Row],[Nuorisotyöt. väh. ja osaamistarp. vast., muu kuin työvoima-koulutus 4]])</f>
        <v>0</v>
      </c>
      <c r="BP172" s="207">
        <f>Opv.kohd.[[#This Row],[Työvoima-koulutus 7e]]-(Opv.kohd.[[#This Row],[Työvoima-koulutus 4]]+Opv.kohd.[[#This Row],[Nuorisotyöt. väh. ja osaamistarp. vast., työvoima-koulutus 4]])</f>
        <v>0</v>
      </c>
      <c r="BQ172" s="207">
        <f>Opv.kohd.[[#This Row],[Yhteensä 7e]]-Opv.kohd.[[#This Row],[Ensikertaisella suoritepäätöksellä jaetut tavoitteelliset opiskelijavuodet yhteensä 4]]</f>
        <v>0</v>
      </c>
      <c r="BR172" s="263">
        <v>0</v>
      </c>
      <c r="BS172" s="263">
        <v>0</v>
      </c>
      <c r="BT172" s="263">
        <v>0</v>
      </c>
      <c r="BU172" s="263">
        <v>0</v>
      </c>
      <c r="BV172" s="263">
        <v>0</v>
      </c>
      <c r="BW172" s="263">
        <v>0</v>
      </c>
      <c r="BX172" s="263">
        <v>0</v>
      </c>
      <c r="BY172" s="263">
        <v>0</v>
      </c>
      <c r="BZ172" s="207">
        <f t="shared" si="32"/>
        <v>0</v>
      </c>
      <c r="CA172" s="207">
        <f t="shared" si="33"/>
        <v>0</v>
      </c>
      <c r="CB172" s="207">
        <f t="shared" si="34"/>
        <v>0</v>
      </c>
      <c r="CC172" s="207">
        <f t="shared" si="35"/>
        <v>0</v>
      </c>
      <c r="CD172" s="207">
        <f t="shared" si="36"/>
        <v>0</v>
      </c>
      <c r="CE172" s="207">
        <f t="shared" si="37"/>
        <v>0</v>
      </c>
      <c r="CF172" s="207">
        <f t="shared" si="38"/>
        <v>0</v>
      </c>
      <c r="CG172" s="207">
        <f t="shared" si="39"/>
        <v>0</v>
      </c>
      <c r="CH172" s="207">
        <f>Opv.kohd.[[#This Row],[Tavoitteelliset opiskelijavuodet yhteensä 9]]-Opv.kohd.[[#This Row],[Työvoima-koulutus 9]]-Opv.kohd.[[#This Row],[Nuorisotyöt. väh. ja osaamistarp. vast., työvoima-koulutus 9]]-Opv.kohd.[[#This Row],[Muu kuin työvoima-koulutus 7e]]</f>
        <v>0</v>
      </c>
      <c r="CI172" s="207">
        <f>(Opv.kohd.[[#This Row],[Työvoima-koulutus 9]]+Opv.kohd.[[#This Row],[Nuorisotyöt. väh. ja osaamistarp. vast., työvoima-koulutus 9]])-Opv.kohd.[[#This Row],[Työvoima-koulutus 7e]]</f>
        <v>0</v>
      </c>
      <c r="CJ172" s="207">
        <f>Opv.kohd.[[#This Row],[Tavoitteelliset opiskelijavuodet yhteensä 9]]-Opv.kohd.[[#This Row],[Yhteensä 7e]]</f>
        <v>0</v>
      </c>
      <c r="CK172" s="207">
        <f>Opv.kohd.[[#This Row],[Järjestämisluvan mukaiset 4]]+Opv.kohd.[[#This Row],[Järjestämisluvan mukaiset 13]]</f>
        <v>0</v>
      </c>
      <c r="CL172" s="207">
        <f>Opv.kohd.[[#This Row],[Kohdentamat-tomat 4]]+Opv.kohd.[[#This Row],[Kohdentamat-tomat 13]]</f>
        <v>0</v>
      </c>
      <c r="CM172" s="207">
        <f>Opv.kohd.[[#This Row],[Työvoima-koulutus 4]]+Opv.kohd.[[#This Row],[Työvoima-koulutus 13]]</f>
        <v>0</v>
      </c>
      <c r="CN172" s="207">
        <f>Opv.kohd.[[#This Row],[Maahan-muuttajien koulutus 4]]+Opv.kohd.[[#This Row],[Maahan-muuttajien koulutus 13]]</f>
        <v>0</v>
      </c>
      <c r="CO172" s="207">
        <f>Opv.kohd.[[#This Row],[Nuorisotyöt. väh. ja osaamistarp. vast., muu kuin työvoima-koulutus 4]]+Opv.kohd.[[#This Row],[Nuorisotyöt. väh. ja osaamistarp. vast., muu kuin työvoima-koulutus 13]]</f>
        <v>0</v>
      </c>
      <c r="CP172" s="207">
        <f>Opv.kohd.[[#This Row],[Nuorisotyöt. väh. ja osaamistarp. vast., työvoima-koulutus 4]]+Opv.kohd.[[#This Row],[Nuorisotyöt. väh. ja osaamistarp. vast., työvoima-koulutus 13]]</f>
        <v>0</v>
      </c>
      <c r="CQ172" s="207">
        <f>Opv.kohd.[[#This Row],[Yhteensä 4]]+Opv.kohd.[[#This Row],[Yhteensä 13]]</f>
        <v>0</v>
      </c>
      <c r="CR172" s="207">
        <f>Opv.kohd.[[#This Row],[Ensikertaisella suoritepäätöksellä jaetut tavoitteelliset opiskelijavuodet yhteensä 4]]+Opv.kohd.[[#This Row],[Tavoitteelliset opiskelijavuodet yhteensä 13]]</f>
        <v>0</v>
      </c>
      <c r="CS172" s="120">
        <v>0</v>
      </c>
      <c r="CT172" s="120">
        <v>0</v>
      </c>
      <c r="CU172" s="120">
        <v>0</v>
      </c>
      <c r="CV172" s="120">
        <v>0</v>
      </c>
      <c r="CW172" s="120">
        <v>0</v>
      </c>
      <c r="CX172" s="120">
        <v>0</v>
      </c>
      <c r="CY172" s="120">
        <v>0</v>
      </c>
      <c r="CZ172" s="120">
        <v>0</v>
      </c>
      <c r="DA172" s="209">
        <f>IFERROR(Opv.kohd.[[#This Row],[Järjestämisluvan mukaiset 13]]/Opv.kohd.[[#This Row],[Järjestämisluvan mukaiset 12]],0)</f>
        <v>0</v>
      </c>
      <c r="DB172" s="209">
        <f>IFERROR(Opv.kohd.[[#This Row],[Kohdentamat-tomat 13]]/Opv.kohd.[[#This Row],[Kohdentamat-tomat 12]],0)</f>
        <v>0</v>
      </c>
      <c r="DC172" s="209">
        <f>IFERROR(Opv.kohd.[[#This Row],[Työvoima-koulutus 13]]/Opv.kohd.[[#This Row],[Työvoima-koulutus 12]],0)</f>
        <v>0</v>
      </c>
      <c r="DD172" s="209">
        <f>IFERROR(Opv.kohd.[[#This Row],[Maahan-muuttajien koulutus 13]]/Opv.kohd.[[#This Row],[Maahan-muuttajien koulutus 12]],0)</f>
        <v>0</v>
      </c>
      <c r="DE172" s="209">
        <f>IFERROR(Opv.kohd.[[#This Row],[Nuorisotyöt. väh. ja osaamistarp. vast., muu kuin työvoima-koulutus 13]]/Opv.kohd.[[#This Row],[Nuorisotyöt. väh. ja osaamistarp. vast., muu kuin työvoima-koulutus 12]],0)</f>
        <v>0</v>
      </c>
      <c r="DF172" s="209">
        <f>IFERROR(Opv.kohd.[[#This Row],[Nuorisotyöt. väh. ja osaamistarp. vast., työvoima-koulutus 13]]/Opv.kohd.[[#This Row],[Nuorisotyöt. väh. ja osaamistarp. vast., työvoima-koulutus 12]],0)</f>
        <v>0</v>
      </c>
      <c r="DG172" s="209">
        <f>IFERROR(Opv.kohd.[[#This Row],[Yhteensä 13]]/Opv.kohd.[[#This Row],[Yhteensä 12]],0)</f>
        <v>0</v>
      </c>
      <c r="DH172" s="209">
        <f>IFERROR(Opv.kohd.[[#This Row],[Tavoitteelliset opiskelijavuodet yhteensä 13]]/Opv.kohd.[[#This Row],[Tavoitteelliset opiskelijavuodet yhteensä 12]],0)</f>
        <v>0</v>
      </c>
      <c r="DI172" s="207">
        <f>Opv.kohd.[[#This Row],[Järjestämisluvan mukaiset 12]]-Opv.kohd.[[#This Row],[Järjestämisluvan mukaiset 9]]</f>
        <v>0</v>
      </c>
      <c r="DJ172" s="207">
        <f>Opv.kohd.[[#This Row],[Kohdentamat-tomat 12]]-Opv.kohd.[[#This Row],[Kohdentamat-tomat 9]]</f>
        <v>0</v>
      </c>
      <c r="DK172" s="207">
        <f>Opv.kohd.[[#This Row],[Työvoima-koulutus 12]]-Opv.kohd.[[#This Row],[Työvoima-koulutus 9]]</f>
        <v>0</v>
      </c>
      <c r="DL172" s="207">
        <f>Opv.kohd.[[#This Row],[Maahan-muuttajien koulutus 12]]-Opv.kohd.[[#This Row],[Maahan-muuttajien koulutus 9]]</f>
        <v>0</v>
      </c>
      <c r="DM172" s="207">
        <f>Opv.kohd.[[#This Row],[Nuorisotyöt. väh. ja osaamistarp. vast., muu kuin työvoima-koulutus 12]]-Opv.kohd.[[#This Row],[Nuorisotyöt. väh. ja osaamistarp. vast., muu kuin työvoima-koulutus 9]]</f>
        <v>0</v>
      </c>
      <c r="DN172" s="207">
        <f>Opv.kohd.[[#This Row],[Nuorisotyöt. väh. ja osaamistarp. vast., työvoima-koulutus 12]]-Opv.kohd.[[#This Row],[Nuorisotyöt. väh. ja osaamistarp. vast., työvoima-koulutus 9]]</f>
        <v>0</v>
      </c>
      <c r="DO172" s="207">
        <f>Opv.kohd.[[#This Row],[Yhteensä 12]]-Opv.kohd.[[#This Row],[Yhteensä 9]]</f>
        <v>0</v>
      </c>
      <c r="DP172" s="207">
        <f>Opv.kohd.[[#This Row],[Tavoitteelliset opiskelijavuodet yhteensä 12]]-Opv.kohd.[[#This Row],[Tavoitteelliset opiskelijavuodet yhteensä 9]]</f>
        <v>0</v>
      </c>
      <c r="DQ172" s="209">
        <f>IFERROR(Opv.kohd.[[#This Row],[Järjestämisluvan mukaiset 15]]/Opv.kohd.[[#This Row],[Järjestämisluvan mukaiset 9]],0)</f>
        <v>0</v>
      </c>
      <c r="DR172" s="209">
        <f t="shared" si="40"/>
        <v>0</v>
      </c>
      <c r="DS172" s="209">
        <f t="shared" si="41"/>
        <v>0</v>
      </c>
      <c r="DT172" s="209">
        <f t="shared" si="42"/>
        <v>0</v>
      </c>
      <c r="DU172" s="209">
        <f t="shared" si="43"/>
        <v>0</v>
      </c>
      <c r="DV172" s="209">
        <f t="shared" si="44"/>
        <v>0</v>
      </c>
      <c r="DW172" s="209">
        <f t="shared" si="45"/>
        <v>0</v>
      </c>
      <c r="DX172" s="209">
        <f t="shared" si="46"/>
        <v>0</v>
      </c>
    </row>
    <row r="173" spans="1:128" x14ac:dyDescent="0.25">
      <c r="A173" s="204" t="e">
        <f>IF(INDEX(#REF!,ROW(173:173)-1,1)=0,"",INDEX(#REF!,ROW(173:173)-1,1))</f>
        <v>#REF!</v>
      </c>
      <c r="B173" s="205" t="str">
        <f>IFERROR(VLOOKUP(Opv.kohd.[[#This Row],[Y-tunnus]],'0 Järjestäjätiedot'!$A:$H,2,FALSE),"")</f>
        <v/>
      </c>
      <c r="C173" s="204" t="str">
        <f>IFERROR(VLOOKUP(Opv.kohd.[[#This Row],[Y-tunnus]],'0 Järjestäjätiedot'!$A:$H,COLUMN('0 Järjestäjätiedot'!D:D),FALSE),"")</f>
        <v/>
      </c>
      <c r="D173" s="204" t="str">
        <f>IFERROR(VLOOKUP(Opv.kohd.[[#This Row],[Y-tunnus]],'0 Järjestäjätiedot'!$A:$H,COLUMN('0 Järjestäjätiedot'!H:H),FALSE),"")</f>
        <v/>
      </c>
      <c r="E173" s="204">
        <f>IFERROR(VLOOKUP(Opv.kohd.[[#This Row],[Y-tunnus]],#REF!,COLUMN(#REF!),FALSE),0)</f>
        <v>0</v>
      </c>
      <c r="F173" s="204">
        <f>IFERROR(VLOOKUP(Opv.kohd.[[#This Row],[Y-tunnus]],#REF!,COLUMN(#REF!),FALSE),0)</f>
        <v>0</v>
      </c>
      <c r="G173" s="204">
        <f>IFERROR(VLOOKUP(Opv.kohd.[[#This Row],[Y-tunnus]],#REF!,COLUMN(#REF!),FALSE),0)</f>
        <v>0</v>
      </c>
      <c r="H173" s="204">
        <f>IFERROR(VLOOKUP(Opv.kohd.[[#This Row],[Y-tunnus]],#REF!,COLUMN(#REF!),FALSE),0)</f>
        <v>0</v>
      </c>
      <c r="I173" s="204">
        <f>IFERROR(VLOOKUP(Opv.kohd.[[#This Row],[Y-tunnus]],#REF!,COLUMN(#REF!),FALSE),0)</f>
        <v>0</v>
      </c>
      <c r="J173" s="204">
        <f>IFERROR(VLOOKUP(Opv.kohd.[[#This Row],[Y-tunnus]],#REF!,COLUMN(#REF!),FALSE),0)</f>
        <v>0</v>
      </c>
      <c r="K173"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73" s="204">
        <f>Opv.kohd.[[#This Row],[Järjestämisluvan mukaiset 1]]+Opv.kohd.[[#This Row],[Yhteensä  1]]</f>
        <v>0</v>
      </c>
      <c r="M173" s="204">
        <f>IFERROR(VLOOKUP(Opv.kohd.[[#This Row],[Y-tunnus]],#REF!,COLUMN(#REF!),FALSE),0)</f>
        <v>0</v>
      </c>
      <c r="N173" s="204">
        <f>IFERROR(VLOOKUP(Opv.kohd.[[#This Row],[Y-tunnus]],#REF!,COLUMN(#REF!),FALSE),0)</f>
        <v>0</v>
      </c>
      <c r="O173" s="204">
        <f>IFERROR(VLOOKUP(Opv.kohd.[[#This Row],[Y-tunnus]],#REF!,COLUMN(#REF!),FALSE)+VLOOKUP(Opv.kohd.[[#This Row],[Y-tunnus]],#REF!,COLUMN(#REF!),FALSE),0)</f>
        <v>0</v>
      </c>
      <c r="P173" s="204">
        <f>Opv.kohd.[[#This Row],[Talousarvion perusteella kohdentamattomat]]+Opv.kohd.[[#This Row],[Talousarvion perusteella työvoimakoulutus 1]]+Opv.kohd.[[#This Row],[Lisätalousarvioiden perusteella]]</f>
        <v>0</v>
      </c>
      <c r="Q173" s="204">
        <f>IFERROR(VLOOKUP(Opv.kohd.[[#This Row],[Y-tunnus]],#REF!,COLUMN(#REF!),FALSE),0)</f>
        <v>0</v>
      </c>
      <c r="R173" s="210">
        <f>IFERROR(VLOOKUP(Opv.kohd.[[#This Row],[Y-tunnus]],#REF!,COLUMN(#REF!),FALSE)-(Opv.kohd.[[#This Row],[Kohdentamaton työvoima-koulutus 2]]+Opv.kohd.[[#This Row],[Maahan-muuttajien koulutus 2]]+Opv.kohd.[[#This Row],[Lisätalousarvioiden perusteella jaetut 2]]),0)</f>
        <v>0</v>
      </c>
      <c r="S173" s="210">
        <f>IFERROR(VLOOKUP(Opv.kohd.[[#This Row],[Y-tunnus]],#REF!,COLUMN(#REF!),FALSE)+VLOOKUP(Opv.kohd.[[#This Row],[Y-tunnus]],#REF!,COLUMN(#REF!),FALSE),0)</f>
        <v>0</v>
      </c>
      <c r="T173" s="210">
        <f>IFERROR(VLOOKUP(Opv.kohd.[[#This Row],[Y-tunnus]],#REF!,COLUMN(#REF!),FALSE)+VLOOKUP(Opv.kohd.[[#This Row],[Y-tunnus]],#REF!,COLUMN(#REF!),FALSE),0)</f>
        <v>0</v>
      </c>
      <c r="U173"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73" s="210">
        <f>Opv.kohd.[[#This Row],[Kohdentamat-tomat 2]]+Opv.kohd.[[#This Row],[Kohdentamaton työvoima-koulutus 2]]+Opv.kohd.[[#This Row],[Maahan-muuttajien koulutus 2]]+Opv.kohd.[[#This Row],[Lisätalousarvioiden perusteella jaetut 2]]</f>
        <v>0</v>
      </c>
      <c r="W173" s="210">
        <f>Opv.kohd.[[#This Row],[Kohdentamat-tomat 2]]-(Opv.kohd.[[#This Row],[Järjestämisluvan mukaiset 1]]+Opv.kohd.[[#This Row],[Kohdentamat-tomat 1]]+Opv.kohd.[[#This Row],[Nuorisotyöt. väh. ja osaamistarp. vast., muu kuin työvoima-koulutus 1]]+Opv.kohd.[[#This Row],[Talousarvion perusteella kohdentamattomat]])</f>
        <v>0</v>
      </c>
      <c r="X173" s="210">
        <f>Opv.kohd.[[#This Row],[Kohdentamaton työvoima-koulutus 2]]-(Opv.kohd.[[#This Row],[Työvoima-koulutus 1]]+Opv.kohd.[[#This Row],[Nuorisotyöt. väh. ja osaamistarp. vast., työvoima-koulutus 1]]+Opv.kohd.[[#This Row],[Talousarvion perusteella työvoimakoulutus 1]])</f>
        <v>0</v>
      </c>
      <c r="Y173" s="210">
        <f>Opv.kohd.[[#This Row],[Maahan-muuttajien koulutus 2]]-Opv.kohd.[[#This Row],[Maahan-muuttajien koulutus 1]]</f>
        <v>0</v>
      </c>
      <c r="Z173" s="210">
        <f>Opv.kohd.[[#This Row],[Lisätalousarvioiden perusteella jaetut 2]]-Opv.kohd.[[#This Row],[Lisätalousarvioiden perusteella]]</f>
        <v>0</v>
      </c>
      <c r="AA173" s="210">
        <f>Opv.kohd.[[#This Row],[Toteutuneet opiskelijavuodet yhteensä 2]]-Opv.kohd.[[#This Row],[Vuoden 2018 tavoitteelliset opiskelijavuodet yhteensä 1]]</f>
        <v>0</v>
      </c>
      <c r="AB173" s="207">
        <f>IFERROR(VLOOKUP(Opv.kohd.[[#This Row],[Y-tunnus]],#REF!,3,FALSE),0)</f>
        <v>0</v>
      </c>
      <c r="AC173" s="207">
        <f>IFERROR(VLOOKUP(Opv.kohd.[[#This Row],[Y-tunnus]],#REF!,4,FALSE),0)</f>
        <v>0</v>
      </c>
      <c r="AD173" s="207">
        <f>IFERROR(VLOOKUP(Opv.kohd.[[#This Row],[Y-tunnus]],#REF!,5,FALSE),0)</f>
        <v>0</v>
      </c>
      <c r="AE173" s="207">
        <f>IFERROR(VLOOKUP(Opv.kohd.[[#This Row],[Y-tunnus]],#REF!,6,FALSE),0)</f>
        <v>0</v>
      </c>
      <c r="AF173" s="207">
        <f>IFERROR(VLOOKUP(Opv.kohd.[[#This Row],[Y-tunnus]],#REF!,7,FALSE),0)</f>
        <v>0</v>
      </c>
      <c r="AG173" s="207">
        <f>IFERROR(VLOOKUP(Opv.kohd.[[#This Row],[Y-tunnus]],#REF!,8,FALSE),0)</f>
        <v>0</v>
      </c>
      <c r="AH173" s="207">
        <f>IFERROR(VLOOKUP(Opv.kohd.[[#This Row],[Y-tunnus]],#REF!,9,FALSE),0)</f>
        <v>0</v>
      </c>
      <c r="AI173" s="207">
        <f>IFERROR(VLOOKUP(Opv.kohd.[[#This Row],[Y-tunnus]],#REF!,10,FALSE),0)</f>
        <v>0</v>
      </c>
      <c r="AJ173" s="204">
        <f>Opv.kohd.[[#This Row],[Järjestämisluvan mukaiset 4]]-Opv.kohd.[[#This Row],[Järjestämisluvan mukaiset 1]]</f>
        <v>0</v>
      </c>
      <c r="AK173" s="204">
        <f>Opv.kohd.[[#This Row],[Kohdentamat-tomat 4]]-Opv.kohd.[[#This Row],[Kohdentamat-tomat 1]]</f>
        <v>0</v>
      </c>
      <c r="AL173" s="204">
        <f>Opv.kohd.[[#This Row],[Työvoima-koulutus 4]]-Opv.kohd.[[#This Row],[Työvoima-koulutus 1]]</f>
        <v>0</v>
      </c>
      <c r="AM173" s="204">
        <f>Opv.kohd.[[#This Row],[Maahan-muuttajien koulutus 4]]-Opv.kohd.[[#This Row],[Maahan-muuttajien koulutus 1]]</f>
        <v>0</v>
      </c>
      <c r="AN173" s="204">
        <f>Opv.kohd.[[#This Row],[Nuorisotyöt. väh. ja osaamistarp. vast., muu kuin työvoima-koulutus 4]]-Opv.kohd.[[#This Row],[Nuorisotyöt. väh. ja osaamistarp. vast., muu kuin työvoima-koulutus 1]]</f>
        <v>0</v>
      </c>
      <c r="AO173" s="204">
        <f>Opv.kohd.[[#This Row],[Nuorisotyöt. väh. ja osaamistarp. vast., työvoima-koulutus 4]]-Opv.kohd.[[#This Row],[Nuorisotyöt. väh. ja osaamistarp. vast., työvoima-koulutus 1]]</f>
        <v>0</v>
      </c>
      <c r="AP173" s="204">
        <f>Opv.kohd.[[#This Row],[Yhteensä 4]]-Opv.kohd.[[#This Row],[Yhteensä  1]]</f>
        <v>0</v>
      </c>
      <c r="AQ173" s="204">
        <f>Opv.kohd.[[#This Row],[Ensikertaisella suoritepäätöksellä jaetut tavoitteelliset opiskelijavuodet yhteensä 4]]-Opv.kohd.[[#This Row],[Ensikertaisella suoritepäätöksellä jaetut tavoitteelliset opiskelijavuodet yhteensä 1]]</f>
        <v>0</v>
      </c>
      <c r="AR173" s="208">
        <f>IFERROR(Opv.kohd.[[#This Row],[Järjestämisluvan mukaiset 5]]/Opv.kohd.[[#This Row],[Järjestämisluvan mukaiset 4]],0)</f>
        <v>0</v>
      </c>
      <c r="AS173" s="208">
        <f>IFERROR(Opv.kohd.[[#This Row],[Kohdentamat-tomat 5]]/Opv.kohd.[[#This Row],[Kohdentamat-tomat 4]],0)</f>
        <v>0</v>
      </c>
      <c r="AT173" s="208">
        <f>IFERROR(Opv.kohd.[[#This Row],[Työvoima-koulutus 5]]/Opv.kohd.[[#This Row],[Työvoima-koulutus 4]],0)</f>
        <v>0</v>
      </c>
      <c r="AU173" s="208">
        <f>IFERROR(Opv.kohd.[[#This Row],[Maahan-muuttajien koulutus 5]]/Opv.kohd.[[#This Row],[Maahan-muuttajien koulutus 4]],0)</f>
        <v>0</v>
      </c>
      <c r="AV173" s="208">
        <f>IFERROR(Opv.kohd.[[#This Row],[Nuorisotyöt. väh. ja osaamistarp. vast., muu kuin työvoima-koulutus 5]]/Opv.kohd.[[#This Row],[Nuorisotyöt. väh. ja osaamistarp. vast., muu kuin työvoima-koulutus 4]],0)</f>
        <v>0</v>
      </c>
      <c r="AW173" s="208">
        <f>IFERROR(Opv.kohd.[[#This Row],[Nuorisotyöt. väh. ja osaamistarp. vast., työvoima-koulutus 5]]/Opv.kohd.[[#This Row],[Nuorisotyöt. väh. ja osaamistarp. vast., työvoima-koulutus 4]],0)</f>
        <v>0</v>
      </c>
      <c r="AX173" s="208">
        <f>IFERROR(Opv.kohd.[[#This Row],[Yhteensä 5]]/Opv.kohd.[[#This Row],[Yhteensä 4]],0)</f>
        <v>0</v>
      </c>
      <c r="AY173" s="208">
        <f>IFERROR(Opv.kohd.[[#This Row],[Ensikertaisella suoritepäätöksellä jaetut tavoitteelliset opiskelijavuodet yhteensä 5]]/Opv.kohd.[[#This Row],[Ensikertaisella suoritepäätöksellä jaetut tavoitteelliset opiskelijavuodet yhteensä 4]],0)</f>
        <v>0</v>
      </c>
      <c r="AZ173" s="207">
        <f>Opv.kohd.[[#This Row],[Yhteensä 7a]]-Opv.kohd.[[#This Row],[Työvoima-koulutus 7a]]</f>
        <v>0</v>
      </c>
      <c r="BA173" s="207">
        <f>IFERROR(VLOOKUP(Opv.kohd.[[#This Row],[Y-tunnus]],#REF!,COLUMN(#REF!),FALSE),0)</f>
        <v>0</v>
      </c>
      <c r="BB173" s="207">
        <f>IFERROR(VLOOKUP(Opv.kohd.[[#This Row],[Y-tunnus]],#REF!,COLUMN(#REF!),FALSE),0)</f>
        <v>0</v>
      </c>
      <c r="BC173" s="207">
        <f>Opv.kohd.[[#This Row],[Muu kuin työvoima-koulutus 7c]]-Opv.kohd.[[#This Row],[Muu kuin työvoima-koulutus 7a]]</f>
        <v>0</v>
      </c>
      <c r="BD173" s="207">
        <f>Opv.kohd.[[#This Row],[Työvoima-koulutus 7c]]-Opv.kohd.[[#This Row],[Työvoima-koulutus 7a]]</f>
        <v>0</v>
      </c>
      <c r="BE173" s="207">
        <f>Opv.kohd.[[#This Row],[Yhteensä 7c]]-Opv.kohd.[[#This Row],[Yhteensä 7a]]</f>
        <v>0</v>
      </c>
      <c r="BF173" s="207">
        <f>Opv.kohd.[[#This Row],[Yhteensä 7c]]-Opv.kohd.[[#This Row],[Työvoima-koulutus 7c]]</f>
        <v>0</v>
      </c>
      <c r="BG173" s="207">
        <f>IFERROR(VLOOKUP(Opv.kohd.[[#This Row],[Y-tunnus]],#REF!,COLUMN(#REF!),FALSE),0)</f>
        <v>0</v>
      </c>
      <c r="BH173" s="207">
        <f>IFERROR(VLOOKUP(Opv.kohd.[[#This Row],[Y-tunnus]],#REF!,COLUMN(#REF!),FALSE),0)</f>
        <v>0</v>
      </c>
      <c r="BI173" s="207">
        <f>IFERROR(VLOOKUP(Opv.kohd.[[#This Row],[Y-tunnus]],#REF!,COLUMN(#REF!),FALSE),0)</f>
        <v>0</v>
      </c>
      <c r="BJ173" s="207">
        <f>IFERROR(VLOOKUP(Opv.kohd.[[#This Row],[Y-tunnus]],#REF!,COLUMN(#REF!),FALSE),0)</f>
        <v>0</v>
      </c>
      <c r="BK173" s="207">
        <f>Opv.kohd.[[#This Row],[Muu kuin työvoima-koulutus 7d]]+Opv.kohd.[[#This Row],[Työvoima-koulutus 7d]]</f>
        <v>0</v>
      </c>
      <c r="BL173" s="207">
        <f>Opv.kohd.[[#This Row],[Muu kuin työvoima-koulutus 7c]]-Opv.kohd.[[#This Row],[Muu kuin työvoima-koulutus 7d]]</f>
        <v>0</v>
      </c>
      <c r="BM173" s="207">
        <f>Opv.kohd.[[#This Row],[Työvoima-koulutus 7c]]-Opv.kohd.[[#This Row],[Työvoima-koulutus 7d]]</f>
        <v>0</v>
      </c>
      <c r="BN173" s="207">
        <f>Opv.kohd.[[#This Row],[Yhteensä 7c]]-Opv.kohd.[[#This Row],[Yhteensä 7d]]</f>
        <v>0</v>
      </c>
      <c r="BO173" s="207">
        <f>Opv.kohd.[[#This Row],[Muu kuin työvoima-koulutus 7e]]-(Opv.kohd.[[#This Row],[Järjestämisluvan mukaiset 4]]+Opv.kohd.[[#This Row],[Kohdentamat-tomat 4]]+Opv.kohd.[[#This Row],[Maahan-muuttajien koulutus 4]]+Opv.kohd.[[#This Row],[Nuorisotyöt. väh. ja osaamistarp. vast., muu kuin työvoima-koulutus 4]])</f>
        <v>0</v>
      </c>
      <c r="BP173" s="207">
        <f>Opv.kohd.[[#This Row],[Työvoima-koulutus 7e]]-(Opv.kohd.[[#This Row],[Työvoima-koulutus 4]]+Opv.kohd.[[#This Row],[Nuorisotyöt. väh. ja osaamistarp. vast., työvoima-koulutus 4]])</f>
        <v>0</v>
      </c>
      <c r="BQ173" s="207">
        <f>Opv.kohd.[[#This Row],[Yhteensä 7e]]-Opv.kohd.[[#This Row],[Ensikertaisella suoritepäätöksellä jaetut tavoitteelliset opiskelijavuodet yhteensä 4]]</f>
        <v>0</v>
      </c>
      <c r="BR173" s="263">
        <v>0</v>
      </c>
      <c r="BS173" s="263">
        <v>0</v>
      </c>
      <c r="BT173" s="263">
        <v>0</v>
      </c>
      <c r="BU173" s="263">
        <v>0</v>
      </c>
      <c r="BV173" s="263">
        <v>0</v>
      </c>
      <c r="BW173" s="263">
        <v>0</v>
      </c>
      <c r="BX173" s="263">
        <v>0</v>
      </c>
      <c r="BY173" s="263">
        <v>0</v>
      </c>
      <c r="BZ173" s="207">
        <f t="shared" si="32"/>
        <v>0</v>
      </c>
      <c r="CA173" s="207">
        <f t="shared" si="33"/>
        <v>0</v>
      </c>
      <c r="CB173" s="207">
        <f t="shared" si="34"/>
        <v>0</v>
      </c>
      <c r="CC173" s="207">
        <f t="shared" si="35"/>
        <v>0</v>
      </c>
      <c r="CD173" s="207">
        <f t="shared" si="36"/>
        <v>0</v>
      </c>
      <c r="CE173" s="207">
        <f t="shared" si="37"/>
        <v>0</v>
      </c>
      <c r="CF173" s="207">
        <f t="shared" si="38"/>
        <v>0</v>
      </c>
      <c r="CG173" s="207">
        <f t="shared" si="39"/>
        <v>0</v>
      </c>
      <c r="CH173" s="207">
        <f>Opv.kohd.[[#This Row],[Tavoitteelliset opiskelijavuodet yhteensä 9]]-Opv.kohd.[[#This Row],[Työvoima-koulutus 9]]-Opv.kohd.[[#This Row],[Nuorisotyöt. väh. ja osaamistarp. vast., työvoima-koulutus 9]]-Opv.kohd.[[#This Row],[Muu kuin työvoima-koulutus 7e]]</f>
        <v>0</v>
      </c>
      <c r="CI173" s="207">
        <f>(Opv.kohd.[[#This Row],[Työvoima-koulutus 9]]+Opv.kohd.[[#This Row],[Nuorisotyöt. väh. ja osaamistarp. vast., työvoima-koulutus 9]])-Opv.kohd.[[#This Row],[Työvoima-koulutus 7e]]</f>
        <v>0</v>
      </c>
      <c r="CJ173" s="207">
        <f>Opv.kohd.[[#This Row],[Tavoitteelliset opiskelijavuodet yhteensä 9]]-Opv.kohd.[[#This Row],[Yhteensä 7e]]</f>
        <v>0</v>
      </c>
      <c r="CK173" s="207">
        <f>Opv.kohd.[[#This Row],[Järjestämisluvan mukaiset 4]]+Opv.kohd.[[#This Row],[Järjestämisluvan mukaiset 13]]</f>
        <v>0</v>
      </c>
      <c r="CL173" s="207">
        <f>Opv.kohd.[[#This Row],[Kohdentamat-tomat 4]]+Opv.kohd.[[#This Row],[Kohdentamat-tomat 13]]</f>
        <v>0</v>
      </c>
      <c r="CM173" s="207">
        <f>Opv.kohd.[[#This Row],[Työvoima-koulutus 4]]+Opv.kohd.[[#This Row],[Työvoima-koulutus 13]]</f>
        <v>0</v>
      </c>
      <c r="CN173" s="207">
        <f>Opv.kohd.[[#This Row],[Maahan-muuttajien koulutus 4]]+Opv.kohd.[[#This Row],[Maahan-muuttajien koulutus 13]]</f>
        <v>0</v>
      </c>
      <c r="CO173" s="207">
        <f>Opv.kohd.[[#This Row],[Nuorisotyöt. väh. ja osaamistarp. vast., muu kuin työvoima-koulutus 4]]+Opv.kohd.[[#This Row],[Nuorisotyöt. väh. ja osaamistarp. vast., muu kuin työvoima-koulutus 13]]</f>
        <v>0</v>
      </c>
      <c r="CP173" s="207">
        <f>Opv.kohd.[[#This Row],[Nuorisotyöt. väh. ja osaamistarp. vast., työvoima-koulutus 4]]+Opv.kohd.[[#This Row],[Nuorisotyöt. väh. ja osaamistarp. vast., työvoima-koulutus 13]]</f>
        <v>0</v>
      </c>
      <c r="CQ173" s="207">
        <f>Opv.kohd.[[#This Row],[Yhteensä 4]]+Opv.kohd.[[#This Row],[Yhteensä 13]]</f>
        <v>0</v>
      </c>
      <c r="CR173" s="207">
        <f>Opv.kohd.[[#This Row],[Ensikertaisella suoritepäätöksellä jaetut tavoitteelliset opiskelijavuodet yhteensä 4]]+Opv.kohd.[[#This Row],[Tavoitteelliset opiskelijavuodet yhteensä 13]]</f>
        <v>0</v>
      </c>
      <c r="CS173" s="120">
        <v>0</v>
      </c>
      <c r="CT173" s="120">
        <v>0</v>
      </c>
      <c r="CU173" s="120">
        <v>0</v>
      </c>
      <c r="CV173" s="120">
        <v>0</v>
      </c>
      <c r="CW173" s="120">
        <v>0</v>
      </c>
      <c r="CX173" s="120">
        <v>0</v>
      </c>
      <c r="CY173" s="120">
        <v>0</v>
      </c>
      <c r="CZ173" s="120">
        <v>0</v>
      </c>
      <c r="DA173" s="209">
        <f>IFERROR(Opv.kohd.[[#This Row],[Järjestämisluvan mukaiset 13]]/Opv.kohd.[[#This Row],[Järjestämisluvan mukaiset 12]],0)</f>
        <v>0</v>
      </c>
      <c r="DB173" s="209">
        <f>IFERROR(Opv.kohd.[[#This Row],[Kohdentamat-tomat 13]]/Opv.kohd.[[#This Row],[Kohdentamat-tomat 12]],0)</f>
        <v>0</v>
      </c>
      <c r="DC173" s="209">
        <f>IFERROR(Opv.kohd.[[#This Row],[Työvoima-koulutus 13]]/Opv.kohd.[[#This Row],[Työvoima-koulutus 12]],0)</f>
        <v>0</v>
      </c>
      <c r="DD173" s="209">
        <f>IFERROR(Opv.kohd.[[#This Row],[Maahan-muuttajien koulutus 13]]/Opv.kohd.[[#This Row],[Maahan-muuttajien koulutus 12]],0)</f>
        <v>0</v>
      </c>
      <c r="DE173" s="209">
        <f>IFERROR(Opv.kohd.[[#This Row],[Nuorisotyöt. väh. ja osaamistarp. vast., muu kuin työvoima-koulutus 13]]/Opv.kohd.[[#This Row],[Nuorisotyöt. väh. ja osaamistarp. vast., muu kuin työvoima-koulutus 12]],0)</f>
        <v>0</v>
      </c>
      <c r="DF173" s="209">
        <f>IFERROR(Opv.kohd.[[#This Row],[Nuorisotyöt. väh. ja osaamistarp. vast., työvoima-koulutus 13]]/Opv.kohd.[[#This Row],[Nuorisotyöt. väh. ja osaamistarp. vast., työvoima-koulutus 12]],0)</f>
        <v>0</v>
      </c>
      <c r="DG173" s="209">
        <f>IFERROR(Opv.kohd.[[#This Row],[Yhteensä 13]]/Opv.kohd.[[#This Row],[Yhteensä 12]],0)</f>
        <v>0</v>
      </c>
      <c r="DH173" s="209">
        <f>IFERROR(Opv.kohd.[[#This Row],[Tavoitteelliset opiskelijavuodet yhteensä 13]]/Opv.kohd.[[#This Row],[Tavoitteelliset opiskelijavuodet yhteensä 12]],0)</f>
        <v>0</v>
      </c>
      <c r="DI173" s="207">
        <f>Opv.kohd.[[#This Row],[Järjestämisluvan mukaiset 12]]-Opv.kohd.[[#This Row],[Järjestämisluvan mukaiset 9]]</f>
        <v>0</v>
      </c>
      <c r="DJ173" s="207">
        <f>Opv.kohd.[[#This Row],[Kohdentamat-tomat 12]]-Opv.kohd.[[#This Row],[Kohdentamat-tomat 9]]</f>
        <v>0</v>
      </c>
      <c r="DK173" s="207">
        <f>Opv.kohd.[[#This Row],[Työvoima-koulutus 12]]-Opv.kohd.[[#This Row],[Työvoima-koulutus 9]]</f>
        <v>0</v>
      </c>
      <c r="DL173" s="207">
        <f>Opv.kohd.[[#This Row],[Maahan-muuttajien koulutus 12]]-Opv.kohd.[[#This Row],[Maahan-muuttajien koulutus 9]]</f>
        <v>0</v>
      </c>
      <c r="DM173" s="207">
        <f>Opv.kohd.[[#This Row],[Nuorisotyöt. väh. ja osaamistarp. vast., muu kuin työvoima-koulutus 12]]-Opv.kohd.[[#This Row],[Nuorisotyöt. väh. ja osaamistarp. vast., muu kuin työvoima-koulutus 9]]</f>
        <v>0</v>
      </c>
      <c r="DN173" s="207">
        <f>Opv.kohd.[[#This Row],[Nuorisotyöt. väh. ja osaamistarp. vast., työvoima-koulutus 12]]-Opv.kohd.[[#This Row],[Nuorisotyöt. väh. ja osaamistarp. vast., työvoima-koulutus 9]]</f>
        <v>0</v>
      </c>
      <c r="DO173" s="207">
        <f>Opv.kohd.[[#This Row],[Yhteensä 12]]-Opv.kohd.[[#This Row],[Yhteensä 9]]</f>
        <v>0</v>
      </c>
      <c r="DP173" s="207">
        <f>Opv.kohd.[[#This Row],[Tavoitteelliset opiskelijavuodet yhteensä 12]]-Opv.kohd.[[#This Row],[Tavoitteelliset opiskelijavuodet yhteensä 9]]</f>
        <v>0</v>
      </c>
      <c r="DQ173" s="209">
        <f>IFERROR(Opv.kohd.[[#This Row],[Järjestämisluvan mukaiset 15]]/Opv.kohd.[[#This Row],[Järjestämisluvan mukaiset 9]],0)</f>
        <v>0</v>
      </c>
      <c r="DR173" s="209">
        <f t="shared" si="40"/>
        <v>0</v>
      </c>
      <c r="DS173" s="209">
        <f t="shared" si="41"/>
        <v>0</v>
      </c>
      <c r="DT173" s="209">
        <f t="shared" si="42"/>
        <v>0</v>
      </c>
      <c r="DU173" s="209">
        <f t="shared" si="43"/>
        <v>0</v>
      </c>
      <c r="DV173" s="209">
        <f t="shared" si="44"/>
        <v>0</v>
      </c>
      <c r="DW173" s="209">
        <f t="shared" si="45"/>
        <v>0</v>
      </c>
      <c r="DX173" s="209">
        <f t="shared" si="46"/>
        <v>0</v>
      </c>
    </row>
    <row r="174" spans="1:128" x14ac:dyDescent="0.25">
      <c r="A174" s="204" t="e">
        <f>IF(INDEX(#REF!,ROW(174:174)-1,1)=0,"",INDEX(#REF!,ROW(174:174)-1,1))</f>
        <v>#REF!</v>
      </c>
      <c r="B174" s="205" t="str">
        <f>IFERROR(VLOOKUP(Opv.kohd.[[#This Row],[Y-tunnus]],'0 Järjestäjätiedot'!$A:$H,2,FALSE),"")</f>
        <v/>
      </c>
      <c r="C174" s="204" t="str">
        <f>IFERROR(VLOOKUP(Opv.kohd.[[#This Row],[Y-tunnus]],'0 Järjestäjätiedot'!$A:$H,COLUMN('0 Järjestäjätiedot'!D:D),FALSE),"")</f>
        <v/>
      </c>
      <c r="D174" s="204" t="str">
        <f>IFERROR(VLOOKUP(Opv.kohd.[[#This Row],[Y-tunnus]],'0 Järjestäjätiedot'!$A:$H,COLUMN('0 Järjestäjätiedot'!H:H),FALSE),"")</f>
        <v/>
      </c>
      <c r="E174" s="204">
        <f>IFERROR(VLOOKUP(Opv.kohd.[[#This Row],[Y-tunnus]],#REF!,COLUMN(#REF!),FALSE),0)</f>
        <v>0</v>
      </c>
      <c r="F174" s="204">
        <f>IFERROR(VLOOKUP(Opv.kohd.[[#This Row],[Y-tunnus]],#REF!,COLUMN(#REF!),FALSE),0)</f>
        <v>0</v>
      </c>
      <c r="G174" s="204">
        <f>IFERROR(VLOOKUP(Opv.kohd.[[#This Row],[Y-tunnus]],#REF!,COLUMN(#REF!),FALSE),0)</f>
        <v>0</v>
      </c>
      <c r="H174" s="204">
        <f>IFERROR(VLOOKUP(Opv.kohd.[[#This Row],[Y-tunnus]],#REF!,COLUMN(#REF!),FALSE),0)</f>
        <v>0</v>
      </c>
      <c r="I174" s="204">
        <f>IFERROR(VLOOKUP(Opv.kohd.[[#This Row],[Y-tunnus]],#REF!,COLUMN(#REF!),FALSE),0)</f>
        <v>0</v>
      </c>
      <c r="J174" s="204">
        <f>IFERROR(VLOOKUP(Opv.kohd.[[#This Row],[Y-tunnus]],#REF!,COLUMN(#REF!),FALSE),0)</f>
        <v>0</v>
      </c>
      <c r="K174"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74" s="204">
        <f>Opv.kohd.[[#This Row],[Järjestämisluvan mukaiset 1]]+Opv.kohd.[[#This Row],[Yhteensä  1]]</f>
        <v>0</v>
      </c>
      <c r="M174" s="204">
        <f>IFERROR(VLOOKUP(Opv.kohd.[[#This Row],[Y-tunnus]],#REF!,COLUMN(#REF!),FALSE),0)</f>
        <v>0</v>
      </c>
      <c r="N174" s="204">
        <f>IFERROR(VLOOKUP(Opv.kohd.[[#This Row],[Y-tunnus]],#REF!,COLUMN(#REF!),FALSE),0)</f>
        <v>0</v>
      </c>
      <c r="O174" s="204">
        <f>IFERROR(VLOOKUP(Opv.kohd.[[#This Row],[Y-tunnus]],#REF!,COLUMN(#REF!),FALSE)+VLOOKUP(Opv.kohd.[[#This Row],[Y-tunnus]],#REF!,COLUMN(#REF!),FALSE),0)</f>
        <v>0</v>
      </c>
      <c r="P174" s="204">
        <f>Opv.kohd.[[#This Row],[Talousarvion perusteella kohdentamattomat]]+Opv.kohd.[[#This Row],[Talousarvion perusteella työvoimakoulutus 1]]+Opv.kohd.[[#This Row],[Lisätalousarvioiden perusteella]]</f>
        <v>0</v>
      </c>
      <c r="Q174" s="204">
        <f>IFERROR(VLOOKUP(Opv.kohd.[[#This Row],[Y-tunnus]],#REF!,COLUMN(#REF!),FALSE),0)</f>
        <v>0</v>
      </c>
      <c r="R174" s="210">
        <f>IFERROR(VLOOKUP(Opv.kohd.[[#This Row],[Y-tunnus]],#REF!,COLUMN(#REF!),FALSE)-(Opv.kohd.[[#This Row],[Kohdentamaton työvoima-koulutus 2]]+Opv.kohd.[[#This Row],[Maahan-muuttajien koulutus 2]]+Opv.kohd.[[#This Row],[Lisätalousarvioiden perusteella jaetut 2]]),0)</f>
        <v>0</v>
      </c>
      <c r="S174" s="210">
        <f>IFERROR(VLOOKUP(Opv.kohd.[[#This Row],[Y-tunnus]],#REF!,COLUMN(#REF!),FALSE)+VLOOKUP(Opv.kohd.[[#This Row],[Y-tunnus]],#REF!,COLUMN(#REF!),FALSE),0)</f>
        <v>0</v>
      </c>
      <c r="T174" s="210">
        <f>IFERROR(VLOOKUP(Opv.kohd.[[#This Row],[Y-tunnus]],#REF!,COLUMN(#REF!),FALSE)+VLOOKUP(Opv.kohd.[[#This Row],[Y-tunnus]],#REF!,COLUMN(#REF!),FALSE),0)</f>
        <v>0</v>
      </c>
      <c r="U174"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74" s="210">
        <f>Opv.kohd.[[#This Row],[Kohdentamat-tomat 2]]+Opv.kohd.[[#This Row],[Kohdentamaton työvoima-koulutus 2]]+Opv.kohd.[[#This Row],[Maahan-muuttajien koulutus 2]]+Opv.kohd.[[#This Row],[Lisätalousarvioiden perusteella jaetut 2]]</f>
        <v>0</v>
      </c>
      <c r="W174" s="210">
        <f>Opv.kohd.[[#This Row],[Kohdentamat-tomat 2]]-(Opv.kohd.[[#This Row],[Järjestämisluvan mukaiset 1]]+Opv.kohd.[[#This Row],[Kohdentamat-tomat 1]]+Opv.kohd.[[#This Row],[Nuorisotyöt. väh. ja osaamistarp. vast., muu kuin työvoima-koulutus 1]]+Opv.kohd.[[#This Row],[Talousarvion perusteella kohdentamattomat]])</f>
        <v>0</v>
      </c>
      <c r="X174" s="210">
        <f>Opv.kohd.[[#This Row],[Kohdentamaton työvoima-koulutus 2]]-(Opv.kohd.[[#This Row],[Työvoima-koulutus 1]]+Opv.kohd.[[#This Row],[Nuorisotyöt. väh. ja osaamistarp. vast., työvoima-koulutus 1]]+Opv.kohd.[[#This Row],[Talousarvion perusteella työvoimakoulutus 1]])</f>
        <v>0</v>
      </c>
      <c r="Y174" s="210">
        <f>Opv.kohd.[[#This Row],[Maahan-muuttajien koulutus 2]]-Opv.kohd.[[#This Row],[Maahan-muuttajien koulutus 1]]</f>
        <v>0</v>
      </c>
      <c r="Z174" s="210">
        <f>Opv.kohd.[[#This Row],[Lisätalousarvioiden perusteella jaetut 2]]-Opv.kohd.[[#This Row],[Lisätalousarvioiden perusteella]]</f>
        <v>0</v>
      </c>
      <c r="AA174" s="210">
        <f>Opv.kohd.[[#This Row],[Toteutuneet opiskelijavuodet yhteensä 2]]-Opv.kohd.[[#This Row],[Vuoden 2018 tavoitteelliset opiskelijavuodet yhteensä 1]]</f>
        <v>0</v>
      </c>
      <c r="AB174" s="207">
        <f>IFERROR(VLOOKUP(Opv.kohd.[[#This Row],[Y-tunnus]],#REF!,3,FALSE),0)</f>
        <v>0</v>
      </c>
      <c r="AC174" s="207">
        <f>IFERROR(VLOOKUP(Opv.kohd.[[#This Row],[Y-tunnus]],#REF!,4,FALSE),0)</f>
        <v>0</v>
      </c>
      <c r="AD174" s="207">
        <f>IFERROR(VLOOKUP(Opv.kohd.[[#This Row],[Y-tunnus]],#REF!,5,FALSE),0)</f>
        <v>0</v>
      </c>
      <c r="AE174" s="207">
        <f>IFERROR(VLOOKUP(Opv.kohd.[[#This Row],[Y-tunnus]],#REF!,6,FALSE),0)</f>
        <v>0</v>
      </c>
      <c r="AF174" s="207">
        <f>IFERROR(VLOOKUP(Opv.kohd.[[#This Row],[Y-tunnus]],#REF!,7,FALSE),0)</f>
        <v>0</v>
      </c>
      <c r="AG174" s="207">
        <f>IFERROR(VLOOKUP(Opv.kohd.[[#This Row],[Y-tunnus]],#REF!,8,FALSE),0)</f>
        <v>0</v>
      </c>
      <c r="AH174" s="207">
        <f>IFERROR(VLOOKUP(Opv.kohd.[[#This Row],[Y-tunnus]],#REF!,9,FALSE),0)</f>
        <v>0</v>
      </c>
      <c r="AI174" s="207">
        <f>IFERROR(VLOOKUP(Opv.kohd.[[#This Row],[Y-tunnus]],#REF!,10,FALSE),0)</f>
        <v>0</v>
      </c>
      <c r="AJ174" s="204">
        <f>Opv.kohd.[[#This Row],[Järjestämisluvan mukaiset 4]]-Opv.kohd.[[#This Row],[Järjestämisluvan mukaiset 1]]</f>
        <v>0</v>
      </c>
      <c r="AK174" s="204">
        <f>Opv.kohd.[[#This Row],[Kohdentamat-tomat 4]]-Opv.kohd.[[#This Row],[Kohdentamat-tomat 1]]</f>
        <v>0</v>
      </c>
      <c r="AL174" s="204">
        <f>Opv.kohd.[[#This Row],[Työvoima-koulutus 4]]-Opv.kohd.[[#This Row],[Työvoima-koulutus 1]]</f>
        <v>0</v>
      </c>
      <c r="AM174" s="204">
        <f>Opv.kohd.[[#This Row],[Maahan-muuttajien koulutus 4]]-Opv.kohd.[[#This Row],[Maahan-muuttajien koulutus 1]]</f>
        <v>0</v>
      </c>
      <c r="AN174" s="204">
        <f>Opv.kohd.[[#This Row],[Nuorisotyöt. väh. ja osaamistarp. vast., muu kuin työvoima-koulutus 4]]-Opv.kohd.[[#This Row],[Nuorisotyöt. väh. ja osaamistarp. vast., muu kuin työvoima-koulutus 1]]</f>
        <v>0</v>
      </c>
      <c r="AO174" s="204">
        <f>Opv.kohd.[[#This Row],[Nuorisotyöt. väh. ja osaamistarp. vast., työvoima-koulutus 4]]-Opv.kohd.[[#This Row],[Nuorisotyöt. väh. ja osaamistarp. vast., työvoima-koulutus 1]]</f>
        <v>0</v>
      </c>
      <c r="AP174" s="204">
        <f>Opv.kohd.[[#This Row],[Yhteensä 4]]-Opv.kohd.[[#This Row],[Yhteensä  1]]</f>
        <v>0</v>
      </c>
      <c r="AQ174" s="204">
        <f>Opv.kohd.[[#This Row],[Ensikertaisella suoritepäätöksellä jaetut tavoitteelliset opiskelijavuodet yhteensä 4]]-Opv.kohd.[[#This Row],[Ensikertaisella suoritepäätöksellä jaetut tavoitteelliset opiskelijavuodet yhteensä 1]]</f>
        <v>0</v>
      </c>
      <c r="AR174" s="208">
        <f>IFERROR(Opv.kohd.[[#This Row],[Järjestämisluvan mukaiset 5]]/Opv.kohd.[[#This Row],[Järjestämisluvan mukaiset 4]],0)</f>
        <v>0</v>
      </c>
      <c r="AS174" s="208">
        <f>IFERROR(Opv.kohd.[[#This Row],[Kohdentamat-tomat 5]]/Opv.kohd.[[#This Row],[Kohdentamat-tomat 4]],0)</f>
        <v>0</v>
      </c>
      <c r="AT174" s="208">
        <f>IFERROR(Opv.kohd.[[#This Row],[Työvoima-koulutus 5]]/Opv.kohd.[[#This Row],[Työvoima-koulutus 4]],0)</f>
        <v>0</v>
      </c>
      <c r="AU174" s="208">
        <f>IFERROR(Opv.kohd.[[#This Row],[Maahan-muuttajien koulutus 5]]/Opv.kohd.[[#This Row],[Maahan-muuttajien koulutus 4]],0)</f>
        <v>0</v>
      </c>
      <c r="AV174" s="208">
        <f>IFERROR(Opv.kohd.[[#This Row],[Nuorisotyöt. väh. ja osaamistarp. vast., muu kuin työvoima-koulutus 5]]/Opv.kohd.[[#This Row],[Nuorisotyöt. väh. ja osaamistarp. vast., muu kuin työvoima-koulutus 4]],0)</f>
        <v>0</v>
      </c>
      <c r="AW174" s="208">
        <f>IFERROR(Opv.kohd.[[#This Row],[Nuorisotyöt. väh. ja osaamistarp. vast., työvoima-koulutus 5]]/Opv.kohd.[[#This Row],[Nuorisotyöt. väh. ja osaamistarp. vast., työvoima-koulutus 4]],0)</f>
        <v>0</v>
      </c>
      <c r="AX174" s="208">
        <f>IFERROR(Opv.kohd.[[#This Row],[Yhteensä 5]]/Opv.kohd.[[#This Row],[Yhteensä 4]],0)</f>
        <v>0</v>
      </c>
      <c r="AY174" s="208">
        <f>IFERROR(Opv.kohd.[[#This Row],[Ensikertaisella suoritepäätöksellä jaetut tavoitteelliset opiskelijavuodet yhteensä 5]]/Opv.kohd.[[#This Row],[Ensikertaisella suoritepäätöksellä jaetut tavoitteelliset opiskelijavuodet yhteensä 4]],0)</f>
        <v>0</v>
      </c>
      <c r="AZ174" s="207">
        <f>Opv.kohd.[[#This Row],[Yhteensä 7a]]-Opv.kohd.[[#This Row],[Työvoima-koulutus 7a]]</f>
        <v>0</v>
      </c>
      <c r="BA174" s="207">
        <f>IFERROR(VLOOKUP(Opv.kohd.[[#This Row],[Y-tunnus]],#REF!,COLUMN(#REF!),FALSE),0)</f>
        <v>0</v>
      </c>
      <c r="BB174" s="207">
        <f>IFERROR(VLOOKUP(Opv.kohd.[[#This Row],[Y-tunnus]],#REF!,COLUMN(#REF!),FALSE),0)</f>
        <v>0</v>
      </c>
      <c r="BC174" s="207">
        <f>Opv.kohd.[[#This Row],[Muu kuin työvoima-koulutus 7c]]-Opv.kohd.[[#This Row],[Muu kuin työvoima-koulutus 7a]]</f>
        <v>0</v>
      </c>
      <c r="BD174" s="207">
        <f>Opv.kohd.[[#This Row],[Työvoima-koulutus 7c]]-Opv.kohd.[[#This Row],[Työvoima-koulutus 7a]]</f>
        <v>0</v>
      </c>
      <c r="BE174" s="207">
        <f>Opv.kohd.[[#This Row],[Yhteensä 7c]]-Opv.kohd.[[#This Row],[Yhteensä 7a]]</f>
        <v>0</v>
      </c>
      <c r="BF174" s="207">
        <f>Opv.kohd.[[#This Row],[Yhteensä 7c]]-Opv.kohd.[[#This Row],[Työvoima-koulutus 7c]]</f>
        <v>0</v>
      </c>
      <c r="BG174" s="207">
        <f>IFERROR(VLOOKUP(Opv.kohd.[[#This Row],[Y-tunnus]],#REF!,COLUMN(#REF!),FALSE),0)</f>
        <v>0</v>
      </c>
      <c r="BH174" s="207">
        <f>IFERROR(VLOOKUP(Opv.kohd.[[#This Row],[Y-tunnus]],#REF!,COLUMN(#REF!),FALSE),0)</f>
        <v>0</v>
      </c>
      <c r="BI174" s="207">
        <f>IFERROR(VLOOKUP(Opv.kohd.[[#This Row],[Y-tunnus]],#REF!,COLUMN(#REF!),FALSE),0)</f>
        <v>0</v>
      </c>
      <c r="BJ174" s="207">
        <f>IFERROR(VLOOKUP(Opv.kohd.[[#This Row],[Y-tunnus]],#REF!,COLUMN(#REF!),FALSE),0)</f>
        <v>0</v>
      </c>
      <c r="BK174" s="207">
        <f>Opv.kohd.[[#This Row],[Muu kuin työvoima-koulutus 7d]]+Opv.kohd.[[#This Row],[Työvoima-koulutus 7d]]</f>
        <v>0</v>
      </c>
      <c r="BL174" s="207">
        <f>Opv.kohd.[[#This Row],[Muu kuin työvoima-koulutus 7c]]-Opv.kohd.[[#This Row],[Muu kuin työvoima-koulutus 7d]]</f>
        <v>0</v>
      </c>
      <c r="BM174" s="207">
        <f>Opv.kohd.[[#This Row],[Työvoima-koulutus 7c]]-Opv.kohd.[[#This Row],[Työvoima-koulutus 7d]]</f>
        <v>0</v>
      </c>
      <c r="BN174" s="207">
        <f>Opv.kohd.[[#This Row],[Yhteensä 7c]]-Opv.kohd.[[#This Row],[Yhteensä 7d]]</f>
        <v>0</v>
      </c>
      <c r="BO174" s="207">
        <f>Opv.kohd.[[#This Row],[Muu kuin työvoima-koulutus 7e]]-(Opv.kohd.[[#This Row],[Järjestämisluvan mukaiset 4]]+Opv.kohd.[[#This Row],[Kohdentamat-tomat 4]]+Opv.kohd.[[#This Row],[Maahan-muuttajien koulutus 4]]+Opv.kohd.[[#This Row],[Nuorisotyöt. väh. ja osaamistarp. vast., muu kuin työvoima-koulutus 4]])</f>
        <v>0</v>
      </c>
      <c r="BP174" s="207">
        <f>Opv.kohd.[[#This Row],[Työvoima-koulutus 7e]]-(Opv.kohd.[[#This Row],[Työvoima-koulutus 4]]+Opv.kohd.[[#This Row],[Nuorisotyöt. väh. ja osaamistarp. vast., työvoima-koulutus 4]])</f>
        <v>0</v>
      </c>
      <c r="BQ174" s="207">
        <f>Opv.kohd.[[#This Row],[Yhteensä 7e]]-Opv.kohd.[[#This Row],[Ensikertaisella suoritepäätöksellä jaetut tavoitteelliset opiskelijavuodet yhteensä 4]]</f>
        <v>0</v>
      </c>
      <c r="BR174" s="263">
        <v>0</v>
      </c>
      <c r="BS174" s="263">
        <v>0</v>
      </c>
      <c r="BT174" s="263">
        <v>0</v>
      </c>
      <c r="BU174" s="263">
        <v>0</v>
      </c>
      <c r="BV174" s="263">
        <v>0</v>
      </c>
      <c r="BW174" s="263">
        <v>0</v>
      </c>
      <c r="BX174" s="263">
        <v>0</v>
      </c>
      <c r="BY174" s="263">
        <v>0</v>
      </c>
      <c r="BZ174" s="207">
        <f t="shared" si="32"/>
        <v>0</v>
      </c>
      <c r="CA174" s="207">
        <f t="shared" si="33"/>
        <v>0</v>
      </c>
      <c r="CB174" s="207">
        <f t="shared" si="34"/>
        <v>0</v>
      </c>
      <c r="CC174" s="207">
        <f t="shared" si="35"/>
        <v>0</v>
      </c>
      <c r="CD174" s="207">
        <f t="shared" si="36"/>
        <v>0</v>
      </c>
      <c r="CE174" s="207">
        <f t="shared" si="37"/>
        <v>0</v>
      </c>
      <c r="CF174" s="207">
        <f t="shared" si="38"/>
        <v>0</v>
      </c>
      <c r="CG174" s="207">
        <f t="shared" si="39"/>
        <v>0</v>
      </c>
      <c r="CH174" s="207">
        <f>Opv.kohd.[[#This Row],[Tavoitteelliset opiskelijavuodet yhteensä 9]]-Opv.kohd.[[#This Row],[Työvoima-koulutus 9]]-Opv.kohd.[[#This Row],[Nuorisotyöt. väh. ja osaamistarp. vast., työvoima-koulutus 9]]-Opv.kohd.[[#This Row],[Muu kuin työvoima-koulutus 7e]]</f>
        <v>0</v>
      </c>
      <c r="CI174" s="207">
        <f>(Opv.kohd.[[#This Row],[Työvoima-koulutus 9]]+Opv.kohd.[[#This Row],[Nuorisotyöt. väh. ja osaamistarp. vast., työvoima-koulutus 9]])-Opv.kohd.[[#This Row],[Työvoima-koulutus 7e]]</f>
        <v>0</v>
      </c>
      <c r="CJ174" s="207">
        <f>Opv.kohd.[[#This Row],[Tavoitteelliset opiskelijavuodet yhteensä 9]]-Opv.kohd.[[#This Row],[Yhteensä 7e]]</f>
        <v>0</v>
      </c>
      <c r="CK174" s="207">
        <f>Opv.kohd.[[#This Row],[Järjestämisluvan mukaiset 4]]+Opv.kohd.[[#This Row],[Järjestämisluvan mukaiset 13]]</f>
        <v>0</v>
      </c>
      <c r="CL174" s="207">
        <f>Opv.kohd.[[#This Row],[Kohdentamat-tomat 4]]+Opv.kohd.[[#This Row],[Kohdentamat-tomat 13]]</f>
        <v>0</v>
      </c>
      <c r="CM174" s="207">
        <f>Opv.kohd.[[#This Row],[Työvoima-koulutus 4]]+Opv.kohd.[[#This Row],[Työvoima-koulutus 13]]</f>
        <v>0</v>
      </c>
      <c r="CN174" s="207">
        <f>Opv.kohd.[[#This Row],[Maahan-muuttajien koulutus 4]]+Opv.kohd.[[#This Row],[Maahan-muuttajien koulutus 13]]</f>
        <v>0</v>
      </c>
      <c r="CO174" s="207">
        <f>Opv.kohd.[[#This Row],[Nuorisotyöt. väh. ja osaamistarp. vast., muu kuin työvoima-koulutus 4]]+Opv.kohd.[[#This Row],[Nuorisotyöt. väh. ja osaamistarp. vast., muu kuin työvoima-koulutus 13]]</f>
        <v>0</v>
      </c>
      <c r="CP174" s="207">
        <f>Opv.kohd.[[#This Row],[Nuorisotyöt. väh. ja osaamistarp. vast., työvoima-koulutus 4]]+Opv.kohd.[[#This Row],[Nuorisotyöt. väh. ja osaamistarp. vast., työvoima-koulutus 13]]</f>
        <v>0</v>
      </c>
      <c r="CQ174" s="207">
        <f>Opv.kohd.[[#This Row],[Yhteensä 4]]+Opv.kohd.[[#This Row],[Yhteensä 13]]</f>
        <v>0</v>
      </c>
      <c r="CR174" s="207">
        <f>Opv.kohd.[[#This Row],[Ensikertaisella suoritepäätöksellä jaetut tavoitteelliset opiskelijavuodet yhteensä 4]]+Opv.kohd.[[#This Row],[Tavoitteelliset opiskelijavuodet yhteensä 13]]</f>
        <v>0</v>
      </c>
      <c r="CS174" s="120">
        <v>0</v>
      </c>
      <c r="CT174" s="120">
        <v>0</v>
      </c>
      <c r="CU174" s="120">
        <v>0</v>
      </c>
      <c r="CV174" s="120">
        <v>0</v>
      </c>
      <c r="CW174" s="120">
        <v>0</v>
      </c>
      <c r="CX174" s="120">
        <v>0</v>
      </c>
      <c r="CY174" s="120">
        <v>0</v>
      </c>
      <c r="CZ174" s="120">
        <v>0</v>
      </c>
      <c r="DA174" s="209">
        <f>IFERROR(Opv.kohd.[[#This Row],[Järjestämisluvan mukaiset 13]]/Opv.kohd.[[#This Row],[Järjestämisluvan mukaiset 12]],0)</f>
        <v>0</v>
      </c>
      <c r="DB174" s="209">
        <f>IFERROR(Opv.kohd.[[#This Row],[Kohdentamat-tomat 13]]/Opv.kohd.[[#This Row],[Kohdentamat-tomat 12]],0)</f>
        <v>0</v>
      </c>
      <c r="DC174" s="209">
        <f>IFERROR(Opv.kohd.[[#This Row],[Työvoima-koulutus 13]]/Opv.kohd.[[#This Row],[Työvoima-koulutus 12]],0)</f>
        <v>0</v>
      </c>
      <c r="DD174" s="209">
        <f>IFERROR(Opv.kohd.[[#This Row],[Maahan-muuttajien koulutus 13]]/Opv.kohd.[[#This Row],[Maahan-muuttajien koulutus 12]],0)</f>
        <v>0</v>
      </c>
      <c r="DE174" s="209">
        <f>IFERROR(Opv.kohd.[[#This Row],[Nuorisotyöt. väh. ja osaamistarp. vast., muu kuin työvoima-koulutus 13]]/Opv.kohd.[[#This Row],[Nuorisotyöt. väh. ja osaamistarp. vast., muu kuin työvoima-koulutus 12]],0)</f>
        <v>0</v>
      </c>
      <c r="DF174" s="209">
        <f>IFERROR(Opv.kohd.[[#This Row],[Nuorisotyöt. väh. ja osaamistarp. vast., työvoima-koulutus 13]]/Opv.kohd.[[#This Row],[Nuorisotyöt. väh. ja osaamistarp. vast., työvoima-koulutus 12]],0)</f>
        <v>0</v>
      </c>
      <c r="DG174" s="209">
        <f>IFERROR(Opv.kohd.[[#This Row],[Yhteensä 13]]/Opv.kohd.[[#This Row],[Yhteensä 12]],0)</f>
        <v>0</v>
      </c>
      <c r="DH174" s="209">
        <f>IFERROR(Opv.kohd.[[#This Row],[Tavoitteelliset opiskelijavuodet yhteensä 13]]/Opv.kohd.[[#This Row],[Tavoitteelliset opiskelijavuodet yhteensä 12]],0)</f>
        <v>0</v>
      </c>
      <c r="DI174" s="207">
        <f>Opv.kohd.[[#This Row],[Järjestämisluvan mukaiset 12]]-Opv.kohd.[[#This Row],[Järjestämisluvan mukaiset 9]]</f>
        <v>0</v>
      </c>
      <c r="DJ174" s="207">
        <f>Opv.kohd.[[#This Row],[Kohdentamat-tomat 12]]-Opv.kohd.[[#This Row],[Kohdentamat-tomat 9]]</f>
        <v>0</v>
      </c>
      <c r="DK174" s="207">
        <f>Opv.kohd.[[#This Row],[Työvoima-koulutus 12]]-Opv.kohd.[[#This Row],[Työvoima-koulutus 9]]</f>
        <v>0</v>
      </c>
      <c r="DL174" s="207">
        <f>Opv.kohd.[[#This Row],[Maahan-muuttajien koulutus 12]]-Opv.kohd.[[#This Row],[Maahan-muuttajien koulutus 9]]</f>
        <v>0</v>
      </c>
      <c r="DM174" s="207">
        <f>Opv.kohd.[[#This Row],[Nuorisotyöt. väh. ja osaamistarp. vast., muu kuin työvoima-koulutus 12]]-Opv.kohd.[[#This Row],[Nuorisotyöt. väh. ja osaamistarp. vast., muu kuin työvoima-koulutus 9]]</f>
        <v>0</v>
      </c>
      <c r="DN174" s="207">
        <f>Opv.kohd.[[#This Row],[Nuorisotyöt. väh. ja osaamistarp. vast., työvoima-koulutus 12]]-Opv.kohd.[[#This Row],[Nuorisotyöt. väh. ja osaamistarp. vast., työvoima-koulutus 9]]</f>
        <v>0</v>
      </c>
      <c r="DO174" s="207">
        <f>Opv.kohd.[[#This Row],[Yhteensä 12]]-Opv.kohd.[[#This Row],[Yhteensä 9]]</f>
        <v>0</v>
      </c>
      <c r="DP174" s="207">
        <f>Opv.kohd.[[#This Row],[Tavoitteelliset opiskelijavuodet yhteensä 12]]-Opv.kohd.[[#This Row],[Tavoitteelliset opiskelijavuodet yhteensä 9]]</f>
        <v>0</v>
      </c>
      <c r="DQ174" s="209">
        <f>IFERROR(Opv.kohd.[[#This Row],[Järjestämisluvan mukaiset 15]]/Opv.kohd.[[#This Row],[Järjestämisluvan mukaiset 9]],0)</f>
        <v>0</v>
      </c>
      <c r="DR174" s="209">
        <f t="shared" si="40"/>
        <v>0</v>
      </c>
      <c r="DS174" s="209">
        <f t="shared" si="41"/>
        <v>0</v>
      </c>
      <c r="DT174" s="209">
        <f t="shared" si="42"/>
        <v>0</v>
      </c>
      <c r="DU174" s="209">
        <f t="shared" si="43"/>
        <v>0</v>
      </c>
      <c r="DV174" s="209">
        <f t="shared" si="44"/>
        <v>0</v>
      </c>
      <c r="DW174" s="209">
        <f t="shared" si="45"/>
        <v>0</v>
      </c>
      <c r="DX174" s="209">
        <f t="shared" si="46"/>
        <v>0</v>
      </c>
    </row>
    <row r="175" spans="1:128" x14ac:dyDescent="0.25">
      <c r="A175" s="204" t="e">
        <f>IF(INDEX(#REF!,ROW(175:175)-1,1)=0,"",INDEX(#REF!,ROW(175:175)-1,1))</f>
        <v>#REF!</v>
      </c>
      <c r="B175" s="205" t="str">
        <f>IFERROR(VLOOKUP(Opv.kohd.[[#This Row],[Y-tunnus]],'0 Järjestäjätiedot'!$A:$H,2,FALSE),"")</f>
        <v/>
      </c>
      <c r="C175" s="204" t="str">
        <f>IFERROR(VLOOKUP(Opv.kohd.[[#This Row],[Y-tunnus]],'0 Järjestäjätiedot'!$A:$H,COLUMN('0 Järjestäjätiedot'!D:D),FALSE),"")</f>
        <v/>
      </c>
      <c r="D175" s="204" t="str">
        <f>IFERROR(VLOOKUP(Opv.kohd.[[#This Row],[Y-tunnus]],'0 Järjestäjätiedot'!$A:$H,COLUMN('0 Järjestäjätiedot'!H:H),FALSE),"")</f>
        <v/>
      </c>
      <c r="E175" s="204">
        <f>IFERROR(VLOOKUP(Opv.kohd.[[#This Row],[Y-tunnus]],#REF!,COLUMN(#REF!),FALSE),0)</f>
        <v>0</v>
      </c>
      <c r="F175" s="204">
        <f>IFERROR(VLOOKUP(Opv.kohd.[[#This Row],[Y-tunnus]],#REF!,COLUMN(#REF!),FALSE),0)</f>
        <v>0</v>
      </c>
      <c r="G175" s="204">
        <f>IFERROR(VLOOKUP(Opv.kohd.[[#This Row],[Y-tunnus]],#REF!,COLUMN(#REF!),FALSE),0)</f>
        <v>0</v>
      </c>
      <c r="H175" s="204">
        <f>IFERROR(VLOOKUP(Opv.kohd.[[#This Row],[Y-tunnus]],#REF!,COLUMN(#REF!),FALSE),0)</f>
        <v>0</v>
      </c>
      <c r="I175" s="204">
        <f>IFERROR(VLOOKUP(Opv.kohd.[[#This Row],[Y-tunnus]],#REF!,COLUMN(#REF!),FALSE),0)</f>
        <v>0</v>
      </c>
      <c r="J175" s="204">
        <f>IFERROR(VLOOKUP(Opv.kohd.[[#This Row],[Y-tunnus]],#REF!,COLUMN(#REF!),FALSE),0)</f>
        <v>0</v>
      </c>
      <c r="K175" s="204">
        <f>Opv.kohd.[[#This Row],[Kohdentamat-tomat 1]]+Opv.kohd.[[#This Row],[Työvoima-koulutus 1]]+Opv.kohd.[[#This Row],[Maahan-muuttajien koulutus 1]]+Opv.kohd.[[#This Row],[Nuorisotyöt. väh. ja osaamistarp. vast., muu kuin työvoima-koulutus 1]]+Opv.kohd.[[#This Row],[Nuorisotyöt. väh. ja osaamistarp. vast., työvoima-koulutus 1]]</f>
        <v>0</v>
      </c>
      <c r="L175" s="204">
        <f>Opv.kohd.[[#This Row],[Järjestämisluvan mukaiset 1]]+Opv.kohd.[[#This Row],[Yhteensä  1]]</f>
        <v>0</v>
      </c>
      <c r="M175" s="204">
        <f>IFERROR(VLOOKUP(Opv.kohd.[[#This Row],[Y-tunnus]],#REF!,COLUMN(#REF!),FALSE),0)</f>
        <v>0</v>
      </c>
      <c r="N175" s="204">
        <f>IFERROR(VLOOKUP(Opv.kohd.[[#This Row],[Y-tunnus]],#REF!,COLUMN(#REF!),FALSE),0)</f>
        <v>0</v>
      </c>
      <c r="O175" s="204">
        <f>IFERROR(VLOOKUP(Opv.kohd.[[#This Row],[Y-tunnus]],#REF!,COLUMN(#REF!),FALSE)+VLOOKUP(Opv.kohd.[[#This Row],[Y-tunnus]],#REF!,COLUMN(#REF!),FALSE),0)</f>
        <v>0</v>
      </c>
      <c r="P175" s="204">
        <f>Opv.kohd.[[#This Row],[Talousarvion perusteella kohdentamattomat]]+Opv.kohd.[[#This Row],[Talousarvion perusteella työvoimakoulutus 1]]+Opv.kohd.[[#This Row],[Lisätalousarvioiden perusteella]]</f>
        <v>0</v>
      </c>
      <c r="Q175" s="204">
        <f>IFERROR(VLOOKUP(Opv.kohd.[[#This Row],[Y-tunnus]],#REF!,COLUMN(#REF!),FALSE),0)</f>
        <v>0</v>
      </c>
      <c r="R175" s="210">
        <f>IFERROR(VLOOKUP(Opv.kohd.[[#This Row],[Y-tunnus]],#REF!,COLUMN(#REF!),FALSE)-(Opv.kohd.[[#This Row],[Kohdentamaton työvoima-koulutus 2]]+Opv.kohd.[[#This Row],[Maahan-muuttajien koulutus 2]]+Opv.kohd.[[#This Row],[Lisätalousarvioiden perusteella jaetut 2]]),0)</f>
        <v>0</v>
      </c>
      <c r="S175" s="210">
        <f>IFERROR(VLOOKUP(Opv.kohd.[[#This Row],[Y-tunnus]],#REF!,COLUMN(#REF!),FALSE)+VLOOKUP(Opv.kohd.[[#This Row],[Y-tunnus]],#REF!,COLUMN(#REF!),FALSE),0)</f>
        <v>0</v>
      </c>
      <c r="T175" s="210">
        <f>IFERROR(VLOOKUP(Opv.kohd.[[#This Row],[Y-tunnus]],#REF!,COLUMN(#REF!),FALSE)+VLOOKUP(Opv.kohd.[[#This Row],[Y-tunnus]],#REF!,COLUMN(#REF!),FALSE),0)</f>
        <v>0</v>
      </c>
      <c r="U175" s="210">
        <f>IFERROR(VLOOKUP(Opv.kohd.[[#This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Row],[Y-tunnus]],#REF!,COLUMN(#REF!),FALSE)+VLOOKUP(Opv.kohd.[[#This Row],[Y-tunnus]],#REF!,COLUMN(#REF!),FALSE),0)</f>
        <v>0</v>
      </c>
      <c r="V175" s="210">
        <f>Opv.kohd.[[#This Row],[Kohdentamat-tomat 2]]+Opv.kohd.[[#This Row],[Kohdentamaton työvoima-koulutus 2]]+Opv.kohd.[[#This Row],[Maahan-muuttajien koulutus 2]]+Opv.kohd.[[#This Row],[Lisätalousarvioiden perusteella jaetut 2]]</f>
        <v>0</v>
      </c>
      <c r="W175" s="210">
        <f>Opv.kohd.[[#This Row],[Kohdentamat-tomat 2]]-(Opv.kohd.[[#This Row],[Järjestämisluvan mukaiset 1]]+Opv.kohd.[[#This Row],[Kohdentamat-tomat 1]]+Opv.kohd.[[#This Row],[Nuorisotyöt. väh. ja osaamistarp. vast., muu kuin työvoima-koulutus 1]]+Opv.kohd.[[#This Row],[Talousarvion perusteella kohdentamattomat]])</f>
        <v>0</v>
      </c>
      <c r="X175" s="210">
        <f>Opv.kohd.[[#This Row],[Kohdentamaton työvoima-koulutus 2]]-(Opv.kohd.[[#This Row],[Työvoima-koulutus 1]]+Opv.kohd.[[#This Row],[Nuorisotyöt. väh. ja osaamistarp. vast., työvoima-koulutus 1]]+Opv.kohd.[[#This Row],[Talousarvion perusteella työvoimakoulutus 1]])</f>
        <v>0</v>
      </c>
      <c r="Y175" s="210">
        <f>Opv.kohd.[[#This Row],[Maahan-muuttajien koulutus 2]]-Opv.kohd.[[#This Row],[Maahan-muuttajien koulutus 1]]</f>
        <v>0</v>
      </c>
      <c r="Z175" s="210">
        <f>Opv.kohd.[[#This Row],[Lisätalousarvioiden perusteella jaetut 2]]-Opv.kohd.[[#This Row],[Lisätalousarvioiden perusteella]]</f>
        <v>0</v>
      </c>
      <c r="AA175" s="210">
        <f>Opv.kohd.[[#This Row],[Toteutuneet opiskelijavuodet yhteensä 2]]-Opv.kohd.[[#This Row],[Vuoden 2018 tavoitteelliset opiskelijavuodet yhteensä 1]]</f>
        <v>0</v>
      </c>
      <c r="AB175" s="212">
        <f>IFERROR(VLOOKUP(Opv.kohd.[[#This Row],[Y-tunnus]],#REF!,3,FALSE),0)</f>
        <v>0</v>
      </c>
      <c r="AC175" s="207">
        <f>IFERROR(VLOOKUP(Opv.kohd.[[#This Row],[Y-tunnus]],#REF!,4,FALSE),0)</f>
        <v>0</v>
      </c>
      <c r="AD175" s="207">
        <f>IFERROR(VLOOKUP(Opv.kohd.[[#This Row],[Y-tunnus]],#REF!,5,FALSE),0)</f>
        <v>0</v>
      </c>
      <c r="AE175" s="207">
        <f>IFERROR(VLOOKUP(Opv.kohd.[[#This Row],[Y-tunnus]],#REF!,6,FALSE),0)</f>
        <v>0</v>
      </c>
      <c r="AF175" s="207">
        <f>IFERROR(VLOOKUP(Opv.kohd.[[#This Row],[Y-tunnus]],#REF!,7,FALSE),0)</f>
        <v>0</v>
      </c>
      <c r="AG175" s="207">
        <f>IFERROR(VLOOKUP(Opv.kohd.[[#This Row],[Y-tunnus]],#REF!,8,FALSE),0)</f>
        <v>0</v>
      </c>
      <c r="AH175" s="207">
        <f>IFERROR(VLOOKUP(Opv.kohd.[[#This Row],[Y-tunnus]],#REF!,9,FALSE),0)</f>
        <v>0</v>
      </c>
      <c r="AI175" s="207">
        <f>IFERROR(VLOOKUP(Opv.kohd.[[#This Row],[Y-tunnus]],#REF!,10,FALSE),0)</f>
        <v>0</v>
      </c>
      <c r="AJ175" s="204">
        <f>Opv.kohd.[[#This Row],[Järjestämisluvan mukaiset 4]]-Opv.kohd.[[#This Row],[Järjestämisluvan mukaiset 1]]</f>
        <v>0</v>
      </c>
      <c r="AK175" s="204">
        <f>Opv.kohd.[[#This Row],[Kohdentamat-tomat 4]]-Opv.kohd.[[#This Row],[Kohdentamat-tomat 1]]</f>
        <v>0</v>
      </c>
      <c r="AL175" s="204">
        <f>Opv.kohd.[[#This Row],[Työvoima-koulutus 4]]-Opv.kohd.[[#This Row],[Työvoima-koulutus 1]]</f>
        <v>0</v>
      </c>
      <c r="AM175" s="204">
        <f>Opv.kohd.[[#This Row],[Maahan-muuttajien koulutus 4]]-Opv.kohd.[[#This Row],[Maahan-muuttajien koulutus 1]]</f>
        <v>0</v>
      </c>
      <c r="AN175" s="204">
        <f>Opv.kohd.[[#This Row],[Nuorisotyöt. väh. ja osaamistarp. vast., muu kuin työvoima-koulutus 4]]-Opv.kohd.[[#This Row],[Nuorisotyöt. väh. ja osaamistarp. vast., muu kuin työvoima-koulutus 1]]</f>
        <v>0</v>
      </c>
      <c r="AO175" s="204">
        <f>Opv.kohd.[[#This Row],[Nuorisotyöt. väh. ja osaamistarp. vast., työvoima-koulutus 4]]-Opv.kohd.[[#This Row],[Nuorisotyöt. väh. ja osaamistarp. vast., työvoima-koulutus 1]]</f>
        <v>0</v>
      </c>
      <c r="AP175" s="204">
        <f>Opv.kohd.[[#This Row],[Yhteensä 4]]-Opv.kohd.[[#This Row],[Yhteensä  1]]</f>
        <v>0</v>
      </c>
      <c r="AQ175" s="204">
        <f>Opv.kohd.[[#This Row],[Ensikertaisella suoritepäätöksellä jaetut tavoitteelliset opiskelijavuodet yhteensä 4]]-Opv.kohd.[[#This Row],[Ensikertaisella suoritepäätöksellä jaetut tavoitteelliset opiskelijavuodet yhteensä 1]]</f>
        <v>0</v>
      </c>
      <c r="AR175" s="208">
        <f>IFERROR(Opv.kohd.[[#This Row],[Järjestämisluvan mukaiset 5]]/Opv.kohd.[[#This Row],[Järjestämisluvan mukaiset 4]],0)</f>
        <v>0</v>
      </c>
      <c r="AS175" s="208">
        <f>IFERROR(Opv.kohd.[[#This Row],[Kohdentamat-tomat 5]]/Opv.kohd.[[#This Row],[Kohdentamat-tomat 4]],0)</f>
        <v>0</v>
      </c>
      <c r="AT175" s="208">
        <f>IFERROR(Opv.kohd.[[#This Row],[Työvoima-koulutus 5]]/Opv.kohd.[[#This Row],[Työvoima-koulutus 4]],0)</f>
        <v>0</v>
      </c>
      <c r="AU175" s="208">
        <f>IFERROR(Opv.kohd.[[#This Row],[Maahan-muuttajien koulutus 5]]/Opv.kohd.[[#This Row],[Maahan-muuttajien koulutus 4]],0)</f>
        <v>0</v>
      </c>
      <c r="AV175" s="208">
        <f>IFERROR(Opv.kohd.[[#This Row],[Nuorisotyöt. väh. ja osaamistarp. vast., muu kuin työvoima-koulutus 5]]/Opv.kohd.[[#This Row],[Nuorisotyöt. väh. ja osaamistarp. vast., muu kuin työvoima-koulutus 4]],0)</f>
        <v>0</v>
      </c>
      <c r="AW175" s="208">
        <f>IFERROR(Opv.kohd.[[#This Row],[Nuorisotyöt. väh. ja osaamistarp. vast., työvoima-koulutus 5]]/Opv.kohd.[[#This Row],[Nuorisotyöt. väh. ja osaamistarp. vast., työvoima-koulutus 4]],0)</f>
        <v>0</v>
      </c>
      <c r="AX175" s="208">
        <f>IFERROR(Opv.kohd.[[#This Row],[Yhteensä 5]]/Opv.kohd.[[#This Row],[Yhteensä 4]],0)</f>
        <v>0</v>
      </c>
      <c r="AY175" s="208">
        <f>IFERROR(Opv.kohd.[[#This Row],[Ensikertaisella suoritepäätöksellä jaetut tavoitteelliset opiskelijavuodet yhteensä 5]]/Opv.kohd.[[#This Row],[Ensikertaisella suoritepäätöksellä jaetut tavoitteelliset opiskelijavuodet yhteensä 4]],0)</f>
        <v>0</v>
      </c>
      <c r="AZ175" s="212">
        <f>Opv.kohd.[[#This Row],[Yhteensä 7a]]-Opv.kohd.[[#This Row],[Työvoima-koulutus 7a]]</f>
        <v>0</v>
      </c>
      <c r="BA175" s="207">
        <f>IFERROR(VLOOKUP(Opv.kohd.[[#This Row],[Y-tunnus]],#REF!,COLUMN(#REF!),FALSE),0)</f>
        <v>0</v>
      </c>
      <c r="BB175" s="207">
        <f>IFERROR(VLOOKUP(Opv.kohd.[[#This Row],[Y-tunnus]],#REF!,COLUMN(#REF!),FALSE),0)</f>
        <v>0</v>
      </c>
      <c r="BC175" s="207">
        <f>Opv.kohd.[[#This Row],[Muu kuin työvoima-koulutus 7c]]-Opv.kohd.[[#This Row],[Muu kuin työvoima-koulutus 7a]]</f>
        <v>0</v>
      </c>
      <c r="BD175" s="207">
        <f>Opv.kohd.[[#This Row],[Työvoima-koulutus 7c]]-Opv.kohd.[[#This Row],[Työvoima-koulutus 7a]]</f>
        <v>0</v>
      </c>
      <c r="BE175" s="207">
        <f>Opv.kohd.[[#This Row],[Yhteensä 7c]]-Opv.kohd.[[#This Row],[Yhteensä 7a]]</f>
        <v>0</v>
      </c>
      <c r="BF175" s="207">
        <f>Opv.kohd.[[#This Row],[Yhteensä 7c]]-Opv.kohd.[[#This Row],[Työvoima-koulutus 7c]]</f>
        <v>0</v>
      </c>
      <c r="BG175" s="207">
        <f>IFERROR(VLOOKUP(Opv.kohd.[[#This Row],[Y-tunnus]],#REF!,COLUMN(#REF!),FALSE),0)</f>
        <v>0</v>
      </c>
      <c r="BH175" s="207">
        <f>IFERROR(VLOOKUP(Opv.kohd.[[#This Row],[Y-tunnus]],#REF!,COLUMN(#REF!),FALSE),0)</f>
        <v>0</v>
      </c>
      <c r="BI175" s="207">
        <f>IFERROR(VLOOKUP(Opv.kohd.[[#This Row],[Y-tunnus]],#REF!,COLUMN(#REF!),FALSE),0)</f>
        <v>0</v>
      </c>
      <c r="BJ175" s="207">
        <f>IFERROR(VLOOKUP(Opv.kohd.[[#This Row],[Y-tunnus]],#REF!,COLUMN(#REF!),FALSE),0)</f>
        <v>0</v>
      </c>
      <c r="BK175" s="207">
        <f>Opv.kohd.[[#This Row],[Muu kuin työvoima-koulutus 7d]]+Opv.kohd.[[#This Row],[Työvoima-koulutus 7d]]</f>
        <v>0</v>
      </c>
      <c r="BL175" s="207">
        <f>Opv.kohd.[[#This Row],[Muu kuin työvoima-koulutus 7c]]-Opv.kohd.[[#This Row],[Muu kuin työvoima-koulutus 7d]]</f>
        <v>0</v>
      </c>
      <c r="BM175" s="207">
        <f>Opv.kohd.[[#This Row],[Työvoima-koulutus 7c]]-Opv.kohd.[[#This Row],[Työvoima-koulutus 7d]]</f>
        <v>0</v>
      </c>
      <c r="BN175" s="207">
        <f>Opv.kohd.[[#This Row],[Yhteensä 7c]]-Opv.kohd.[[#This Row],[Yhteensä 7d]]</f>
        <v>0</v>
      </c>
      <c r="BO175" s="207">
        <f>Opv.kohd.[[#This Row],[Muu kuin työvoima-koulutus 7e]]-(Opv.kohd.[[#This Row],[Järjestämisluvan mukaiset 4]]+Opv.kohd.[[#This Row],[Kohdentamat-tomat 4]]+Opv.kohd.[[#This Row],[Maahan-muuttajien koulutus 4]]+Opv.kohd.[[#This Row],[Nuorisotyöt. väh. ja osaamistarp. vast., muu kuin työvoima-koulutus 4]])</f>
        <v>0</v>
      </c>
      <c r="BP175" s="207">
        <f>Opv.kohd.[[#This Row],[Työvoima-koulutus 7e]]-(Opv.kohd.[[#This Row],[Työvoima-koulutus 4]]+Opv.kohd.[[#This Row],[Nuorisotyöt. väh. ja osaamistarp. vast., työvoima-koulutus 4]])</f>
        <v>0</v>
      </c>
      <c r="BQ175" s="207">
        <f>Opv.kohd.[[#This Row],[Yhteensä 7e]]-Opv.kohd.[[#This Row],[Ensikertaisella suoritepäätöksellä jaetut tavoitteelliset opiskelijavuodet yhteensä 4]]</f>
        <v>0</v>
      </c>
      <c r="BR175" s="263">
        <v>0</v>
      </c>
      <c r="BS175" s="263">
        <v>0</v>
      </c>
      <c r="BT175" s="263">
        <v>0</v>
      </c>
      <c r="BU175" s="263">
        <v>0</v>
      </c>
      <c r="BV175" s="263">
        <v>0</v>
      </c>
      <c r="BW175" s="263">
        <v>0</v>
      </c>
      <c r="BX175" s="263">
        <v>0</v>
      </c>
      <c r="BY175" s="263">
        <v>0</v>
      </c>
      <c r="BZ175" s="207">
        <f t="shared" si="32"/>
        <v>0</v>
      </c>
      <c r="CA175" s="207">
        <f t="shared" si="33"/>
        <v>0</v>
      </c>
      <c r="CB175" s="207">
        <f t="shared" si="34"/>
        <v>0</v>
      </c>
      <c r="CC175" s="207">
        <f t="shared" si="35"/>
        <v>0</v>
      </c>
      <c r="CD175" s="207">
        <f t="shared" si="36"/>
        <v>0</v>
      </c>
      <c r="CE175" s="207">
        <f t="shared" si="37"/>
        <v>0</v>
      </c>
      <c r="CF175" s="207">
        <f t="shared" si="38"/>
        <v>0</v>
      </c>
      <c r="CG175" s="207">
        <f t="shared" si="39"/>
        <v>0</v>
      </c>
      <c r="CH175" s="207">
        <f>Opv.kohd.[[#This Row],[Tavoitteelliset opiskelijavuodet yhteensä 9]]-Opv.kohd.[[#This Row],[Työvoima-koulutus 9]]-Opv.kohd.[[#This Row],[Nuorisotyöt. väh. ja osaamistarp. vast., työvoima-koulutus 9]]-Opv.kohd.[[#This Row],[Muu kuin työvoima-koulutus 7e]]</f>
        <v>0</v>
      </c>
      <c r="CI175" s="207">
        <f>(Opv.kohd.[[#This Row],[Työvoima-koulutus 9]]+Opv.kohd.[[#This Row],[Nuorisotyöt. väh. ja osaamistarp. vast., työvoima-koulutus 9]])-Opv.kohd.[[#This Row],[Työvoima-koulutus 7e]]</f>
        <v>0</v>
      </c>
      <c r="CJ175" s="207">
        <f>Opv.kohd.[[#This Row],[Tavoitteelliset opiskelijavuodet yhteensä 9]]-Opv.kohd.[[#This Row],[Yhteensä 7e]]</f>
        <v>0</v>
      </c>
      <c r="CK175" s="207">
        <f>Opv.kohd.[[#This Row],[Järjestämisluvan mukaiset 4]]+Opv.kohd.[[#This Row],[Järjestämisluvan mukaiset 13]]</f>
        <v>0</v>
      </c>
      <c r="CL175" s="207">
        <f>Opv.kohd.[[#This Row],[Kohdentamat-tomat 4]]+Opv.kohd.[[#This Row],[Kohdentamat-tomat 13]]</f>
        <v>0</v>
      </c>
      <c r="CM175" s="207">
        <f>Opv.kohd.[[#This Row],[Työvoima-koulutus 4]]+Opv.kohd.[[#This Row],[Työvoima-koulutus 13]]</f>
        <v>0</v>
      </c>
      <c r="CN175" s="207">
        <f>Opv.kohd.[[#This Row],[Maahan-muuttajien koulutus 4]]+Opv.kohd.[[#This Row],[Maahan-muuttajien koulutus 13]]</f>
        <v>0</v>
      </c>
      <c r="CO175" s="207">
        <f>Opv.kohd.[[#This Row],[Nuorisotyöt. väh. ja osaamistarp. vast., muu kuin työvoima-koulutus 4]]+Opv.kohd.[[#This Row],[Nuorisotyöt. väh. ja osaamistarp. vast., muu kuin työvoima-koulutus 13]]</f>
        <v>0</v>
      </c>
      <c r="CP175" s="207">
        <f>Opv.kohd.[[#This Row],[Nuorisotyöt. väh. ja osaamistarp. vast., työvoima-koulutus 4]]+Opv.kohd.[[#This Row],[Nuorisotyöt. väh. ja osaamistarp. vast., työvoima-koulutus 13]]</f>
        <v>0</v>
      </c>
      <c r="CQ175" s="207">
        <f>Opv.kohd.[[#This Row],[Yhteensä 4]]+Opv.kohd.[[#This Row],[Yhteensä 13]]</f>
        <v>0</v>
      </c>
      <c r="CR175" s="207">
        <f>Opv.kohd.[[#This Row],[Ensikertaisella suoritepäätöksellä jaetut tavoitteelliset opiskelijavuodet yhteensä 4]]+Opv.kohd.[[#This Row],[Tavoitteelliset opiskelijavuodet yhteensä 13]]</f>
        <v>0</v>
      </c>
      <c r="CS175" s="120">
        <v>0</v>
      </c>
      <c r="CT175" s="120">
        <v>0</v>
      </c>
      <c r="CU175" s="120">
        <v>0</v>
      </c>
      <c r="CV175" s="120">
        <v>0</v>
      </c>
      <c r="CW175" s="120">
        <v>0</v>
      </c>
      <c r="CX175" s="120">
        <v>0</v>
      </c>
      <c r="CY175" s="120">
        <v>0</v>
      </c>
      <c r="CZ175" s="120">
        <v>0</v>
      </c>
      <c r="DA175" s="209">
        <f>IFERROR(Opv.kohd.[[#This Row],[Järjestämisluvan mukaiset 13]]/Opv.kohd.[[#This Row],[Järjestämisluvan mukaiset 12]],0)</f>
        <v>0</v>
      </c>
      <c r="DB175" s="209">
        <f>IFERROR(Opv.kohd.[[#This Row],[Kohdentamat-tomat 13]]/Opv.kohd.[[#This Row],[Kohdentamat-tomat 12]],0)</f>
        <v>0</v>
      </c>
      <c r="DC175" s="209">
        <f>IFERROR(Opv.kohd.[[#This Row],[Työvoima-koulutus 13]]/Opv.kohd.[[#This Row],[Työvoima-koulutus 12]],0)</f>
        <v>0</v>
      </c>
      <c r="DD175" s="209">
        <f>IFERROR(Opv.kohd.[[#This Row],[Maahan-muuttajien koulutus 13]]/Opv.kohd.[[#This Row],[Maahan-muuttajien koulutus 12]],0)</f>
        <v>0</v>
      </c>
      <c r="DE175" s="209">
        <f>IFERROR(Opv.kohd.[[#This Row],[Nuorisotyöt. väh. ja osaamistarp. vast., muu kuin työvoima-koulutus 13]]/Opv.kohd.[[#This Row],[Nuorisotyöt. väh. ja osaamistarp. vast., muu kuin työvoima-koulutus 12]],0)</f>
        <v>0</v>
      </c>
      <c r="DF175" s="209">
        <f>IFERROR(Opv.kohd.[[#This Row],[Nuorisotyöt. väh. ja osaamistarp. vast., työvoima-koulutus 13]]/Opv.kohd.[[#This Row],[Nuorisotyöt. väh. ja osaamistarp. vast., työvoima-koulutus 12]],0)</f>
        <v>0</v>
      </c>
      <c r="DG175" s="209">
        <f>IFERROR(Opv.kohd.[[#This Row],[Yhteensä 13]]/Opv.kohd.[[#This Row],[Yhteensä 12]],0)</f>
        <v>0</v>
      </c>
      <c r="DH175" s="209">
        <f>IFERROR(Opv.kohd.[[#This Row],[Tavoitteelliset opiskelijavuodet yhteensä 13]]/Opv.kohd.[[#This Row],[Tavoitteelliset opiskelijavuodet yhteensä 12]],0)</f>
        <v>0</v>
      </c>
      <c r="DI175" s="207">
        <f>Opv.kohd.[[#This Row],[Järjestämisluvan mukaiset 12]]-Opv.kohd.[[#This Row],[Järjestämisluvan mukaiset 9]]</f>
        <v>0</v>
      </c>
      <c r="DJ175" s="207">
        <f>Opv.kohd.[[#This Row],[Kohdentamat-tomat 12]]-Opv.kohd.[[#This Row],[Kohdentamat-tomat 9]]</f>
        <v>0</v>
      </c>
      <c r="DK175" s="207">
        <f>Opv.kohd.[[#This Row],[Työvoima-koulutus 12]]-Opv.kohd.[[#This Row],[Työvoima-koulutus 9]]</f>
        <v>0</v>
      </c>
      <c r="DL175" s="207">
        <f>Opv.kohd.[[#This Row],[Maahan-muuttajien koulutus 12]]-Opv.kohd.[[#This Row],[Maahan-muuttajien koulutus 9]]</f>
        <v>0</v>
      </c>
      <c r="DM175" s="207">
        <f>Opv.kohd.[[#This Row],[Nuorisotyöt. väh. ja osaamistarp. vast., muu kuin työvoima-koulutus 12]]-Opv.kohd.[[#This Row],[Nuorisotyöt. väh. ja osaamistarp. vast., muu kuin työvoima-koulutus 9]]</f>
        <v>0</v>
      </c>
      <c r="DN175" s="207">
        <f>Opv.kohd.[[#This Row],[Nuorisotyöt. väh. ja osaamistarp. vast., työvoima-koulutus 12]]-Opv.kohd.[[#This Row],[Nuorisotyöt. väh. ja osaamistarp. vast., työvoima-koulutus 9]]</f>
        <v>0</v>
      </c>
      <c r="DO175" s="207">
        <f>Opv.kohd.[[#This Row],[Yhteensä 12]]-Opv.kohd.[[#This Row],[Yhteensä 9]]</f>
        <v>0</v>
      </c>
      <c r="DP175" s="207">
        <f>Opv.kohd.[[#This Row],[Tavoitteelliset opiskelijavuodet yhteensä 12]]-Opv.kohd.[[#This Row],[Tavoitteelliset opiskelijavuodet yhteensä 9]]</f>
        <v>0</v>
      </c>
      <c r="DQ175" s="209">
        <f>IFERROR(Opv.kohd.[[#This Row],[Järjestämisluvan mukaiset 15]]/Opv.kohd.[[#This Row],[Järjestämisluvan mukaiset 9]],0)</f>
        <v>0</v>
      </c>
      <c r="DR175" s="209">
        <f t="shared" si="40"/>
        <v>0</v>
      </c>
      <c r="DS175" s="209">
        <f t="shared" si="41"/>
        <v>0</v>
      </c>
      <c r="DT175" s="209">
        <f t="shared" si="42"/>
        <v>0</v>
      </c>
      <c r="DU175" s="209">
        <f t="shared" si="43"/>
        <v>0</v>
      </c>
      <c r="DV175" s="209">
        <f t="shared" si="44"/>
        <v>0</v>
      </c>
      <c r="DW175" s="209">
        <f t="shared" si="45"/>
        <v>0</v>
      </c>
      <c r="DX175" s="209">
        <f t="shared" si="46"/>
        <v>0</v>
      </c>
    </row>
    <row r="176" spans="1:128" s="144" customFormat="1" x14ac:dyDescent="0.25">
      <c r="A176" s="213" t="s">
        <v>446</v>
      </c>
      <c r="B176" s="214">
        <f>COUNTIF(Opv.kohd.[Nimi],"?*")</f>
        <v>0</v>
      </c>
      <c r="C176" s="214"/>
      <c r="D176" s="214"/>
      <c r="E176" s="215">
        <f>SUBTOTAL(109,Opv.kohd.[Järjestämisluvan mukaiset 1])</f>
        <v>0</v>
      </c>
      <c r="F176" s="215">
        <f>SUBTOTAL(109,Opv.kohd.[Kohdentamat-tomat 1])</f>
        <v>0</v>
      </c>
      <c r="G176" s="215">
        <f>SUBTOTAL(109,Opv.kohd.[Työvoima-koulutus 1])</f>
        <v>0</v>
      </c>
      <c r="H176" s="215">
        <f>SUBTOTAL(109,Opv.kohd.[Maahan-muuttajien koulutus 1])</f>
        <v>0</v>
      </c>
      <c r="I176" s="215">
        <f>SUBTOTAL(109,Opv.kohd.[Nuorisotyöt. väh. ja osaamistarp. vast., muu kuin työvoima-koulutus 1])</f>
        <v>0</v>
      </c>
      <c r="J176" s="215">
        <f>SUBTOTAL(109,Opv.kohd.[Nuorisotyöt. väh. ja osaamistarp. vast., työvoima-koulutus 1])</f>
        <v>0</v>
      </c>
      <c r="K176" s="215">
        <f>SUBTOTAL(109,Opv.kohd.[Yhteensä  1])</f>
        <v>0</v>
      </c>
      <c r="L176" s="215"/>
      <c r="M176" s="215">
        <f>SUBTOTAL(109,Opv.kohd.[Talousarvion perusteella kohdentamattomat])</f>
        <v>0</v>
      </c>
      <c r="N176" s="215">
        <f>SUBTOTAL(109,Opv.kohd.[Talousarvion perusteella työvoimakoulutus 1])</f>
        <v>0</v>
      </c>
      <c r="O176" s="215">
        <f>SUBTOTAL(109,Opv.kohd.[Lisätalousarvioiden perusteella])</f>
        <v>0</v>
      </c>
      <c r="P176" s="215">
        <f>SUBTOTAL(109,Opv.kohd.[Lisäsuoritepäätöksillä jaetut tavoitteelliset opiskelijavuoden yhteensä])</f>
        <v>0</v>
      </c>
      <c r="Q176" s="215">
        <f>SUBTOTAL(109,Opv.kohd.[Vuoden 2018 tavoitteelliset opiskelijavuodet yhteensä 1])</f>
        <v>0</v>
      </c>
      <c r="R176" s="215">
        <f>SUBTOTAL(109,Opv.kohd.[Kohdentamat-tomat 2])</f>
        <v>0</v>
      </c>
      <c r="S176" s="215">
        <f>SUBTOTAL(109,Opv.kohd.[Kohdentamaton työvoima-koulutus 2])</f>
        <v>0</v>
      </c>
      <c r="T176" s="215">
        <f>SUBTOTAL(109,Opv.kohd.[Maahan-muuttajien koulutus 2])</f>
        <v>0</v>
      </c>
      <c r="U176" s="215">
        <f>SUBTOTAL(109,Opv.kohd.[Lisätalousarvioiden perusteella jaetut 2])</f>
        <v>0</v>
      </c>
      <c r="V176" s="215">
        <f>SUBTOTAL(109,Opv.kohd.[Toteutuneet opiskelijavuodet yhteensä 2])</f>
        <v>0</v>
      </c>
      <c r="W176" s="215">
        <f>SUBTOTAL(109,Opv.kohd.[Kohdentamat-tomat 3])</f>
        <v>0</v>
      </c>
      <c r="X176" s="215">
        <f>SUBTOTAL(109,Opv.kohd.[Työvoima-koulutus 3])</f>
        <v>0</v>
      </c>
      <c r="Y176" s="215">
        <f>SUBTOTAL(109,Opv.kohd.[Maahan-muuttajien koulutus 3])</f>
        <v>0</v>
      </c>
      <c r="Z176" s="215">
        <f>SUBTOTAL(109,Opv.kohd.[Lisätalousarvioiden perusteella jaetut 3])</f>
        <v>0</v>
      </c>
      <c r="AA176" s="215">
        <f>SUBTOTAL(109,Opv.kohd.[Erotus yhteensä 3])</f>
        <v>0</v>
      </c>
      <c r="AB176" s="215">
        <f>SUBTOTAL(109,Opv.kohd.[Järjestämisluvan mukaiset 4])</f>
        <v>0</v>
      </c>
      <c r="AC176" s="215">
        <f>SUBTOTAL(109,Opv.kohd.[Kohdentamat-tomat 4])</f>
        <v>0</v>
      </c>
      <c r="AD176" s="215">
        <f>SUBTOTAL(109,Opv.kohd.[Työvoima-koulutus 4])</f>
        <v>0</v>
      </c>
      <c r="AE176" s="215">
        <f>SUBTOTAL(109,Opv.kohd.[Maahan-muuttajien koulutus 4])</f>
        <v>0</v>
      </c>
      <c r="AF176" s="215">
        <f>SUBTOTAL(109,Opv.kohd.[Nuorisotyöt. väh. ja osaamistarp. vast., muu kuin työvoima-koulutus 4])</f>
        <v>0</v>
      </c>
      <c r="AG176" s="215">
        <f>SUBTOTAL(109,Opv.kohd.[Nuorisotyöt. väh. ja osaamistarp. vast., työvoima-koulutus 4])</f>
        <v>0</v>
      </c>
      <c r="AH176" s="215">
        <f>SUBTOTAL(109,Opv.kohd.[Yhteensä 4])</f>
        <v>0</v>
      </c>
      <c r="AI176" s="215">
        <f>SUBTOTAL(109,Opv.kohd.[Ensikertaisella suoritepäätöksellä jaetut tavoitteelliset opiskelijavuodet yhteensä 4])</f>
        <v>0</v>
      </c>
      <c r="AJ176" s="215">
        <f>SUBTOTAL(109,Opv.kohd.[Järjestämisluvan mukaiset 5])</f>
        <v>0</v>
      </c>
      <c r="AK176" s="215">
        <f>SUBTOTAL(109,Opv.kohd.[Kohdentamat-tomat 5])</f>
        <v>0</v>
      </c>
      <c r="AL176" s="215">
        <f>SUBTOTAL(109,Opv.kohd.[Työvoima-koulutus 5])</f>
        <v>0</v>
      </c>
      <c r="AM176" s="215">
        <f>SUBTOTAL(109,Opv.kohd.[Maahan-muuttajien koulutus 5])</f>
        <v>0</v>
      </c>
      <c r="AN176" s="215">
        <f>SUBTOTAL(109,Opv.kohd.[Nuorisotyöt. väh. ja osaamistarp. vast., muu kuin työvoima-koulutus 5])</f>
        <v>0</v>
      </c>
      <c r="AO176" s="215">
        <f>SUBTOTAL(109,Opv.kohd.[Nuorisotyöt. väh. ja osaamistarp. vast., työvoima-koulutus 5])</f>
        <v>0</v>
      </c>
      <c r="AP176" s="215">
        <f>SUBTOTAL(109,Opv.kohd.[Yhteensä 5])</f>
        <v>0</v>
      </c>
      <c r="AQ176" s="215">
        <f>SUBTOTAL(109,Opv.kohd.[Ensikertaisella suoritepäätöksellä jaetut tavoitteelliset opiskelijavuodet yhteensä 5])</f>
        <v>0</v>
      </c>
      <c r="AR176" s="216">
        <f>IFERROR(Opv.kohd.[[#Totals],[Järjestämisluvan mukaiset 5]]/Opv.kohd.[[#Totals],[Järjestämisluvan mukaiset 4]],0)</f>
        <v>0</v>
      </c>
      <c r="AS176" s="216">
        <f>IFERROR(Opv.kohd.[[#Totals],[Kohdentamat-tomat 5]]/Opv.kohd.[[#Totals],[Kohdentamat-tomat 4]],0)</f>
        <v>0</v>
      </c>
      <c r="AT176" s="216">
        <f>IFERROR(Opv.kohd.[[#Totals],[Työvoima-koulutus 5]]/Opv.kohd.[[#Totals],[Työvoima-koulutus 4]],0)</f>
        <v>0</v>
      </c>
      <c r="AU176" s="216">
        <f>IFERROR(Opv.kohd.[[#Totals],[Maahan-muuttajien koulutus 5]]/Opv.kohd.[[#Totals],[Maahan-muuttajien koulutus 4]],0)</f>
        <v>0</v>
      </c>
      <c r="AV176" s="216">
        <f>IFERROR(Opv.kohd.[[#Totals],[Nuorisotyöt. väh. ja osaamistarp. vast., muu kuin työvoima-koulutus 5]]/Opv.kohd.[[#Totals],[Nuorisotyöt. väh. ja osaamistarp. vast., muu kuin työvoima-koulutus 4]],0)</f>
        <v>0</v>
      </c>
      <c r="AW176" s="216">
        <f>IFERROR(Opv.kohd.[[#Totals],[Nuorisotyöt. väh. ja osaamistarp. vast., työvoima-koulutus 5]]/Opv.kohd.[[#Totals],[Nuorisotyöt. väh. ja osaamistarp. vast., työvoima-koulutus 4]],0)</f>
        <v>0</v>
      </c>
      <c r="AX176" s="216">
        <f>IFERROR(Opv.kohd.[[#Totals],[Yhteensä 5]]/Opv.kohd.[[#Totals],[Yhteensä 4]],0)</f>
        <v>0</v>
      </c>
      <c r="AY176" s="216">
        <f>IFERROR(Opv.kohd.[[#Totals],[Ensikertaisella suoritepäätöksellä jaetut tavoitteelliset opiskelijavuodet yhteensä 5]]/Opv.kohd.[[#Totals],[Ensikertaisella suoritepäätöksellä jaetut tavoitteelliset opiskelijavuodet yhteensä 4]],0)</f>
        <v>0</v>
      </c>
      <c r="AZ176" s="215">
        <f>SUBTOTAL(109,Opv.kohd.[Muu kuin työvoima-koulutus 7a])</f>
        <v>0</v>
      </c>
      <c r="BA176" s="215">
        <f>SUBTOTAL(109,Opv.kohd.[Työvoima-koulutus 7a])</f>
        <v>0</v>
      </c>
      <c r="BB176" s="215">
        <f>SUBTOTAL(109,Opv.kohd.[Yhteensä 7a])</f>
        <v>0</v>
      </c>
      <c r="BC176" s="215">
        <f>SUBTOTAL(109,Opv.kohd.[Muu kuin työvoima-koulutus 7b])</f>
        <v>0</v>
      </c>
      <c r="BD176" s="215">
        <f>SUBTOTAL(109,Opv.kohd.[Työvoima-koulutus 7b])</f>
        <v>0</v>
      </c>
      <c r="BE176" s="215">
        <f>SUBTOTAL(109,Opv.kohd.[Yhteensä 7b])</f>
        <v>0</v>
      </c>
      <c r="BF176" s="215">
        <f>SUBTOTAL(109,Opv.kohd.[Muu kuin työvoima-koulutus 7c])</f>
        <v>0</v>
      </c>
      <c r="BG176" s="215">
        <f>SUBTOTAL(109,Opv.kohd.[Työvoima-koulutus 7c])</f>
        <v>0</v>
      </c>
      <c r="BH176" s="215">
        <f>SUBTOTAL(109,Opv.kohd.[Yhteensä 7c])</f>
        <v>0</v>
      </c>
      <c r="BI176" s="215">
        <f>SUBTOTAL(109,Opv.kohd.[Muu kuin työvoima-koulutus 7d])</f>
        <v>0</v>
      </c>
      <c r="BJ176" s="215">
        <f>SUBTOTAL(109,Opv.kohd.[Työvoima-koulutus 7d])</f>
        <v>0</v>
      </c>
      <c r="BK176" s="215">
        <f>SUBTOTAL(109,Opv.kohd.[Yhteensä 7d])</f>
        <v>0</v>
      </c>
      <c r="BL176" s="215">
        <f>SUBTOTAL(109,Opv.kohd.[Muu kuin työvoima-koulutus 7e])</f>
        <v>0</v>
      </c>
      <c r="BM176" s="215">
        <f>SUBTOTAL(109,Opv.kohd.[Työvoima-koulutus 7e])</f>
        <v>0</v>
      </c>
      <c r="BN176" s="215">
        <f>SUBTOTAL(109,Opv.kohd.[Yhteensä 7e])</f>
        <v>0</v>
      </c>
      <c r="BO176" s="215">
        <f>SUBTOTAL(109,Opv.kohd.[Muu kuin työvoima-koulutus3 8])</f>
        <v>0</v>
      </c>
      <c r="BP176" s="215">
        <f>SUBTOTAL(109,Opv.kohd.[Työvoima-koulutus 8])</f>
        <v>0</v>
      </c>
      <c r="BQ176" s="215">
        <f>SUBTOTAL(109,Opv.kohd.[Erotus yhteensä 8])</f>
        <v>0</v>
      </c>
      <c r="BR176" s="215">
        <f>SUBTOTAL(109,Opv.kohd.[Järjestämisluvan mukaiset 9])</f>
        <v>159335</v>
      </c>
      <c r="BS176" s="215">
        <f>SUBTOTAL(109,Opv.kohd.[Kohdentamat-tomat 9])</f>
        <v>11239</v>
      </c>
      <c r="BT176" s="215">
        <f>SUBTOTAL(109,Opv.kohd.[Työvoima-koulutus 9])</f>
        <v>9035</v>
      </c>
      <c r="BU176" s="215">
        <f>SUBTOTAL(109,Opv.kohd.[Maahan-muuttajien koulutus 9])</f>
        <v>2979</v>
      </c>
      <c r="BV176" s="215">
        <f>SUBTOTAL(109,Opv.kohd.[Nuorisotyöt. väh. ja osaamistarp. vast., muu kuin työvoima-koulutus 9])</f>
        <v>749</v>
      </c>
      <c r="BW176" s="215">
        <f>SUBTOTAL(109,Opv.kohd.[Nuorisotyöt. väh. ja osaamistarp. vast., työvoima-koulutus 9])</f>
        <v>675</v>
      </c>
      <c r="BX176" s="215">
        <f>SUBTOTAL(109,Opv.kohd.[Yhteensä 9])</f>
        <v>24712</v>
      </c>
      <c r="BY176" s="215">
        <f>SUBTOTAL(109,Opv.kohd.[Tavoitteelliset opiskelijavuodet yhteensä 9])</f>
        <v>184012</v>
      </c>
      <c r="BZ176" s="215">
        <f>SUBTOTAL(109,Opv.kohd.[Järjestämisluvan mukaiset 10])</f>
        <v>159335</v>
      </c>
      <c r="CA176" s="215">
        <f>SUBTOTAL(109,Opv.kohd.[Kohdentamat-tomat 10])</f>
        <v>11239</v>
      </c>
      <c r="CB176" s="215">
        <f>SUBTOTAL(109,Opv.kohd.[Työvoima-koulutus 10])</f>
        <v>9035</v>
      </c>
      <c r="CC176" s="215">
        <f>SUBTOTAL(109,Opv.kohd.[Maahan-muuttajien koulutus 10])</f>
        <v>2979</v>
      </c>
      <c r="CD176" s="215">
        <f>SUBTOTAL(109,Opv.kohd.[Nuorisotyöt. väh. ja osaamistarp. vast., muu kuin työvoima-koulutus 10])</f>
        <v>749</v>
      </c>
      <c r="CE176" s="215">
        <f>SUBTOTAL(109,Opv.kohd.[Nuorisotyöt. väh. ja osaamistarp. vast., työvoima-koulutus 10])</f>
        <v>675</v>
      </c>
      <c r="CF176" s="215">
        <f>SUBTOTAL(109,Opv.kohd.[Yhteensä 10])</f>
        <v>24712</v>
      </c>
      <c r="CG176" s="215">
        <f>SUBTOTAL(109,Opv.kohd.[Tavoitteelliset opiskelijavuodet yhteensä 10])</f>
        <v>184012</v>
      </c>
      <c r="CH176" s="215">
        <f>SUBTOTAL(109,Opv.kohd.[Muu kuin työvoima-koulutus 11])</f>
        <v>174302</v>
      </c>
      <c r="CI176" s="215">
        <f>SUBTOTAL(109,Opv.kohd.[Työvoima-koulutus 11])</f>
        <v>9710</v>
      </c>
      <c r="CJ176" s="215">
        <f>SUBTOTAL(109,Opv.kohd.[Yhteensä 11])</f>
        <v>184012</v>
      </c>
      <c r="CK176" s="215">
        <f>SUBTOTAL(109,Opv.kohd.[Järjestämisluvan mukaiset 12])</f>
        <v>0</v>
      </c>
      <c r="CL176" s="215">
        <f>SUBTOTAL(109,Opv.kohd.[Kohdentamat-tomat 12])</f>
        <v>0</v>
      </c>
      <c r="CM176" s="215">
        <f>SUBTOTAL(109,Opv.kohd.[Työvoima-koulutus 12])</f>
        <v>0</v>
      </c>
      <c r="CN176" s="215">
        <f>SUBTOTAL(109,Opv.kohd.[Maahan-muuttajien koulutus 12])</f>
        <v>0</v>
      </c>
      <c r="CO176" s="215">
        <f>SUBTOTAL(109,Opv.kohd.[Nuorisotyöt. väh. ja osaamistarp. vast., muu kuin työvoima-koulutus 12])</f>
        <v>0</v>
      </c>
      <c r="CP176" s="215">
        <f>SUBTOTAL(109,Opv.kohd.[Nuorisotyöt. väh. ja osaamistarp. vast., työvoima-koulutus 12])</f>
        <v>0</v>
      </c>
      <c r="CQ176" s="215">
        <f>SUBTOTAL(109,Opv.kohd.[Yhteensä 12])</f>
        <v>0</v>
      </c>
      <c r="CR176" s="215">
        <f>SUBTOTAL(109,Opv.kohd.[Tavoitteelliset opiskelijavuodet yhteensä 12])</f>
        <v>0</v>
      </c>
      <c r="CS176" s="215">
        <f>SUBTOTAL(109,Opv.kohd.[Järjestämisluvan mukaiset 13])</f>
        <v>0</v>
      </c>
      <c r="CT176" s="215">
        <f>SUBTOTAL(109,Opv.kohd.[Kohdentamat-tomat 13])</f>
        <v>0</v>
      </c>
      <c r="CU176" s="215">
        <f>SUBTOTAL(109,Opv.kohd.[Työvoima-koulutus 13])</f>
        <v>0</v>
      </c>
      <c r="CV176" s="215">
        <f>SUBTOTAL(109,Opv.kohd.[Maahan-muuttajien koulutus 13])</f>
        <v>0</v>
      </c>
      <c r="CW176" s="215">
        <f>SUBTOTAL(109,Opv.kohd.[Nuorisotyöt. väh. ja osaamistarp. vast., muu kuin työvoima-koulutus 13])</f>
        <v>0</v>
      </c>
      <c r="CX176" s="215">
        <f>SUBTOTAL(109,Opv.kohd.[Nuorisotyöt. väh. ja osaamistarp. vast., työvoima-koulutus 13])</f>
        <v>0</v>
      </c>
      <c r="CY176" s="215">
        <f>SUBTOTAL(109,Opv.kohd.[Yhteensä 13])</f>
        <v>0</v>
      </c>
      <c r="CZ176" s="215">
        <f>SUBTOTAL(109,Opv.kohd.[Tavoitteelliset opiskelijavuodet yhteensä 13])</f>
        <v>0</v>
      </c>
      <c r="DA176" s="216">
        <f>IFERROR(Opv.kohd.[[#Totals],[Järjestämisluvan mukaiset 13]]/Opv.kohd.[[#Totals],[Järjestämisluvan mukaiset 12]],0)</f>
        <v>0</v>
      </c>
      <c r="DB176" s="216">
        <f>IFERROR(Opv.kohd.[[#Totals],[Kohdentamat-tomat 13]]/Opv.kohd.[[#Totals],[Kohdentamat-tomat 12]],0)</f>
        <v>0</v>
      </c>
      <c r="DC176" s="216">
        <f>IFERROR(Opv.kohd.[[#Totals],[Työvoima-koulutus 13]]/Opv.kohd.[[#Totals],[Työvoima-koulutus 12]],0)</f>
        <v>0</v>
      </c>
      <c r="DD176" s="216">
        <f>IFERROR(Opv.kohd.[[#Totals],[Maahan-muuttajien koulutus 13]]/Opv.kohd.[[#Totals],[Maahan-muuttajien koulutus 12]],0)</f>
        <v>0</v>
      </c>
      <c r="DE176" s="216">
        <f>IFERROR(Opv.kohd.[[#Totals],[Nuorisotyöt. väh. ja osaamistarp. vast., muu kuin työvoima-koulutus 13]]/Opv.kohd.[[#Totals],[Nuorisotyöt. väh. ja osaamistarp. vast., muu kuin työvoima-koulutus 12]],0)</f>
        <v>0</v>
      </c>
      <c r="DF176" s="216">
        <f>IFERROR(Opv.kohd.[[#Totals],[Nuorisotyöt. väh. ja osaamistarp. vast., työvoima-koulutus 13]]/Opv.kohd.[[#Totals],[Nuorisotyöt. väh. ja osaamistarp. vast., työvoima-koulutus 12]],0)</f>
        <v>0</v>
      </c>
      <c r="DG176" s="216">
        <f>IFERROR(Opv.kohd.[[#Totals],[Yhteensä 13]]/Opv.kohd.[[#Totals],[Yhteensä 12]],0)</f>
        <v>0</v>
      </c>
      <c r="DH176" s="216">
        <f>IFERROR(Opv.kohd.[[#Totals],[Tavoitteelliset opiskelijavuodet yhteensä 13]]/Opv.kohd.[[#Totals],[Tavoitteelliset opiskelijavuodet yhteensä 12]],0)</f>
        <v>0</v>
      </c>
      <c r="DI176" s="215">
        <f>SUBTOTAL(109,Opv.kohd.[Järjestämisluvan mukaiset 15])</f>
        <v>-159335</v>
      </c>
      <c r="DJ176" s="215">
        <f>SUBTOTAL(109,Opv.kohd.[Kohdentamat-tomat 15])</f>
        <v>-11239</v>
      </c>
      <c r="DK176" s="215">
        <f>SUBTOTAL(109,Opv.kohd.[Työvoima-koulutus 15])</f>
        <v>-9035</v>
      </c>
      <c r="DL176" s="215">
        <f>SUBTOTAL(109,Opv.kohd.[Maahan-muuttajien koulutus 15])</f>
        <v>-2979</v>
      </c>
      <c r="DM176" s="215">
        <f>SUBTOTAL(109,Opv.kohd.[Nuorisotyöt. väh. ja osaamistarp. vast., muu kuin työvoima-koulutus 15])</f>
        <v>-749</v>
      </c>
      <c r="DN176" s="215">
        <f>SUBTOTAL(109,Opv.kohd.[Nuorisotyöt. väh. ja osaamistarp. vast., työvoima-koulutus 15])</f>
        <v>-675</v>
      </c>
      <c r="DO176" s="215">
        <f>SUBTOTAL(109,Opv.kohd.[Yhteensä 15])</f>
        <v>-24712</v>
      </c>
      <c r="DP176" s="215">
        <f>SUBTOTAL(109,Opv.kohd.[Tavoitteelliset opiskelijavuodet yhteensä 15])</f>
        <v>-184012</v>
      </c>
      <c r="DQ176" s="216">
        <f>IFERROR(Opv.kohd.[[#Totals],[Järjestämisluvan mukaiset 15]]/Opv.kohd.[[#Totals],[Järjestämisluvan mukaiset 9]],0)</f>
        <v>-1</v>
      </c>
      <c r="DR176" s="216">
        <f>IFERROR(Opv.kohd.[[#Totals],[Kohdentamat-tomat 15]]/Opv.kohd.[[#Totals],[Kohdentamat-tomat 9]],0)</f>
        <v>-1</v>
      </c>
      <c r="DS176" s="216">
        <f>IFERROR(Opv.kohd.[[#Totals],[Työvoima-koulutus 15]]/Opv.kohd.[[#Totals],[Työvoima-koulutus 9]],0)</f>
        <v>-1</v>
      </c>
      <c r="DT176" s="216">
        <f>IFERROR(Opv.kohd.[[#Totals],[Maahan-muuttajien koulutus 15]]/Opv.kohd.[[#Totals],[Maahan-muuttajien koulutus 9]],0)</f>
        <v>-1</v>
      </c>
      <c r="DU176" s="216">
        <f>IFERROR(Opv.kohd.[[#Totals],[Nuorisotyöt. väh. ja osaamistarp. vast., muu kuin työvoima-koulutus 15]]/Opv.kohd.[[#Totals],[Nuorisotyöt. väh. ja osaamistarp. vast., muu kuin työvoima-koulutus 9]],0)</f>
        <v>-1</v>
      </c>
      <c r="DV176" s="216">
        <f>IFERROR(Opv.kohd.[[#Totals],[Nuorisotyöt. väh. ja osaamistarp. vast., työvoima-koulutus 15]]/Opv.kohd.[[#Totals],[Nuorisotyöt. väh. ja osaamistarp. vast., työvoima-koulutus 9]],0)</f>
        <v>-1</v>
      </c>
      <c r="DW176" s="216">
        <f>IFERROR(Opv.kohd.[[#Totals],[Yhteensä 15]]/Opv.kohd.[[#Totals],[Yhteensä 9]],0)</f>
        <v>-1</v>
      </c>
      <c r="DX176" s="216">
        <f>IFERROR(Opv.kohd.[[#Totals],[Tavoitteelliset opiskelijavuodet yhteensä 15]]/Opv.kohd.[[#Totals],[Tavoitteelliset opiskelijavuodet yhteensä 9]],0)</f>
        <v>-1</v>
      </c>
    </row>
  </sheetData>
  <mergeCells count="37">
    <mergeCell ref="DB3:DG3"/>
    <mergeCell ref="DJ3:DO3"/>
    <mergeCell ref="DR3:DW3"/>
    <mergeCell ref="DQ2:DX2"/>
    <mergeCell ref="M3:P3"/>
    <mergeCell ref="AC3:AH3"/>
    <mergeCell ref="AK3:AP3"/>
    <mergeCell ref="AS3:AX3"/>
    <mergeCell ref="AZ3:BB3"/>
    <mergeCell ref="BC3:BE3"/>
    <mergeCell ref="BF3:BH3"/>
    <mergeCell ref="BI3:BK3"/>
    <mergeCell ref="BL3:BN3"/>
    <mergeCell ref="BO3:BQ3"/>
    <mergeCell ref="BS3:BX3"/>
    <mergeCell ref="CA3:CF3"/>
    <mergeCell ref="A1:B1"/>
    <mergeCell ref="A2:B2"/>
    <mergeCell ref="E2:Q2"/>
    <mergeCell ref="R2:V2"/>
    <mergeCell ref="W2:AA2"/>
    <mergeCell ref="CK2:CR2"/>
    <mergeCell ref="CS2:CZ2"/>
    <mergeCell ref="DA2:DH2"/>
    <mergeCell ref="DI2:DP2"/>
    <mergeCell ref="F3:K3"/>
    <mergeCell ref="AZ2:BN2"/>
    <mergeCell ref="CH3:CJ3"/>
    <mergeCell ref="CL3:CQ3"/>
    <mergeCell ref="CT3:CY3"/>
    <mergeCell ref="AB2:AI2"/>
    <mergeCell ref="AJ2:AQ2"/>
    <mergeCell ref="AR2:AY2"/>
    <mergeCell ref="BO2:BQ2"/>
    <mergeCell ref="BR2:BY2"/>
    <mergeCell ref="BZ2:CG2"/>
    <mergeCell ref="CH2:CJ2"/>
  </mergeCells>
  <pageMargins left="0.7" right="0.7" top="0.75" bottom="0.75" header="0.3" footer="0.3"/>
  <pageSetup paperSize="9" orientation="portrait"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Q155"/>
  <sheetViews>
    <sheetView zoomScale="90" zoomScaleNormal="90" workbookViewId="0">
      <pane xSplit="2" ySplit="4" topLeftCell="C5" activePane="bottomRight" state="frozen"/>
      <selection pane="topRight" activeCell="C1" sqref="C1"/>
      <selection pane="bottomLeft" activeCell="A5" sqref="A5"/>
      <selection pane="bottomRight"/>
    </sheetView>
  </sheetViews>
  <sheetFormatPr defaultRowHeight="15" x14ac:dyDescent="0.25"/>
  <cols>
    <col min="1" max="1" width="11.7109375" customWidth="1"/>
    <col min="2" max="2" width="45.7109375" customWidth="1"/>
    <col min="3" max="16" width="16.85546875" customWidth="1"/>
    <col min="17" max="17" width="13.42578125" customWidth="1"/>
  </cols>
  <sheetData>
    <row r="1" spans="1:17" ht="19.5" x14ac:dyDescent="0.3">
      <c r="A1" s="8" t="s">
        <v>856</v>
      </c>
      <c r="B1" s="8"/>
      <c r="C1" s="3"/>
      <c r="D1" s="3"/>
      <c r="E1" s="3"/>
      <c r="F1" s="3"/>
      <c r="G1" s="3"/>
      <c r="H1" s="3"/>
      <c r="I1" s="3"/>
      <c r="J1" s="3"/>
      <c r="K1" s="3"/>
      <c r="L1" s="3"/>
      <c r="M1" s="3"/>
      <c r="N1" s="3"/>
      <c r="O1" s="3"/>
      <c r="P1" s="3"/>
    </row>
    <row r="2" spans="1:17" ht="15.75" x14ac:dyDescent="0.25">
      <c r="A2" s="5" t="s">
        <v>460</v>
      </c>
      <c r="B2" s="5"/>
      <c r="C2" s="3"/>
      <c r="D2" s="3"/>
      <c r="E2" s="3"/>
      <c r="F2" s="3"/>
      <c r="G2" s="3"/>
      <c r="H2" s="3"/>
      <c r="I2" s="3"/>
      <c r="J2" s="3"/>
      <c r="K2" s="3"/>
      <c r="L2" s="3"/>
      <c r="M2" s="3"/>
      <c r="N2" s="3"/>
      <c r="O2" s="3"/>
      <c r="P2" s="3"/>
    </row>
    <row r="3" spans="1:17" x14ac:dyDescent="0.25">
      <c r="A3" s="15" t="s">
        <v>857</v>
      </c>
      <c r="B3" s="105"/>
      <c r="C3" s="3"/>
      <c r="D3" s="3"/>
      <c r="E3" s="3"/>
      <c r="F3" s="3"/>
      <c r="G3" s="3"/>
      <c r="H3" s="3"/>
      <c r="I3" s="3"/>
      <c r="J3" s="3"/>
      <c r="K3" s="3"/>
      <c r="L3" s="3"/>
      <c r="M3" s="3"/>
      <c r="N3" s="3"/>
      <c r="O3" s="3"/>
      <c r="P3" s="3"/>
    </row>
    <row r="4" spans="1:17" ht="96" customHeight="1" x14ac:dyDescent="0.25">
      <c r="A4" s="47" t="s">
        <v>12</v>
      </c>
      <c r="B4" s="47"/>
      <c r="C4" s="47" t="s">
        <v>453</v>
      </c>
      <c r="D4" s="47" t="s">
        <v>454</v>
      </c>
      <c r="E4" s="47" t="s">
        <v>455</v>
      </c>
      <c r="F4" s="47" t="s">
        <v>157</v>
      </c>
      <c r="G4" s="47" t="s">
        <v>158</v>
      </c>
      <c r="H4" s="47" t="s">
        <v>159</v>
      </c>
      <c r="I4" s="47" t="s">
        <v>160</v>
      </c>
      <c r="J4" s="47" t="s">
        <v>161</v>
      </c>
      <c r="K4" s="47" t="s">
        <v>162</v>
      </c>
      <c r="L4" s="47" t="s">
        <v>163</v>
      </c>
      <c r="M4" s="47" t="s">
        <v>164</v>
      </c>
      <c r="N4" s="47" t="s">
        <v>165</v>
      </c>
      <c r="O4" s="47" t="s">
        <v>166</v>
      </c>
      <c r="P4" s="47" t="s">
        <v>167</v>
      </c>
      <c r="Q4" s="47" t="s">
        <v>168</v>
      </c>
    </row>
    <row r="5" spans="1:17" ht="15" customHeight="1" x14ac:dyDescent="0.25">
      <c r="A5" s="104" t="s">
        <v>363</v>
      </c>
      <c r="B5" s="131" t="str">
        <f>VLOOKUP(A5,'0 Järjestäjätiedot'!A:H,2,FALSE)</f>
        <v>Kellosepäntaidon Edistämissäätiö sr</v>
      </c>
      <c r="C5" s="304">
        <v>93.941095890410594</v>
      </c>
      <c r="D5" s="304">
        <v>77.8410958904106</v>
      </c>
      <c r="E5" s="304">
        <v>16.100000000000001</v>
      </c>
      <c r="F5" s="304">
        <v>80.110356164383305</v>
      </c>
      <c r="G5" s="304"/>
      <c r="H5" s="304"/>
      <c r="I5" s="304"/>
      <c r="J5" s="304">
        <v>13.846</v>
      </c>
      <c r="K5" s="304"/>
      <c r="L5" s="304"/>
      <c r="M5" s="304"/>
      <c r="N5" s="304"/>
      <c r="O5" s="304"/>
      <c r="P5" s="304">
        <v>93.956356164383308</v>
      </c>
      <c r="Q5" s="305">
        <v>1.0001624451346673</v>
      </c>
    </row>
    <row r="6" spans="1:17" ht="15" customHeight="1" x14ac:dyDescent="0.25">
      <c r="A6" s="104" t="s">
        <v>396</v>
      </c>
      <c r="B6" s="131" t="str">
        <f>VLOOKUP(A6,'0 Järjestäjätiedot'!A:H,2,FALSE)</f>
        <v>Finnair Oyj</v>
      </c>
      <c r="C6" s="304">
        <v>243</v>
      </c>
      <c r="D6" s="304"/>
      <c r="E6" s="304">
        <v>243</v>
      </c>
      <c r="F6" s="304"/>
      <c r="G6" s="304"/>
      <c r="H6" s="304"/>
      <c r="I6" s="304"/>
      <c r="J6" s="304">
        <v>208.98</v>
      </c>
      <c r="K6" s="304"/>
      <c r="L6" s="304"/>
      <c r="M6" s="304">
        <v>-104.49</v>
      </c>
      <c r="N6" s="304"/>
      <c r="O6" s="304"/>
      <c r="P6" s="304">
        <v>104.49</v>
      </c>
      <c r="Q6" s="305">
        <v>0.43</v>
      </c>
    </row>
    <row r="7" spans="1:17" ht="15" customHeight="1" x14ac:dyDescent="0.25">
      <c r="A7" s="104" t="s">
        <v>323</v>
      </c>
      <c r="B7" s="131" t="str">
        <f>VLOOKUP(A7,'0 Järjestäjätiedot'!A:H,2,FALSE)</f>
        <v>Nokia Oyj</v>
      </c>
      <c r="C7" s="304">
        <v>92</v>
      </c>
      <c r="D7" s="304"/>
      <c r="E7" s="304">
        <v>92</v>
      </c>
      <c r="F7" s="304"/>
      <c r="G7" s="304"/>
      <c r="H7" s="304"/>
      <c r="I7" s="304"/>
      <c r="J7" s="304">
        <v>79.12</v>
      </c>
      <c r="K7" s="304"/>
      <c r="L7" s="304"/>
      <c r="M7" s="304">
        <v>-39.56</v>
      </c>
      <c r="N7" s="304"/>
      <c r="O7" s="304"/>
      <c r="P7" s="304">
        <v>39.56</v>
      </c>
      <c r="Q7" s="305">
        <v>0.43000000000000005</v>
      </c>
    </row>
    <row r="8" spans="1:17" ht="15" customHeight="1" x14ac:dyDescent="0.25">
      <c r="A8" s="104" t="s">
        <v>286</v>
      </c>
      <c r="B8" s="131" t="str">
        <f>VLOOKUP(A8,'0 Järjestäjätiedot'!A:H,2,FALSE)</f>
        <v>Suomen kansallisooppera ja -baletti sr</v>
      </c>
      <c r="C8" s="304">
        <v>24.12328767123276</v>
      </c>
      <c r="D8" s="304">
        <v>24.12328767123276</v>
      </c>
      <c r="E8" s="304"/>
      <c r="F8" s="304">
        <v>29.671643835616269</v>
      </c>
      <c r="G8" s="304"/>
      <c r="H8" s="304"/>
      <c r="I8" s="304"/>
      <c r="J8" s="304"/>
      <c r="K8" s="304"/>
      <c r="L8" s="304"/>
      <c r="M8" s="304"/>
      <c r="N8" s="304"/>
      <c r="O8" s="304"/>
      <c r="P8" s="304">
        <v>29.671643835616269</v>
      </c>
      <c r="Q8" s="305">
        <v>1.2299999999999989</v>
      </c>
    </row>
    <row r="9" spans="1:17" ht="15" customHeight="1" x14ac:dyDescent="0.25">
      <c r="A9" s="104" t="s">
        <v>251</v>
      </c>
      <c r="B9" s="131" t="str">
        <f>VLOOKUP(A9,'0 Järjestäjätiedot'!A:H,2,FALSE)</f>
        <v>Vantaan kaupunki</v>
      </c>
      <c r="C9" s="304">
        <v>3466.0164383561651</v>
      </c>
      <c r="D9" s="304">
        <v>3466.0164383561651</v>
      </c>
      <c r="E9" s="304"/>
      <c r="F9" s="304">
        <v>3158.6870410958827</v>
      </c>
      <c r="G9" s="304">
        <v>317.78990657533421</v>
      </c>
      <c r="H9" s="304">
        <v>79.388794520547435</v>
      </c>
      <c r="I9" s="304">
        <v>1.5297534246575286</v>
      </c>
      <c r="J9" s="304"/>
      <c r="K9" s="304">
        <v>80.357424657533784</v>
      </c>
      <c r="L9" s="304"/>
      <c r="M9" s="304"/>
      <c r="N9" s="304">
        <v>3.6422845890410716</v>
      </c>
      <c r="O9" s="304"/>
      <c r="P9" s="304">
        <v>3641.3952048630435</v>
      </c>
      <c r="Q9" s="305">
        <v>1.0505995195423898</v>
      </c>
    </row>
    <row r="10" spans="1:17" ht="15" customHeight="1" x14ac:dyDescent="0.25">
      <c r="A10" s="104" t="s">
        <v>358</v>
      </c>
      <c r="B10" s="131" t="str">
        <f>VLOOKUP(A10,'0 Järjestäjätiedot'!A:H,2,FALSE)</f>
        <v>Kisakalliosäätiö sr</v>
      </c>
      <c r="C10" s="304">
        <v>117.92273972602651</v>
      </c>
      <c r="D10" s="304">
        <v>117.92273972602651</v>
      </c>
      <c r="E10" s="304"/>
      <c r="F10" s="304">
        <v>154.3549972602726</v>
      </c>
      <c r="G10" s="304">
        <v>15.837461260273868</v>
      </c>
      <c r="H10" s="304"/>
      <c r="I10" s="304"/>
      <c r="J10" s="304"/>
      <c r="K10" s="304">
        <v>1.9493150684931362</v>
      </c>
      <c r="L10" s="304">
        <v>35.643041095890212</v>
      </c>
      <c r="M10" s="304"/>
      <c r="N10" s="304"/>
      <c r="O10" s="304"/>
      <c r="P10" s="304">
        <v>207.78481468493015</v>
      </c>
      <c r="Q10" s="305">
        <v>1.7620419536357699</v>
      </c>
    </row>
    <row r="11" spans="1:17" ht="15" customHeight="1" x14ac:dyDescent="0.25">
      <c r="A11" s="104" t="s">
        <v>295</v>
      </c>
      <c r="B11" s="131" t="str">
        <f>VLOOKUP(A11,'0 Järjestäjätiedot'!A:H,2,FALSE)</f>
        <v>Salon Seudun Koulutuskuntayhtymä</v>
      </c>
      <c r="C11" s="304">
        <v>1987.3099999999542</v>
      </c>
      <c r="D11" s="304">
        <v>1959.5699999999542</v>
      </c>
      <c r="E11" s="304">
        <v>27.74</v>
      </c>
      <c r="F11" s="304">
        <v>1684.4737589040722</v>
      </c>
      <c r="G11" s="304">
        <v>209.87138775342197</v>
      </c>
      <c r="H11" s="304">
        <v>41.813260273972332</v>
      </c>
      <c r="I11" s="304">
        <v>6.0958356164383058</v>
      </c>
      <c r="J11" s="304">
        <v>23.856400000000001</v>
      </c>
      <c r="K11" s="304">
        <v>158.30646575342413</v>
      </c>
      <c r="L11" s="304"/>
      <c r="M11" s="304"/>
      <c r="N11" s="304">
        <v>0.66193753424657231</v>
      </c>
      <c r="O11" s="304"/>
      <c r="P11" s="304">
        <v>2125.0790458355668</v>
      </c>
      <c r="Q11" s="305">
        <v>1.06932438614792</v>
      </c>
    </row>
    <row r="12" spans="1:17" ht="15" customHeight="1" x14ac:dyDescent="0.25">
      <c r="A12" s="104" t="s">
        <v>266</v>
      </c>
      <c r="B12" s="131" t="str">
        <f>VLOOKUP(A12,'0 Järjestäjätiedot'!A:H,2,FALSE)</f>
        <v>Turun Aikuiskoulutussäätiö sr</v>
      </c>
      <c r="C12" s="304">
        <v>916.88684931507828</v>
      </c>
      <c r="D12" s="304">
        <v>909.18684931507823</v>
      </c>
      <c r="E12" s="304">
        <v>7.7</v>
      </c>
      <c r="F12" s="304">
        <v>409.82148493150333</v>
      </c>
      <c r="G12" s="304">
        <v>308.99438010958067</v>
      </c>
      <c r="H12" s="304">
        <v>50.705917808218913</v>
      </c>
      <c r="I12" s="304"/>
      <c r="J12" s="304">
        <v>6.6219999999999999</v>
      </c>
      <c r="K12" s="304">
        <v>0.46301369863013447</v>
      </c>
      <c r="L12" s="304"/>
      <c r="M12" s="304"/>
      <c r="N12" s="304">
        <v>12.996868698630104</v>
      </c>
      <c r="O12" s="304"/>
      <c r="P12" s="304">
        <v>789.60366524658104</v>
      </c>
      <c r="Q12" s="305">
        <v>0.86117896208940192</v>
      </c>
    </row>
    <row r="13" spans="1:17" ht="15" customHeight="1" x14ac:dyDescent="0.25">
      <c r="A13" s="104" t="s">
        <v>360</v>
      </c>
      <c r="B13" s="131" t="str">
        <f>VLOOKUP(A13,'0 Järjestäjätiedot'!A:H,2,FALSE)</f>
        <v>Kiipulasäätiö sr</v>
      </c>
      <c r="C13" s="304">
        <v>618.77753424659602</v>
      </c>
      <c r="D13" s="304">
        <v>618.77753424659602</v>
      </c>
      <c r="E13" s="304"/>
      <c r="F13" s="304">
        <v>423.83063013698234</v>
      </c>
      <c r="G13" s="304">
        <v>24.622751999999846</v>
      </c>
      <c r="H13" s="304">
        <v>220.83304109589147</v>
      </c>
      <c r="I13" s="304">
        <v>8.5256712328766664</v>
      </c>
      <c r="J13" s="304"/>
      <c r="K13" s="304">
        <v>1927.4267671232778</v>
      </c>
      <c r="L13" s="304">
        <v>366.03534246574196</v>
      </c>
      <c r="M13" s="304"/>
      <c r="N13" s="304"/>
      <c r="O13" s="304"/>
      <c r="P13" s="304">
        <v>2971.2742040548255</v>
      </c>
      <c r="Q13" s="305">
        <v>4.8018456385501338</v>
      </c>
    </row>
    <row r="14" spans="1:17" ht="15" customHeight="1" x14ac:dyDescent="0.25">
      <c r="A14" s="104" t="s">
        <v>337</v>
      </c>
      <c r="B14" s="131" t="str">
        <f>VLOOKUP(A14,'0 Järjestäjätiedot'!A:H,2,FALSE)</f>
        <v>Lahden Konservatorio Oy</v>
      </c>
      <c r="C14" s="304">
        <v>44.032876712328573</v>
      </c>
      <c r="D14" s="304">
        <v>36.232876712328576</v>
      </c>
      <c r="E14" s="304">
        <v>7.8</v>
      </c>
      <c r="F14" s="304">
        <v>57.380136986301039</v>
      </c>
      <c r="G14" s="304"/>
      <c r="H14" s="304"/>
      <c r="I14" s="304"/>
      <c r="J14" s="304">
        <v>6.7080000000000002</v>
      </c>
      <c r="K14" s="304"/>
      <c r="L14" s="304"/>
      <c r="M14" s="304"/>
      <c r="N14" s="304"/>
      <c r="O14" s="304"/>
      <c r="P14" s="304">
        <v>64.088136986301038</v>
      </c>
      <c r="Q14" s="305">
        <v>1.4554610502737675</v>
      </c>
    </row>
    <row r="15" spans="1:17" ht="15" customHeight="1" x14ac:dyDescent="0.25">
      <c r="A15" s="104" t="s">
        <v>338</v>
      </c>
      <c r="B15" s="131" t="str">
        <f>VLOOKUP(A15,'0 Järjestäjätiedot'!A:H,2,FALSE)</f>
        <v>Lahden kansanopiston säätiö sr</v>
      </c>
      <c r="C15" s="304">
        <v>21.654794520547828</v>
      </c>
      <c r="D15" s="304">
        <v>21.654794520547828</v>
      </c>
      <c r="E15" s="304"/>
      <c r="F15" s="304"/>
      <c r="G15" s="304">
        <v>16.507449863013615</v>
      </c>
      <c r="H15" s="304"/>
      <c r="I15" s="304"/>
      <c r="J15" s="304"/>
      <c r="K15" s="304"/>
      <c r="L15" s="304"/>
      <c r="M15" s="304"/>
      <c r="N15" s="304"/>
      <c r="O15" s="304"/>
      <c r="P15" s="304">
        <v>16.507449863013615</v>
      </c>
      <c r="Q15" s="305">
        <v>0.76230000000000031</v>
      </c>
    </row>
    <row r="16" spans="1:17" ht="15" customHeight="1" x14ac:dyDescent="0.25">
      <c r="A16" s="104" t="s">
        <v>408</v>
      </c>
      <c r="B16" s="131" t="str">
        <f>VLOOKUP(A16,'0 Järjestäjätiedot'!A:H,2,FALSE)</f>
        <v>Aitoon Emäntäkoulu Oy</v>
      </c>
      <c r="C16" s="304">
        <v>84.693698630136552</v>
      </c>
      <c r="D16" s="304">
        <v>84.693698630136552</v>
      </c>
      <c r="E16" s="304"/>
      <c r="F16" s="304">
        <v>45.250438356164096</v>
      </c>
      <c r="G16" s="304"/>
      <c r="H16" s="304">
        <v>56.702087671232562</v>
      </c>
      <c r="I16" s="304"/>
      <c r="J16" s="304"/>
      <c r="K16" s="304">
        <v>269.02672876712131</v>
      </c>
      <c r="L16" s="304">
        <v>91.037589041095941</v>
      </c>
      <c r="M16" s="304"/>
      <c r="N16" s="304"/>
      <c r="O16" s="304"/>
      <c r="P16" s="304">
        <v>462.016843835614</v>
      </c>
      <c r="Q16" s="305">
        <v>5.4551501623901757</v>
      </c>
    </row>
    <row r="17" spans="1:17" ht="15" customHeight="1" x14ac:dyDescent="0.25">
      <c r="A17" s="104" t="s">
        <v>314</v>
      </c>
      <c r="B17" s="131" t="str">
        <f>VLOOKUP(A17,'0 Järjestäjätiedot'!A:H,2,FALSE)</f>
        <v>Palloilu Säätiö sr</v>
      </c>
      <c r="C17" s="304">
        <v>53.01260273972585</v>
      </c>
      <c r="D17" s="304">
        <v>53.01260273972585</v>
      </c>
      <c r="E17" s="304"/>
      <c r="F17" s="304"/>
      <c r="G17" s="304">
        <v>43.792081315068266</v>
      </c>
      <c r="H17" s="304"/>
      <c r="I17" s="304"/>
      <c r="J17" s="304"/>
      <c r="K17" s="304"/>
      <c r="L17" s="304"/>
      <c r="M17" s="304"/>
      <c r="N17" s="304"/>
      <c r="O17" s="304"/>
      <c r="P17" s="304">
        <v>43.792081315068266</v>
      </c>
      <c r="Q17" s="305">
        <v>0.82606925621201321</v>
      </c>
    </row>
    <row r="18" spans="1:17" ht="15" customHeight="1" x14ac:dyDescent="0.25">
      <c r="A18" s="104" t="s">
        <v>409</v>
      </c>
      <c r="B18" s="131" t="str">
        <f>VLOOKUP(A18,'0 Järjestäjätiedot'!A:H,2,FALSE)</f>
        <v>Ahlmanin koulun Säätiö sr</v>
      </c>
      <c r="C18" s="304">
        <v>330.09890410958741</v>
      </c>
      <c r="D18" s="304">
        <v>330.09890410958741</v>
      </c>
      <c r="E18" s="304"/>
      <c r="F18" s="304">
        <v>325.03238630136639</v>
      </c>
      <c r="G18" s="304">
        <v>62.477416054794048</v>
      </c>
      <c r="H18" s="304"/>
      <c r="I18" s="304"/>
      <c r="J18" s="304"/>
      <c r="K18" s="304">
        <v>11.727945205479394</v>
      </c>
      <c r="L18" s="304"/>
      <c r="M18" s="304"/>
      <c r="N18" s="304"/>
      <c r="O18" s="304"/>
      <c r="P18" s="304">
        <v>399.23774756164215</v>
      </c>
      <c r="Q18" s="305">
        <v>1.2094488730235278</v>
      </c>
    </row>
    <row r="19" spans="1:17" ht="15" customHeight="1" x14ac:dyDescent="0.25">
      <c r="A19" s="104" t="s">
        <v>277</v>
      </c>
      <c r="B19" s="131" t="str">
        <f>VLOOKUP(A19,'0 Järjestäjätiedot'!A:H,2,FALSE)</f>
        <v>Tampereen Aikuiskoulutussäätiö sr</v>
      </c>
      <c r="C19" s="304">
        <v>1536.5651780821813</v>
      </c>
      <c r="D19" s="304">
        <v>1503.4191780821814</v>
      </c>
      <c r="E19" s="304">
        <v>33.146000000000001</v>
      </c>
      <c r="F19" s="304">
        <v>614.29406027396135</v>
      </c>
      <c r="G19" s="304">
        <v>590.18349906848175</v>
      </c>
      <c r="H19" s="304">
        <v>43.061013698629885</v>
      </c>
      <c r="I19" s="304"/>
      <c r="J19" s="304">
        <v>28.505559999999999</v>
      </c>
      <c r="K19" s="304">
        <v>0.13287671232876599</v>
      </c>
      <c r="L19" s="304"/>
      <c r="M19" s="304"/>
      <c r="N19" s="304">
        <v>8.9874034931506657</v>
      </c>
      <c r="O19" s="304"/>
      <c r="P19" s="304">
        <v>1285.1644132465799</v>
      </c>
      <c r="Q19" s="305">
        <v>0.83638782889159302</v>
      </c>
    </row>
    <row r="20" spans="1:17" ht="15" customHeight="1" x14ac:dyDescent="0.25">
      <c r="A20" s="104" t="s">
        <v>250</v>
      </c>
      <c r="B20" s="131" t="str">
        <f>VLOOKUP(A20,'0 Järjestäjätiedot'!A:H,2,FALSE)</f>
        <v>Varalan Säätiö sr</v>
      </c>
      <c r="C20" s="304">
        <v>171.11780821917688</v>
      </c>
      <c r="D20" s="304">
        <v>171.11780821917688</v>
      </c>
      <c r="E20" s="304"/>
      <c r="F20" s="304">
        <v>158.22634520547859</v>
      </c>
      <c r="G20" s="304">
        <v>54.581515397259778</v>
      </c>
      <c r="H20" s="304"/>
      <c r="I20" s="304">
        <v>4.6356164383551599E-3</v>
      </c>
      <c r="J20" s="304"/>
      <c r="K20" s="304">
        <v>1.7572602739725873</v>
      </c>
      <c r="L20" s="304">
        <v>23.005830136986173</v>
      </c>
      <c r="M20" s="304"/>
      <c r="N20" s="304"/>
      <c r="O20" s="304"/>
      <c r="P20" s="304">
        <v>237.57558663013532</v>
      </c>
      <c r="Q20" s="305">
        <v>1.3883744135258893</v>
      </c>
    </row>
    <row r="21" spans="1:17" ht="15" customHeight="1" x14ac:dyDescent="0.25">
      <c r="A21" s="104" t="s">
        <v>350</v>
      </c>
      <c r="B21" s="131" t="str">
        <f>VLOOKUP(A21,'0 Järjestäjätiedot'!A:H,2,FALSE)</f>
        <v>Kouvolan Aikuiskoulutussäätiö sr</v>
      </c>
      <c r="C21" s="304">
        <v>361.79547945205172</v>
      </c>
      <c r="D21" s="304">
        <v>288.12547945205171</v>
      </c>
      <c r="E21" s="304">
        <v>73.67</v>
      </c>
      <c r="F21" s="304">
        <v>157.77414246575242</v>
      </c>
      <c r="G21" s="304">
        <v>92.130753150684086</v>
      </c>
      <c r="H21" s="304"/>
      <c r="I21" s="304"/>
      <c r="J21" s="304">
        <v>63.356200000000001</v>
      </c>
      <c r="K21" s="304">
        <v>0.40136986301369448</v>
      </c>
      <c r="L21" s="304"/>
      <c r="M21" s="304"/>
      <c r="N21" s="304">
        <v>17.005779315068484</v>
      </c>
      <c r="O21" s="304"/>
      <c r="P21" s="304">
        <v>330.66824479451884</v>
      </c>
      <c r="Q21" s="305">
        <v>0.9139645561501325</v>
      </c>
    </row>
    <row r="22" spans="1:17" ht="15" customHeight="1" x14ac:dyDescent="0.25">
      <c r="A22" s="104" t="s">
        <v>349</v>
      </c>
      <c r="B22" s="131" t="str">
        <f>VLOOKUP(A22,'0 Järjestäjätiedot'!A:H,2,FALSE)</f>
        <v>Kouvolan kaupunki</v>
      </c>
      <c r="C22" s="304">
        <v>2406.1101369863231</v>
      </c>
      <c r="D22" s="304">
        <v>2401.0101369863232</v>
      </c>
      <c r="E22" s="304">
        <v>5.0999999999999996</v>
      </c>
      <c r="F22" s="304">
        <v>1866.0614328766801</v>
      </c>
      <c r="G22" s="304">
        <v>364.8731957260203</v>
      </c>
      <c r="H22" s="304">
        <v>61.394876712328518</v>
      </c>
      <c r="I22" s="304"/>
      <c r="J22" s="304">
        <v>4.3860000000000001</v>
      </c>
      <c r="K22" s="304">
        <v>118.68087671232752</v>
      </c>
      <c r="L22" s="304">
        <v>12.602306849314994</v>
      </c>
      <c r="M22" s="304"/>
      <c r="N22" s="304">
        <v>1.7536169863013578</v>
      </c>
      <c r="O22" s="304"/>
      <c r="P22" s="304">
        <v>2429.7523058629986</v>
      </c>
      <c r="Q22" s="305">
        <v>1.0098258880644133</v>
      </c>
    </row>
    <row r="23" spans="1:17" ht="15" customHeight="1" x14ac:dyDescent="0.25">
      <c r="A23" s="104" t="s">
        <v>257</v>
      </c>
      <c r="B23" s="131" t="str">
        <f>VLOOKUP(A23,'0 Järjestäjätiedot'!A:H,2,FALSE)</f>
        <v>Valkealan Kristillisen Kansanopiston kannatusyhdistys r.y.</v>
      </c>
      <c r="C23" s="304">
        <v>18.994178082191766</v>
      </c>
      <c r="D23" s="304">
        <v>3.4191780821917668</v>
      </c>
      <c r="E23" s="304">
        <v>15.574999999999999</v>
      </c>
      <c r="F23" s="304"/>
      <c r="G23" s="304">
        <v>2.6064394520547838</v>
      </c>
      <c r="H23" s="304"/>
      <c r="I23" s="304"/>
      <c r="J23" s="304">
        <v>13.394499999999999</v>
      </c>
      <c r="K23" s="304"/>
      <c r="L23" s="304"/>
      <c r="M23" s="304"/>
      <c r="N23" s="304"/>
      <c r="O23" s="304"/>
      <c r="P23" s="304">
        <v>16.000939452054784</v>
      </c>
      <c r="Q23" s="305">
        <v>0.84241283738708694</v>
      </c>
    </row>
    <row r="24" spans="1:17" ht="15" customHeight="1" x14ac:dyDescent="0.25">
      <c r="A24" s="104" t="s">
        <v>273</v>
      </c>
      <c r="B24" s="131" t="str">
        <f>VLOOKUP(A24,'0 Järjestäjätiedot'!A:H,2,FALSE)</f>
        <v>Tanhuvaaran Säätiö sr</v>
      </c>
      <c r="C24" s="304">
        <v>81.029452054794177</v>
      </c>
      <c r="D24" s="304">
        <v>81.029452054794177</v>
      </c>
      <c r="E24" s="304"/>
      <c r="F24" s="304">
        <v>84.675123287671198</v>
      </c>
      <c r="G24" s="304">
        <v>21.172621438356035</v>
      </c>
      <c r="H24" s="304"/>
      <c r="I24" s="304"/>
      <c r="J24" s="304"/>
      <c r="K24" s="304">
        <v>1.4013698630136922</v>
      </c>
      <c r="L24" s="304">
        <v>21.561506849314977</v>
      </c>
      <c r="M24" s="304"/>
      <c r="N24" s="304"/>
      <c r="O24" s="304"/>
      <c r="P24" s="304">
        <v>128.81062143835535</v>
      </c>
      <c r="Q24" s="305">
        <v>1.5896765703321101</v>
      </c>
    </row>
    <row r="25" spans="1:17" ht="15" customHeight="1" x14ac:dyDescent="0.25">
      <c r="A25" s="104" t="s">
        <v>378</v>
      </c>
      <c r="B25" s="131" t="str">
        <f>VLOOKUP(A25,'0 Järjestäjätiedot'!A:H,2,FALSE)</f>
        <v>Itä-Suomen Liikuntaopisto Oy</v>
      </c>
      <c r="C25" s="304">
        <v>70.595506849314802</v>
      </c>
      <c r="D25" s="304">
        <v>51.115506849314798</v>
      </c>
      <c r="E25" s="304">
        <v>19.48</v>
      </c>
      <c r="F25" s="304"/>
      <c r="G25" s="304">
        <v>38.965350871232658</v>
      </c>
      <c r="H25" s="304"/>
      <c r="I25" s="304"/>
      <c r="J25" s="304">
        <v>16.752800000000001</v>
      </c>
      <c r="K25" s="304"/>
      <c r="L25" s="304"/>
      <c r="M25" s="304"/>
      <c r="N25" s="304"/>
      <c r="O25" s="304"/>
      <c r="P25" s="304">
        <v>55.718150871232694</v>
      </c>
      <c r="Q25" s="305">
        <v>0.78925916616991454</v>
      </c>
    </row>
    <row r="26" spans="1:17" ht="15" customHeight="1" x14ac:dyDescent="0.25">
      <c r="A26" s="104" t="s">
        <v>268</v>
      </c>
      <c r="B26" s="131" t="str">
        <f>VLOOKUP(A26,'0 Järjestäjätiedot'!A:H,2,FALSE)</f>
        <v>Tohtori Matthias Ingmanin säätiö sr</v>
      </c>
      <c r="C26" s="304">
        <v>186.38630136986117</v>
      </c>
      <c r="D26" s="304">
        <v>186.38630136986117</v>
      </c>
      <c r="E26" s="304"/>
      <c r="F26" s="304">
        <v>225.51904109588995</v>
      </c>
      <c r="G26" s="304"/>
      <c r="H26" s="304"/>
      <c r="I26" s="304"/>
      <c r="J26" s="304"/>
      <c r="K26" s="304">
        <v>37.847945205479263</v>
      </c>
      <c r="L26" s="304"/>
      <c r="M26" s="304"/>
      <c r="N26" s="304"/>
      <c r="O26" s="304"/>
      <c r="P26" s="304">
        <v>263.3669863013684</v>
      </c>
      <c r="Q26" s="305">
        <v>1.4130168599609065</v>
      </c>
    </row>
    <row r="27" spans="1:17" ht="15" customHeight="1" x14ac:dyDescent="0.25">
      <c r="A27" s="104" t="s">
        <v>364</v>
      </c>
      <c r="B27" s="131" t="str">
        <f>VLOOKUP(A27,'0 Järjestäjätiedot'!A:H,2,FALSE)</f>
        <v>Kaustisen Evankelisen Opiston Kannatusyhdistys ry</v>
      </c>
      <c r="C27" s="304">
        <v>54.754794520547684</v>
      </c>
      <c r="D27" s="304">
        <v>54.754794520547684</v>
      </c>
      <c r="E27" s="304"/>
      <c r="F27" s="304">
        <v>39.731005479451873</v>
      </c>
      <c r="G27" s="304">
        <v>11.146705643835563</v>
      </c>
      <c r="H27" s="304"/>
      <c r="I27" s="304"/>
      <c r="J27" s="304"/>
      <c r="K27" s="304">
        <v>2.5973972602739566</v>
      </c>
      <c r="L27" s="304">
        <v>3.4918630136986102</v>
      </c>
      <c r="M27" s="304"/>
      <c r="N27" s="304"/>
      <c r="O27" s="304"/>
      <c r="P27" s="304">
        <v>56.966971397260068</v>
      </c>
      <c r="Q27" s="305">
        <v>1.0404015191013496</v>
      </c>
    </row>
    <row r="28" spans="1:17" ht="15" customHeight="1" x14ac:dyDescent="0.25">
      <c r="A28" s="104" t="s">
        <v>342</v>
      </c>
      <c r="B28" s="131" t="str">
        <f>VLOOKUP(A28,'0 Järjestäjätiedot'!A:H,2,FALSE)</f>
        <v>Kuortaneen Urheiluopistosäätiö sr</v>
      </c>
      <c r="C28" s="304">
        <v>151.19643835616361</v>
      </c>
      <c r="D28" s="304">
        <v>134.69643835616361</v>
      </c>
      <c r="E28" s="304">
        <v>16.5</v>
      </c>
      <c r="F28" s="304">
        <v>107.39687671232859</v>
      </c>
      <c r="G28" s="304">
        <v>49.389525643835356</v>
      </c>
      <c r="H28" s="304"/>
      <c r="I28" s="304"/>
      <c r="J28" s="304">
        <v>14.19</v>
      </c>
      <c r="K28" s="304"/>
      <c r="L28" s="304">
        <v>27.693534246575222</v>
      </c>
      <c r="M28" s="304"/>
      <c r="N28" s="304"/>
      <c r="O28" s="304"/>
      <c r="P28" s="304">
        <v>198.66993660273911</v>
      </c>
      <c r="Q28" s="305">
        <v>1.3139855592017669</v>
      </c>
    </row>
    <row r="29" spans="1:17" ht="15" customHeight="1" x14ac:dyDescent="0.25">
      <c r="A29" s="104" t="s">
        <v>320</v>
      </c>
      <c r="B29" s="131" t="str">
        <f>VLOOKUP(A29,'0 Järjestäjätiedot'!A:H,2,FALSE)</f>
        <v>Oulun kaupunki</v>
      </c>
      <c r="C29" s="304">
        <v>45.799726027397064</v>
      </c>
      <c r="D29" s="304">
        <v>39.539726027397066</v>
      </c>
      <c r="E29" s="304">
        <v>6.26</v>
      </c>
      <c r="F29" s="304">
        <v>62.824602739725691</v>
      </c>
      <c r="G29" s="304"/>
      <c r="H29" s="304"/>
      <c r="I29" s="304">
        <v>3.8630136986297699E-2</v>
      </c>
      <c r="J29" s="304">
        <v>5.3836000000000004</v>
      </c>
      <c r="K29" s="304"/>
      <c r="L29" s="304"/>
      <c r="M29" s="304"/>
      <c r="N29" s="304"/>
      <c r="O29" s="304"/>
      <c r="P29" s="304">
        <v>68.246832876711977</v>
      </c>
      <c r="Q29" s="305">
        <v>1.4901144350926299</v>
      </c>
    </row>
    <row r="30" spans="1:17" ht="15" customHeight="1" x14ac:dyDescent="0.25">
      <c r="A30" s="104" t="s">
        <v>327</v>
      </c>
      <c r="B30" s="131" t="str">
        <f>VLOOKUP(A30,'0 Järjestäjätiedot'!A:H,2,FALSE)</f>
        <v>Marttayhdistysten liitto ry</v>
      </c>
      <c r="C30" s="304">
        <v>160.46136986301289</v>
      </c>
      <c r="D30" s="304">
        <v>160.46136986301289</v>
      </c>
      <c r="E30" s="304"/>
      <c r="F30" s="304">
        <v>113.01948493150641</v>
      </c>
      <c r="G30" s="304">
        <v>33.837559287671183</v>
      </c>
      <c r="H30" s="304"/>
      <c r="I30" s="304"/>
      <c r="J30" s="304"/>
      <c r="K30" s="304">
        <v>10.535616438356119</v>
      </c>
      <c r="L30" s="304"/>
      <c r="M30" s="304"/>
      <c r="N30" s="304">
        <v>2.2111921232876575</v>
      </c>
      <c r="O30" s="304"/>
      <c r="P30" s="304">
        <v>159.60385278082092</v>
      </c>
      <c r="Q30" s="305">
        <v>0.99465592819677384</v>
      </c>
    </row>
    <row r="31" spans="1:17" ht="15" customHeight="1" x14ac:dyDescent="0.25">
      <c r="A31" s="104" t="s">
        <v>304</v>
      </c>
      <c r="B31" s="131" t="str">
        <f>VLOOKUP(A31,'0 Järjestäjätiedot'!A:H,2,FALSE)</f>
        <v>Raahen Porvari- ja Kauppakoulurahasto sr</v>
      </c>
      <c r="C31" s="304">
        <v>142.93657534246469</v>
      </c>
      <c r="D31" s="304">
        <v>141.13657534246468</v>
      </c>
      <c r="E31" s="304">
        <v>1.8</v>
      </c>
      <c r="F31" s="304">
        <v>98.729205479451622</v>
      </c>
      <c r="G31" s="304">
        <v>5.5427764383561273</v>
      </c>
      <c r="H31" s="304"/>
      <c r="I31" s="304"/>
      <c r="J31" s="304">
        <v>1.548</v>
      </c>
      <c r="K31" s="304">
        <v>14.482191780821841</v>
      </c>
      <c r="L31" s="304"/>
      <c r="M31" s="304"/>
      <c r="N31" s="304"/>
      <c r="O31" s="304"/>
      <c r="P31" s="304">
        <v>120.30217369862984</v>
      </c>
      <c r="Q31" s="305">
        <v>0.84164723696783261</v>
      </c>
    </row>
    <row r="32" spans="1:17" ht="15" customHeight="1" x14ac:dyDescent="0.25">
      <c r="A32" s="104" t="s">
        <v>311</v>
      </c>
      <c r="B32" s="131" t="str">
        <f>VLOOKUP(A32,'0 Järjestäjätiedot'!A:H,2,FALSE)</f>
        <v>Peräpohjolan Kansanopiston kannatusyhdistys ry</v>
      </c>
      <c r="C32" s="304">
        <v>76.552054794520217</v>
      </c>
      <c r="D32" s="304">
        <v>65.652054794520211</v>
      </c>
      <c r="E32" s="304">
        <v>10.9</v>
      </c>
      <c r="F32" s="304">
        <v>47.981095890410813</v>
      </c>
      <c r="G32" s="304">
        <v>13.101117534246519</v>
      </c>
      <c r="H32" s="304"/>
      <c r="I32" s="304"/>
      <c r="J32" s="304">
        <v>9.3740000000000006</v>
      </c>
      <c r="K32" s="304">
        <v>2.9753424657534082</v>
      </c>
      <c r="L32" s="304">
        <v>5.5434246575342128</v>
      </c>
      <c r="M32" s="304"/>
      <c r="N32" s="304"/>
      <c r="O32" s="304"/>
      <c r="P32" s="304">
        <v>78.974980547945009</v>
      </c>
      <c r="Q32" s="305">
        <v>1.0316506952024784</v>
      </c>
    </row>
    <row r="33" spans="1:17" ht="15" customHeight="1" x14ac:dyDescent="0.25">
      <c r="A33" s="104" t="s">
        <v>301</v>
      </c>
      <c r="B33" s="131" t="str">
        <f>VLOOKUP(A33,'0 Järjestäjätiedot'!A:H,2,FALSE)</f>
        <v>Raudaskylän Kristillinen Opisto r.y.</v>
      </c>
      <c r="C33" s="304">
        <v>41.829315068492861</v>
      </c>
      <c r="D33" s="304">
        <v>41.829315068492861</v>
      </c>
      <c r="E33" s="304"/>
      <c r="F33" s="304"/>
      <c r="G33" s="304">
        <v>31.600363315068304</v>
      </c>
      <c r="H33" s="304"/>
      <c r="I33" s="304">
        <v>0.529232876712325</v>
      </c>
      <c r="J33" s="304"/>
      <c r="K33" s="304">
        <v>2.0191780821917682</v>
      </c>
      <c r="L33" s="304"/>
      <c r="M33" s="304"/>
      <c r="N33" s="304"/>
      <c r="O33" s="304"/>
      <c r="P33" s="304">
        <v>34.148774273972307</v>
      </c>
      <c r="Q33" s="305">
        <v>0.81638377817221841</v>
      </c>
    </row>
    <row r="34" spans="1:17" ht="15" customHeight="1" x14ac:dyDescent="0.25">
      <c r="A34" s="104" t="s">
        <v>384</v>
      </c>
      <c r="B34" s="131" t="str">
        <f>VLOOKUP(A34,'0 Järjestäjätiedot'!A:H,2,FALSE)</f>
        <v>Laajasalon opiston säätiö sr</v>
      </c>
      <c r="C34" s="304">
        <v>31.56164383561628</v>
      </c>
      <c r="D34" s="304">
        <v>31.56164383561628</v>
      </c>
      <c r="E34" s="304"/>
      <c r="F34" s="304"/>
      <c r="G34" s="304">
        <v>24.059441095890296</v>
      </c>
      <c r="H34" s="304"/>
      <c r="I34" s="304"/>
      <c r="J34" s="304"/>
      <c r="K34" s="304"/>
      <c r="L34" s="304"/>
      <c r="M34" s="304"/>
      <c r="N34" s="304"/>
      <c r="O34" s="304"/>
      <c r="P34" s="304">
        <v>24.059441095890296</v>
      </c>
      <c r="Q34" s="305">
        <v>0.7623000000000002</v>
      </c>
    </row>
    <row r="35" spans="1:17" ht="15" customHeight="1" x14ac:dyDescent="0.25">
      <c r="A35" s="104" t="s">
        <v>385</v>
      </c>
      <c r="B35" s="131" t="str">
        <f>VLOOKUP(A35,'0 Järjestäjätiedot'!A:H,2,FALSE)</f>
        <v>Helsingin Konservatorion Säätiö sr</v>
      </c>
      <c r="C35" s="304">
        <v>59.087671232876382</v>
      </c>
      <c r="D35" s="304">
        <v>59.087671232876382</v>
      </c>
      <c r="E35" s="304"/>
      <c r="F35" s="304">
        <v>93.459534246574918</v>
      </c>
      <c r="G35" s="304"/>
      <c r="H35" s="304"/>
      <c r="I35" s="304"/>
      <c r="J35" s="304"/>
      <c r="K35" s="304">
        <v>0.63287671232876308</v>
      </c>
      <c r="L35" s="304"/>
      <c r="M35" s="304"/>
      <c r="N35" s="304"/>
      <c r="O35" s="304"/>
      <c r="P35" s="304">
        <v>94.092410958903642</v>
      </c>
      <c r="Q35" s="305">
        <v>1.5924203644456822</v>
      </c>
    </row>
    <row r="36" spans="1:17" ht="15" customHeight="1" x14ac:dyDescent="0.25">
      <c r="A36" s="104" t="s">
        <v>389</v>
      </c>
      <c r="B36" s="131" t="str">
        <f>VLOOKUP(A36,'0 Järjestäjätiedot'!A:H,2,FALSE)</f>
        <v>Helsingin kaupunki</v>
      </c>
      <c r="C36" s="304">
        <v>10393.163013697871</v>
      </c>
      <c r="D36" s="304">
        <v>10366.583013697871</v>
      </c>
      <c r="E36" s="304">
        <v>26.58</v>
      </c>
      <c r="F36" s="304">
        <v>8509.9757863011455</v>
      </c>
      <c r="G36" s="304">
        <v>1056.7240814794202</v>
      </c>
      <c r="H36" s="304">
        <v>621.40438356164009</v>
      </c>
      <c r="I36" s="304">
        <v>63.685643835615956</v>
      </c>
      <c r="J36" s="304">
        <v>22.858800000000002</v>
      </c>
      <c r="K36" s="304">
        <v>522.45057534245927</v>
      </c>
      <c r="L36" s="304"/>
      <c r="M36" s="304"/>
      <c r="N36" s="304"/>
      <c r="O36" s="304"/>
      <c r="P36" s="304">
        <v>10797.099270521108</v>
      </c>
      <c r="Q36" s="305">
        <v>1.0388655750218561</v>
      </c>
    </row>
    <row r="37" spans="1:17" ht="15" customHeight="1" x14ac:dyDescent="0.25">
      <c r="A37" s="104" t="s">
        <v>381</v>
      </c>
      <c r="B37" s="131" t="str">
        <f>VLOOKUP(A37,'0 Järjestäjätiedot'!A:H,2,FALSE)</f>
        <v>Invalidisäätiö sr</v>
      </c>
      <c r="C37" s="304">
        <v>849.07890410963648</v>
      </c>
      <c r="D37" s="304">
        <v>849.07890410963648</v>
      </c>
      <c r="E37" s="304"/>
      <c r="F37" s="304">
        <v>458.22882191779956</v>
      </c>
      <c r="G37" s="304">
        <v>55.95942723287677</v>
      </c>
      <c r="H37" s="304">
        <v>453.30534246574695</v>
      </c>
      <c r="I37" s="304"/>
      <c r="J37" s="304"/>
      <c r="K37" s="304">
        <v>2789.0060876712478</v>
      </c>
      <c r="L37" s="304">
        <v>78.13112328767123</v>
      </c>
      <c r="M37" s="304"/>
      <c r="N37" s="304"/>
      <c r="O37" s="304"/>
      <c r="P37" s="304">
        <v>3834.6308025754579</v>
      </c>
      <c r="Q37" s="305">
        <v>4.5162243273450953</v>
      </c>
    </row>
    <row r="38" spans="1:17" ht="15" customHeight="1" x14ac:dyDescent="0.25">
      <c r="A38" s="104" t="s">
        <v>387</v>
      </c>
      <c r="B38" s="131" t="str">
        <f>VLOOKUP(A38,'0 Järjestäjätiedot'!A:H,2,FALSE)</f>
        <v>Hengitysliitto ry</v>
      </c>
      <c r="C38" s="304">
        <v>1482.4468493150375</v>
      </c>
      <c r="D38" s="304">
        <v>1478.3068493150374</v>
      </c>
      <c r="E38" s="304">
        <v>4.1399999999999997</v>
      </c>
      <c r="F38" s="304">
        <v>958.89287671231011</v>
      </c>
      <c r="G38" s="304">
        <v>69.293312602739022</v>
      </c>
      <c r="H38" s="304">
        <v>626.37994520547386</v>
      </c>
      <c r="I38" s="304"/>
      <c r="J38" s="304">
        <v>3.5604</v>
      </c>
      <c r="K38" s="304">
        <v>4932.8075068492426</v>
      </c>
      <c r="L38" s="304">
        <v>413.79397260273009</v>
      </c>
      <c r="M38" s="304"/>
      <c r="N38" s="304"/>
      <c r="O38" s="304"/>
      <c r="P38" s="304">
        <v>7004.7280139726163</v>
      </c>
      <c r="Q38" s="305">
        <v>4.7251124161443894</v>
      </c>
    </row>
    <row r="39" spans="1:17" ht="15" customHeight="1" x14ac:dyDescent="0.25">
      <c r="A39" s="104" t="s">
        <v>328</v>
      </c>
      <c r="B39" s="131" t="str">
        <f>VLOOKUP(A39,'0 Järjestäjätiedot'!A:H,2,FALSE)</f>
        <v>Markkinointi-instituutin Kannatusyhdistys ry</v>
      </c>
      <c r="C39" s="304">
        <v>1415.2865753424778</v>
      </c>
      <c r="D39" s="304">
        <v>1415.2865753424778</v>
      </c>
      <c r="E39" s="304"/>
      <c r="F39" s="304">
        <v>374.64435616437936</v>
      </c>
      <c r="G39" s="304">
        <v>529.49965139724441</v>
      </c>
      <c r="H39" s="304"/>
      <c r="I39" s="304">
        <v>0.70499999999999441</v>
      </c>
      <c r="J39" s="304"/>
      <c r="K39" s="304">
        <v>1.6254794520547855</v>
      </c>
      <c r="L39" s="304"/>
      <c r="M39" s="304">
        <v>-7.8704130246574699</v>
      </c>
      <c r="N39" s="304"/>
      <c r="O39" s="304"/>
      <c r="P39" s="304">
        <v>898.60407398910115</v>
      </c>
      <c r="Q39" s="305">
        <v>0.63492729292062466</v>
      </c>
    </row>
    <row r="40" spans="1:17" ht="15" customHeight="1" x14ac:dyDescent="0.25">
      <c r="A40" s="104" t="s">
        <v>322</v>
      </c>
      <c r="B40" s="131" t="str">
        <f>VLOOKUP(A40,'0 Järjestäjätiedot'!A:H,2,FALSE)</f>
        <v>Opintotoiminnan Keskusliitto ry, Centralförbundet för Studieverksamhet rf</v>
      </c>
      <c r="C40" s="304">
        <v>23</v>
      </c>
      <c r="D40" s="304"/>
      <c r="E40" s="304">
        <v>23</v>
      </c>
      <c r="F40" s="304"/>
      <c r="G40" s="304"/>
      <c r="H40" s="304"/>
      <c r="I40" s="304"/>
      <c r="J40" s="304">
        <v>19.78</v>
      </c>
      <c r="K40" s="304"/>
      <c r="L40" s="304"/>
      <c r="M40" s="304">
        <v>-3.01</v>
      </c>
      <c r="N40" s="304"/>
      <c r="O40" s="304"/>
      <c r="P40" s="304">
        <v>16.77</v>
      </c>
      <c r="Q40" s="305">
        <v>0.72913043478260864</v>
      </c>
    </row>
    <row r="41" spans="1:17" ht="15" customHeight="1" x14ac:dyDescent="0.25">
      <c r="A41" s="104" t="s">
        <v>262</v>
      </c>
      <c r="B41" s="131" t="str">
        <f>VLOOKUP(A41,'0 Järjestäjätiedot'!A:H,2,FALSE)</f>
        <v>Työtehoseura ry</v>
      </c>
      <c r="C41" s="304">
        <v>1143.1785479452178</v>
      </c>
      <c r="D41" s="304">
        <v>1140.2005479452177</v>
      </c>
      <c r="E41" s="304">
        <v>2.9780000000000002</v>
      </c>
      <c r="F41" s="304">
        <v>1071.8110030136825</v>
      </c>
      <c r="G41" s="304">
        <v>286.30210418082163</v>
      </c>
      <c r="H41" s="304"/>
      <c r="I41" s="304">
        <v>12.757602739725916</v>
      </c>
      <c r="J41" s="304">
        <v>2.5610799999999996</v>
      </c>
      <c r="K41" s="304">
        <v>5.642465753424637</v>
      </c>
      <c r="L41" s="304"/>
      <c r="M41" s="304">
        <v>-16.95571096931495</v>
      </c>
      <c r="N41" s="304">
        <v>4.2983173287671024</v>
      </c>
      <c r="O41" s="304"/>
      <c r="P41" s="304">
        <v>1366.4168620471085</v>
      </c>
      <c r="Q41" s="305">
        <v>1.1952786067435588</v>
      </c>
    </row>
    <row r="42" spans="1:17" ht="15" customHeight="1" x14ac:dyDescent="0.25">
      <c r="A42" s="104" t="s">
        <v>283</v>
      </c>
      <c r="B42" s="131" t="str">
        <f>VLOOKUP(A42,'0 Järjestäjätiedot'!A:H,2,FALSE)</f>
        <v>Suomen Urheiluopiston Kannatusosakeyhtiö</v>
      </c>
      <c r="C42" s="304">
        <v>286.71095890410425</v>
      </c>
      <c r="D42" s="304">
        <v>286.61095890410422</v>
      </c>
      <c r="E42" s="304">
        <v>0.1</v>
      </c>
      <c r="F42" s="304">
        <v>201.97878904109405</v>
      </c>
      <c r="G42" s="304">
        <v>120.2482883287658</v>
      </c>
      <c r="H42" s="304"/>
      <c r="I42" s="304"/>
      <c r="J42" s="304">
        <v>8.5999999999999993E-2</v>
      </c>
      <c r="K42" s="304">
        <v>1.0287671232876647</v>
      </c>
      <c r="L42" s="304">
        <v>30.041430136986175</v>
      </c>
      <c r="M42" s="304"/>
      <c r="N42" s="304"/>
      <c r="O42" s="304"/>
      <c r="P42" s="304">
        <v>353.38327463012905</v>
      </c>
      <c r="Q42" s="305">
        <v>1.2325419160148832</v>
      </c>
    </row>
    <row r="43" spans="1:17" ht="15" customHeight="1" x14ac:dyDescent="0.25">
      <c r="A43" s="104" t="s">
        <v>332</v>
      </c>
      <c r="B43" s="131" t="str">
        <f>VLOOKUP(A43,'0 Järjestäjätiedot'!A:H,2,FALSE)</f>
        <v>Luksia, Länsi-Uudenmaan koulutuskuntayhtymä</v>
      </c>
      <c r="C43" s="304">
        <v>2864.7424657533925</v>
      </c>
      <c r="D43" s="304">
        <v>2864.7424657533925</v>
      </c>
      <c r="E43" s="304"/>
      <c r="F43" s="304">
        <v>2261.9000821917712</v>
      </c>
      <c r="G43" s="304">
        <v>374.62900712327786</v>
      </c>
      <c r="H43" s="304">
        <v>108.15279452054739</v>
      </c>
      <c r="I43" s="304">
        <v>1.413863013698621</v>
      </c>
      <c r="J43" s="304"/>
      <c r="K43" s="304">
        <v>289.57964383561176</v>
      </c>
      <c r="L43" s="304">
        <v>8.3606575342465295</v>
      </c>
      <c r="M43" s="304"/>
      <c r="N43" s="304">
        <v>1.8104545890410875</v>
      </c>
      <c r="O43" s="304"/>
      <c r="P43" s="304">
        <v>3045.8465028082196</v>
      </c>
      <c r="Q43" s="305">
        <v>1.0632182610548193</v>
      </c>
    </row>
    <row r="44" spans="1:17" ht="15" customHeight="1" x14ac:dyDescent="0.25">
      <c r="A44" s="104" t="s">
        <v>397</v>
      </c>
      <c r="B44" s="131" t="str">
        <f>VLOOKUP(A44,'0 Järjestäjätiedot'!A:H,2,FALSE)</f>
        <v>Eurajoen kristillisen opiston kannatusyhdistys r.y.</v>
      </c>
      <c r="C44" s="304">
        <v>32.424657534246506</v>
      </c>
      <c r="D44" s="304">
        <v>10.424657534246506</v>
      </c>
      <c r="E44" s="304">
        <v>22</v>
      </c>
      <c r="F44" s="304"/>
      <c r="G44" s="304">
        <v>7.9467164383561117</v>
      </c>
      <c r="H44" s="304"/>
      <c r="I44" s="304"/>
      <c r="J44" s="304">
        <v>18.920000000000002</v>
      </c>
      <c r="K44" s="304"/>
      <c r="L44" s="304">
        <v>0.26923287671232643</v>
      </c>
      <c r="M44" s="304"/>
      <c r="N44" s="304"/>
      <c r="O44" s="304"/>
      <c r="P44" s="304">
        <v>27.135949315068434</v>
      </c>
      <c r="Q44" s="305">
        <v>0.83689239543726235</v>
      </c>
    </row>
    <row r="45" spans="1:17" ht="15" customHeight="1" x14ac:dyDescent="0.25">
      <c r="A45" s="104" t="s">
        <v>292</v>
      </c>
      <c r="B45" s="131" t="str">
        <f>VLOOKUP(A45,'0 Järjestäjätiedot'!A:H,2,FALSE)</f>
        <v>Satakunnan koulutuskuntayhtymä</v>
      </c>
      <c r="C45" s="304">
        <v>1958.0683561644175</v>
      </c>
      <c r="D45" s="304">
        <v>1949.5983561644175</v>
      </c>
      <c r="E45" s="304">
        <v>8.4700000000000006</v>
      </c>
      <c r="F45" s="304">
        <v>1635.0922246575328</v>
      </c>
      <c r="G45" s="304">
        <v>248.91999060273838</v>
      </c>
      <c r="H45" s="304">
        <v>38.309506849314879</v>
      </c>
      <c r="I45" s="304"/>
      <c r="J45" s="304">
        <v>7.2842000000000002</v>
      </c>
      <c r="K45" s="304">
        <v>168.14219178082087</v>
      </c>
      <c r="L45" s="304">
        <v>5.7821369863013423</v>
      </c>
      <c r="M45" s="304">
        <v>-2.3343438356164246</v>
      </c>
      <c r="N45" s="304">
        <v>1.9838258904109476</v>
      </c>
      <c r="O45" s="304">
        <v>5.8020821917807828</v>
      </c>
      <c r="P45" s="304">
        <v>2108.9818151232971</v>
      </c>
      <c r="Q45" s="305">
        <v>1.0770726203116316</v>
      </c>
    </row>
    <row r="46" spans="1:17" ht="15" customHeight="1" x14ac:dyDescent="0.25">
      <c r="A46" s="104" t="s">
        <v>333</v>
      </c>
      <c r="B46" s="131" t="str">
        <f>VLOOKUP(A46,'0 Järjestäjätiedot'!A:H,2,FALSE)</f>
        <v>Lounais-Suomen koulutuskuntayhtymä</v>
      </c>
      <c r="C46" s="304">
        <v>1617.6682191780783</v>
      </c>
      <c r="D46" s="304">
        <v>1617.6682191780783</v>
      </c>
      <c r="E46" s="304"/>
      <c r="F46" s="304">
        <v>1451.1003287671113</v>
      </c>
      <c r="G46" s="304">
        <v>170.34162983561572</v>
      </c>
      <c r="H46" s="304">
        <v>0.93484931506848612</v>
      </c>
      <c r="I46" s="304">
        <v>0.33994520547945073</v>
      </c>
      <c r="J46" s="304"/>
      <c r="K46" s="304">
        <v>147.45616438355984</v>
      </c>
      <c r="L46" s="304">
        <v>2.3780821917808086</v>
      </c>
      <c r="M46" s="304"/>
      <c r="N46" s="304"/>
      <c r="O46" s="304"/>
      <c r="P46" s="304">
        <v>1772.5509996986125</v>
      </c>
      <c r="Q46" s="305">
        <v>1.095744466439003</v>
      </c>
    </row>
    <row r="47" spans="1:17" ht="15" customHeight="1" x14ac:dyDescent="0.25">
      <c r="A47" s="104" t="s">
        <v>303</v>
      </c>
      <c r="B47" s="131" t="str">
        <f>VLOOKUP(A47,'0 Järjestäjätiedot'!A:H,2,FALSE)</f>
        <v>Raision Seudun Koulutuskuntayhtymä</v>
      </c>
      <c r="C47" s="304">
        <v>1767.842191780828</v>
      </c>
      <c r="D47" s="304">
        <v>1766.1621917808279</v>
      </c>
      <c r="E47" s="304">
        <v>1.68</v>
      </c>
      <c r="F47" s="304">
        <v>1275.7649808218889</v>
      </c>
      <c r="G47" s="304">
        <v>240.1502422602718</v>
      </c>
      <c r="H47" s="304">
        <v>42.763561643835359</v>
      </c>
      <c r="I47" s="304">
        <v>7.131123287671155</v>
      </c>
      <c r="J47" s="304">
        <v>1.4448000000000001</v>
      </c>
      <c r="K47" s="304">
        <v>46.643972602739481</v>
      </c>
      <c r="L47" s="304"/>
      <c r="M47" s="304">
        <v>-0.53891139726027171</v>
      </c>
      <c r="N47" s="304">
        <v>1.6988784246575244</v>
      </c>
      <c r="O47" s="304"/>
      <c r="P47" s="304">
        <v>1615.0586476438189</v>
      </c>
      <c r="Q47" s="305">
        <v>0.91357625423392397</v>
      </c>
    </row>
    <row r="48" spans="1:17" ht="15" customHeight="1" x14ac:dyDescent="0.25">
      <c r="A48" s="104" t="s">
        <v>264</v>
      </c>
      <c r="B48" s="131" t="str">
        <f>VLOOKUP(A48,'0 Järjestäjätiedot'!A:H,2,FALSE)</f>
        <v>Turun kaupunki</v>
      </c>
      <c r="C48" s="304">
        <v>4671.371547945083</v>
      </c>
      <c r="D48" s="304">
        <v>4664.3605479450825</v>
      </c>
      <c r="E48" s="304">
        <v>7.0110000000000001</v>
      </c>
      <c r="F48" s="304">
        <v>3602.2977369864711</v>
      </c>
      <c r="G48" s="304">
        <v>615.94139878081228</v>
      </c>
      <c r="H48" s="304">
        <v>169.9409260273963</v>
      </c>
      <c r="I48" s="304">
        <v>0.27041095890410927</v>
      </c>
      <c r="J48" s="304">
        <v>6.0294600000000003</v>
      </c>
      <c r="K48" s="304">
        <v>194.34197260273874</v>
      </c>
      <c r="L48" s="304"/>
      <c r="M48" s="304"/>
      <c r="N48" s="304">
        <v>0.45111452054794315</v>
      </c>
      <c r="O48" s="304">
        <v>1.4041424657534161</v>
      </c>
      <c r="P48" s="304">
        <v>4590.6771623426175</v>
      </c>
      <c r="Q48" s="305">
        <v>0.98272576163675673</v>
      </c>
    </row>
    <row r="49" spans="1:17" ht="15" customHeight="1" x14ac:dyDescent="0.25">
      <c r="A49" s="104" t="s">
        <v>293</v>
      </c>
      <c r="B49" s="131" t="str">
        <f>VLOOKUP(A49,'0 Järjestäjätiedot'!A:H,2,FALSE)</f>
        <v>SASKY koulutuskuntayhtymä</v>
      </c>
      <c r="C49" s="304">
        <v>3568.8562876712172</v>
      </c>
      <c r="D49" s="304">
        <v>3541.1832876712169</v>
      </c>
      <c r="E49" s="304">
        <v>27.673000000000002</v>
      </c>
      <c r="F49" s="304">
        <v>2923.8847616439157</v>
      </c>
      <c r="G49" s="304">
        <v>442.01287794519857</v>
      </c>
      <c r="H49" s="304">
        <v>147.10742465753353</v>
      </c>
      <c r="I49" s="304">
        <v>3.5810136986301071</v>
      </c>
      <c r="J49" s="304">
        <v>23.798780000000001</v>
      </c>
      <c r="K49" s="304">
        <v>176.83413698630159</v>
      </c>
      <c r="L49" s="304">
        <v>58.784493150685172</v>
      </c>
      <c r="M49" s="304">
        <v>-0.35877369863013453</v>
      </c>
      <c r="N49" s="304">
        <v>0.4384908219178057</v>
      </c>
      <c r="O49" s="304">
        <v>19.931178082191607</v>
      </c>
      <c r="P49" s="304">
        <v>3796.0143832877288</v>
      </c>
      <c r="Q49" s="305">
        <v>1.0636501100930371</v>
      </c>
    </row>
    <row r="50" spans="1:17" ht="15" customHeight="1" x14ac:dyDescent="0.25">
      <c r="A50" s="104" t="s">
        <v>351</v>
      </c>
      <c r="B50" s="131" t="str">
        <f>VLOOKUP(A50,'0 Järjestäjätiedot'!A:H,2,FALSE)</f>
        <v>Koulutuskuntayhtymä Tavastia</v>
      </c>
      <c r="C50" s="304">
        <v>2069.4427123287219</v>
      </c>
      <c r="D50" s="304">
        <v>2069.4427123287219</v>
      </c>
      <c r="E50" s="304"/>
      <c r="F50" s="304">
        <v>1790.9504602739164</v>
      </c>
      <c r="G50" s="304">
        <v>160.57421295616308</v>
      </c>
      <c r="H50" s="304">
        <v>55.171561643835318</v>
      </c>
      <c r="I50" s="304">
        <v>9.9781643835615785</v>
      </c>
      <c r="J50" s="304"/>
      <c r="K50" s="304">
        <v>133.73402739725901</v>
      </c>
      <c r="L50" s="304">
        <v>24.241150684931323</v>
      </c>
      <c r="M50" s="304"/>
      <c r="N50" s="304">
        <v>1.3972019178082113</v>
      </c>
      <c r="O50" s="304">
        <v>5.4531506849314653</v>
      </c>
      <c r="P50" s="304">
        <v>2181.4999299424449</v>
      </c>
      <c r="Q50" s="305">
        <v>1.0541484994709653</v>
      </c>
    </row>
    <row r="51" spans="1:17" ht="15" customHeight="1" x14ac:dyDescent="0.25">
      <c r="A51" s="104" t="s">
        <v>275</v>
      </c>
      <c r="B51" s="131" t="str">
        <f>VLOOKUP(A51,'0 Järjestäjätiedot'!A:H,2,FALSE)</f>
        <v>Tampereen Musiikkiopiston Säätiö sr</v>
      </c>
      <c r="C51" s="304">
        <v>61.223561643835396</v>
      </c>
      <c r="D51" s="304">
        <v>61.223561643835396</v>
      </c>
      <c r="E51" s="304"/>
      <c r="F51" s="304">
        <v>90.201682191780648</v>
      </c>
      <c r="G51" s="304"/>
      <c r="H51" s="304"/>
      <c r="I51" s="304"/>
      <c r="J51" s="304"/>
      <c r="K51" s="304">
        <v>1.2835616438356114</v>
      </c>
      <c r="L51" s="304"/>
      <c r="M51" s="304"/>
      <c r="N51" s="304"/>
      <c r="O51" s="304"/>
      <c r="P51" s="304">
        <v>91.485243835616174</v>
      </c>
      <c r="Q51" s="305">
        <v>1.4942816356850723</v>
      </c>
    </row>
    <row r="52" spans="1:17" ht="15" customHeight="1" x14ac:dyDescent="0.25">
      <c r="A52" s="104" t="s">
        <v>258</v>
      </c>
      <c r="B52" s="131" t="str">
        <f>VLOOKUP(A52,'0 Järjestäjätiedot'!A:H,2,FALSE)</f>
        <v>Valkeakosken seudun koulutuskuntayhtymä</v>
      </c>
      <c r="C52" s="304">
        <v>975.5758904109548</v>
      </c>
      <c r="D52" s="304">
        <v>975.5758904109548</v>
      </c>
      <c r="E52" s="304"/>
      <c r="F52" s="304">
        <v>814.46920547944615</v>
      </c>
      <c r="G52" s="304">
        <v>59.805241808218945</v>
      </c>
      <c r="H52" s="304">
        <v>22.034630136986159</v>
      </c>
      <c r="I52" s="304"/>
      <c r="J52" s="304"/>
      <c r="K52" s="304">
        <v>65.484602739725716</v>
      </c>
      <c r="L52" s="304"/>
      <c r="M52" s="304"/>
      <c r="N52" s="304">
        <v>0.83148080821917125</v>
      </c>
      <c r="O52" s="304"/>
      <c r="P52" s="304">
        <v>962.62516097259652</v>
      </c>
      <c r="Q52" s="305">
        <v>0.98672504152095963</v>
      </c>
    </row>
    <row r="53" spans="1:17" ht="15" customHeight="1" x14ac:dyDescent="0.25">
      <c r="A53" s="104" t="s">
        <v>284</v>
      </c>
      <c r="B53" s="131" t="str">
        <f>VLOOKUP(A53,'0 Järjestäjätiedot'!A:H,2,FALSE)</f>
        <v>Suomen Nuoriso-Opiston kannatusyhdistys ry</v>
      </c>
      <c r="C53" s="304">
        <v>103.85479452054757</v>
      </c>
      <c r="D53" s="304">
        <v>103.85479452054757</v>
      </c>
      <c r="E53" s="304"/>
      <c r="F53" s="304">
        <v>102.81624657534201</v>
      </c>
      <c r="G53" s="304"/>
      <c r="H53" s="304"/>
      <c r="I53" s="304"/>
      <c r="J53" s="304"/>
      <c r="K53" s="304">
        <v>11.979452054794484</v>
      </c>
      <c r="L53" s="304">
        <v>24.602246575342377</v>
      </c>
      <c r="M53" s="304"/>
      <c r="N53" s="304"/>
      <c r="O53" s="304"/>
      <c r="P53" s="304">
        <v>139.39794520547898</v>
      </c>
      <c r="Q53" s="305">
        <v>1.3422389004669324</v>
      </c>
    </row>
    <row r="54" spans="1:17" ht="15" customHeight="1" x14ac:dyDescent="0.25">
      <c r="A54" s="104" t="s">
        <v>380</v>
      </c>
      <c r="B54" s="131" t="str">
        <f>VLOOKUP(A54,'0 Järjestäjätiedot'!A:H,2,FALSE)</f>
        <v>Itä-Karjalan Kansanopistoseura ry</v>
      </c>
      <c r="C54" s="304">
        <v>48.112328767122925</v>
      </c>
      <c r="D54" s="304">
        <v>48.112328767122925</v>
      </c>
      <c r="E54" s="304"/>
      <c r="F54" s="304">
        <v>36.10652054794496</v>
      </c>
      <c r="G54" s="304">
        <v>8.8740073972602218</v>
      </c>
      <c r="H54" s="304"/>
      <c r="I54" s="304"/>
      <c r="J54" s="304"/>
      <c r="K54" s="304">
        <v>4.4191780821917437</v>
      </c>
      <c r="L54" s="304">
        <v>11.092465753424618</v>
      </c>
      <c r="M54" s="304"/>
      <c r="N54" s="304"/>
      <c r="O54" s="304"/>
      <c r="P54" s="304">
        <v>60.492171780821778</v>
      </c>
      <c r="Q54" s="305">
        <v>1.2573112408177276</v>
      </c>
    </row>
    <row r="55" spans="1:17" ht="15" customHeight="1" x14ac:dyDescent="0.25">
      <c r="A55" s="104" t="s">
        <v>379</v>
      </c>
      <c r="B55" s="131" t="str">
        <f>VLOOKUP(A55,'0 Järjestäjätiedot'!A:H,2,FALSE)</f>
        <v>Itä-Savon koulutuskuntayhtymä</v>
      </c>
      <c r="C55" s="304">
        <v>1287.0729178082115</v>
      </c>
      <c r="D55" s="304">
        <v>1286.6499178082115</v>
      </c>
      <c r="E55" s="304">
        <v>0.42299999999999999</v>
      </c>
      <c r="F55" s="304">
        <v>953.23480164382386</v>
      </c>
      <c r="G55" s="304">
        <v>258.01679591780612</v>
      </c>
      <c r="H55" s="304">
        <v>38.568328767123063</v>
      </c>
      <c r="I55" s="304">
        <v>0.95416438356163769</v>
      </c>
      <c r="J55" s="304">
        <v>0.36377999999999999</v>
      </c>
      <c r="K55" s="304">
        <v>67.972794520547723</v>
      </c>
      <c r="L55" s="304">
        <v>4.3196164383561442</v>
      </c>
      <c r="M55" s="304"/>
      <c r="N55" s="304">
        <v>0.49962452054794276</v>
      </c>
      <c r="O55" s="304">
        <v>0.88372602739725514</v>
      </c>
      <c r="P55" s="304">
        <v>1324.8136322191583</v>
      </c>
      <c r="Q55" s="305">
        <v>1.0293229030684732</v>
      </c>
    </row>
    <row r="56" spans="1:17" ht="15" customHeight="1" x14ac:dyDescent="0.25">
      <c r="A56" s="104" t="s">
        <v>357</v>
      </c>
      <c r="B56" s="131" t="str">
        <f>VLOOKUP(A56,'0 Järjestäjätiedot'!A:H,2,FALSE)</f>
        <v>Kiteen Evankelisen Kansanopiston kannatusyhdistys ry</v>
      </c>
      <c r="C56" s="304">
        <v>14.695890410958826</v>
      </c>
      <c r="D56" s="304">
        <v>14.695890410958826</v>
      </c>
      <c r="E56" s="304"/>
      <c r="F56" s="304"/>
      <c r="G56" s="304">
        <v>11.202677260273905</v>
      </c>
      <c r="H56" s="304"/>
      <c r="I56" s="304"/>
      <c r="J56" s="304"/>
      <c r="K56" s="304"/>
      <c r="L56" s="304"/>
      <c r="M56" s="304"/>
      <c r="N56" s="304"/>
      <c r="O56" s="304"/>
      <c r="P56" s="304">
        <v>11.202677260273905</v>
      </c>
      <c r="Q56" s="305">
        <v>0.76229999999999942</v>
      </c>
    </row>
    <row r="57" spans="1:17" ht="15" customHeight="1" x14ac:dyDescent="0.25">
      <c r="A57" s="104" t="s">
        <v>344</v>
      </c>
      <c r="B57" s="131" t="str">
        <f>VLOOKUP(A57,'0 Järjestäjätiedot'!A:H,2,FALSE)</f>
        <v>Kuopion Konservatorion kannatusyhdistys r.y.</v>
      </c>
      <c r="C57" s="304">
        <v>43.432876712328508</v>
      </c>
      <c r="D57" s="304">
        <v>43.432876712328508</v>
      </c>
      <c r="E57" s="304"/>
      <c r="F57" s="304">
        <v>69.058273972602422</v>
      </c>
      <c r="G57" s="304"/>
      <c r="H57" s="304"/>
      <c r="I57" s="304"/>
      <c r="J57" s="304"/>
      <c r="K57" s="304"/>
      <c r="L57" s="304"/>
      <c r="M57" s="304"/>
      <c r="N57" s="304"/>
      <c r="O57" s="304"/>
      <c r="P57" s="304">
        <v>69.058273972602422</v>
      </c>
      <c r="Q57" s="305">
        <v>1.5900000000000025</v>
      </c>
    </row>
    <row r="58" spans="1:17" ht="15" customHeight="1" x14ac:dyDescent="0.25">
      <c r="A58" s="104" t="s">
        <v>343</v>
      </c>
      <c r="B58" s="131" t="str">
        <f>VLOOKUP(A58,'0 Järjestäjätiedot'!A:H,2,FALSE)</f>
        <v>Kuopion Talouskoulun kannatusyhdistys r.y.</v>
      </c>
      <c r="C58" s="304">
        <v>91.873972602739357</v>
      </c>
      <c r="D58" s="304">
        <v>91.873972602739357</v>
      </c>
      <c r="E58" s="304"/>
      <c r="F58" s="304">
        <v>89.311561643835304</v>
      </c>
      <c r="G58" s="304">
        <v>1.1612021917808137</v>
      </c>
      <c r="H58" s="304"/>
      <c r="I58" s="304">
        <v>0.193150684931504</v>
      </c>
      <c r="J58" s="304"/>
      <c r="K58" s="304">
        <v>8.527397260273931</v>
      </c>
      <c r="L58" s="304"/>
      <c r="M58" s="304"/>
      <c r="N58" s="304"/>
      <c r="O58" s="304"/>
      <c r="P58" s="304">
        <v>99.193311780821404</v>
      </c>
      <c r="Q58" s="305">
        <v>1.079667167650741</v>
      </c>
    </row>
    <row r="59" spans="1:17" ht="15" customHeight="1" x14ac:dyDescent="0.25">
      <c r="A59" s="104" t="s">
        <v>309</v>
      </c>
      <c r="B59" s="131" t="str">
        <f>VLOOKUP(A59,'0 Järjestäjätiedot'!A:H,2,FALSE)</f>
        <v>Portaanpää ry</v>
      </c>
      <c r="C59" s="304">
        <v>71.335890410958484</v>
      </c>
      <c r="D59" s="304">
        <v>71.335890410958484</v>
      </c>
      <c r="E59" s="304"/>
      <c r="F59" s="304">
        <v>60.955791780821649</v>
      </c>
      <c r="G59" s="304">
        <v>7.4433895890410584</v>
      </c>
      <c r="H59" s="304"/>
      <c r="I59" s="304"/>
      <c r="J59" s="304"/>
      <c r="K59" s="304"/>
      <c r="L59" s="304">
        <v>8.6066301369862614</v>
      </c>
      <c r="M59" s="304"/>
      <c r="N59" s="304"/>
      <c r="O59" s="304"/>
      <c r="P59" s="304">
        <v>77.0058115068489</v>
      </c>
      <c r="Q59" s="305">
        <v>1.0794820259931797</v>
      </c>
    </row>
    <row r="60" spans="1:17" ht="15" customHeight="1" x14ac:dyDescent="0.25">
      <c r="A60" s="104" t="s">
        <v>372</v>
      </c>
      <c r="B60" s="131" t="str">
        <f>VLOOKUP(A60,'0 Järjestäjätiedot'!A:H,2,FALSE)</f>
        <v>Jyväskylän Koulutuskuntayhtymä</v>
      </c>
      <c r="C60" s="304">
        <v>6378.5379178076646</v>
      </c>
      <c r="D60" s="304">
        <v>6378.5379178076646</v>
      </c>
      <c r="E60" s="304"/>
      <c r="F60" s="304">
        <v>5507.8319810957883</v>
      </c>
      <c r="G60" s="304">
        <v>748.11182283560311</v>
      </c>
      <c r="H60" s="304">
        <v>126.48240821917733</v>
      </c>
      <c r="I60" s="304">
        <v>2.335964383561604</v>
      </c>
      <c r="J60" s="304"/>
      <c r="K60" s="304">
        <v>292.33282191780626</v>
      </c>
      <c r="L60" s="304">
        <v>73.526904109589111</v>
      </c>
      <c r="M60" s="304"/>
      <c r="N60" s="304">
        <v>6.4462047808219038</v>
      </c>
      <c r="O60" s="304">
        <v>2.9089315068493007</v>
      </c>
      <c r="P60" s="304">
        <v>6759.9770388495572</v>
      </c>
      <c r="Q60" s="305">
        <v>1.059800400335791</v>
      </c>
    </row>
    <row r="61" spans="1:17" ht="15" customHeight="1" x14ac:dyDescent="0.25">
      <c r="A61" s="104" t="s">
        <v>366</v>
      </c>
      <c r="B61" s="131" t="str">
        <f>VLOOKUP(A61,'0 Järjestäjätiedot'!A:H,2,FALSE)</f>
        <v>Karstulan Evankelisen Kansanopiston kannatusyhdistys ry</v>
      </c>
      <c r="C61" s="304">
        <v>33.221945205479393</v>
      </c>
      <c r="D61" s="304">
        <v>14.551945205479392</v>
      </c>
      <c r="E61" s="304">
        <v>18.670000000000002</v>
      </c>
      <c r="F61" s="304"/>
      <c r="G61" s="304">
        <v>11.09294783013693</v>
      </c>
      <c r="H61" s="304"/>
      <c r="I61" s="304"/>
      <c r="J61" s="304">
        <v>16.0562</v>
      </c>
      <c r="K61" s="304"/>
      <c r="L61" s="304"/>
      <c r="M61" s="304"/>
      <c r="N61" s="304"/>
      <c r="O61" s="304"/>
      <c r="P61" s="304">
        <v>27.149147830136936</v>
      </c>
      <c r="Q61" s="305">
        <v>0.81720524376938497</v>
      </c>
    </row>
    <row r="62" spans="1:17" ht="15" customHeight="1" x14ac:dyDescent="0.25">
      <c r="A62" s="104" t="s">
        <v>241</v>
      </c>
      <c r="B62" s="131" t="str">
        <f>VLOOKUP(A62,'0 Järjestäjätiedot'!A:H,2,FALSE)</f>
        <v>Äänekosken Ammatillisen Koulutuksen kuntayhtymä</v>
      </c>
      <c r="C62" s="304">
        <v>1566.6737945205618</v>
      </c>
      <c r="D62" s="304">
        <v>1562.774794520562</v>
      </c>
      <c r="E62" s="304">
        <v>3.899</v>
      </c>
      <c r="F62" s="304">
        <v>1406.3463835616244</v>
      </c>
      <c r="G62" s="304">
        <v>201.57986531506646</v>
      </c>
      <c r="H62" s="304">
        <v>20.184246575342364</v>
      </c>
      <c r="I62" s="304">
        <v>0.1081643835616392</v>
      </c>
      <c r="J62" s="304">
        <v>3.3531399999999998</v>
      </c>
      <c r="K62" s="304">
        <v>61.446575342465522</v>
      </c>
      <c r="L62" s="304">
        <v>24.537260273972485</v>
      </c>
      <c r="M62" s="304"/>
      <c r="N62" s="304">
        <v>2.3475084931506713</v>
      </c>
      <c r="O62" s="304"/>
      <c r="P62" s="304">
        <v>1719.9031439451835</v>
      </c>
      <c r="Q62" s="305">
        <v>1.0978055227326482</v>
      </c>
    </row>
    <row r="63" spans="1:17" ht="15" customHeight="1" x14ac:dyDescent="0.25">
      <c r="A63" s="104" t="s">
        <v>281</v>
      </c>
      <c r="B63" s="131" t="str">
        <f>VLOOKUP(A63,'0 Järjestäjätiedot'!A:H,2,FALSE)</f>
        <v>Suomen Yrittäjäopisto Oy</v>
      </c>
      <c r="C63" s="304">
        <v>614.69068493148586</v>
      </c>
      <c r="D63" s="304">
        <v>609.95068493148585</v>
      </c>
      <c r="E63" s="304">
        <v>4.74</v>
      </c>
      <c r="F63" s="304">
        <v>137.73847123287757</v>
      </c>
      <c r="G63" s="304">
        <v>280.74695331505109</v>
      </c>
      <c r="H63" s="304"/>
      <c r="I63" s="304"/>
      <c r="J63" s="304">
        <v>4.0763999999999996</v>
      </c>
      <c r="K63" s="304"/>
      <c r="L63" s="304">
        <v>8.8328767123287022E-2</v>
      </c>
      <c r="M63" s="304"/>
      <c r="N63" s="304">
        <v>6.7823973287670816</v>
      </c>
      <c r="O63" s="304"/>
      <c r="P63" s="304">
        <v>429.43255064384408</v>
      </c>
      <c r="Q63" s="305">
        <v>0.69861567967588301</v>
      </c>
    </row>
    <row r="64" spans="1:17" ht="15" customHeight="1" x14ac:dyDescent="0.25">
      <c r="A64" s="104" t="s">
        <v>347</v>
      </c>
      <c r="B64" s="131" t="str">
        <f>VLOOKUP(A64,'0 Järjestäjätiedot'!A:H,2,FALSE)</f>
        <v>Keski-Pohjanmaan Koulutusyhtymä</v>
      </c>
      <c r="C64" s="304">
        <v>2527.548602739741</v>
      </c>
      <c r="D64" s="304">
        <v>2525.6886027397409</v>
      </c>
      <c r="E64" s="304">
        <v>1.86</v>
      </c>
      <c r="F64" s="304">
        <v>2308.4832619177942</v>
      </c>
      <c r="G64" s="304">
        <v>282.72840591780329</v>
      </c>
      <c r="H64" s="304">
        <v>61.056476712328511</v>
      </c>
      <c r="I64" s="304">
        <v>7.8508027397259719</v>
      </c>
      <c r="J64" s="304">
        <v>1.5995999999999999</v>
      </c>
      <c r="K64" s="304">
        <v>216.43008219178014</v>
      </c>
      <c r="L64" s="304">
        <v>70.261782191780682</v>
      </c>
      <c r="M64" s="304">
        <v>-0.63524443068492575</v>
      </c>
      <c r="N64" s="304">
        <v>1.8126174657534135</v>
      </c>
      <c r="O64" s="304"/>
      <c r="P64" s="304">
        <v>2949.587784706313</v>
      </c>
      <c r="Q64" s="305">
        <v>1.1669756939625588</v>
      </c>
    </row>
    <row r="65" spans="1:17" ht="15" customHeight="1" x14ac:dyDescent="0.25">
      <c r="A65" s="104" t="s">
        <v>340</v>
      </c>
      <c r="B65" s="131" t="str">
        <f>VLOOKUP(A65,'0 Järjestäjätiedot'!A:H,2,FALSE)</f>
        <v>Kvarnen samkommun</v>
      </c>
      <c r="C65" s="304">
        <v>22.824657534246459</v>
      </c>
      <c r="D65" s="304">
        <v>22.824657534246459</v>
      </c>
      <c r="E65" s="304"/>
      <c r="F65" s="304"/>
      <c r="G65" s="304">
        <v>21.617233150684843</v>
      </c>
      <c r="H65" s="304"/>
      <c r="I65" s="304"/>
      <c r="J65" s="304"/>
      <c r="K65" s="304"/>
      <c r="L65" s="304"/>
      <c r="M65" s="304"/>
      <c r="N65" s="304"/>
      <c r="O65" s="304"/>
      <c r="P65" s="304">
        <v>21.617233150684843</v>
      </c>
      <c r="Q65" s="305">
        <v>0.94710000000000094</v>
      </c>
    </row>
    <row r="66" spans="1:17" ht="15" customHeight="1" x14ac:dyDescent="0.25">
      <c r="A66" s="104" t="s">
        <v>394</v>
      </c>
      <c r="B66" s="131" t="str">
        <f>VLOOKUP(A66,'0 Järjestäjätiedot'!A:H,2,FALSE)</f>
        <v>Fria Kristliga Folkhögskolföreningen FKF rf</v>
      </c>
      <c r="C66" s="304">
        <v>18.909589041095789</v>
      </c>
      <c r="D66" s="304">
        <v>18.909589041095789</v>
      </c>
      <c r="E66" s="304"/>
      <c r="F66" s="304">
        <v>18.720493150684831</v>
      </c>
      <c r="G66" s="304"/>
      <c r="H66" s="304"/>
      <c r="I66" s="304"/>
      <c r="J66" s="304"/>
      <c r="K66" s="304"/>
      <c r="L66" s="304">
        <v>7.5170410958903764</v>
      </c>
      <c r="M66" s="304"/>
      <c r="N66" s="304"/>
      <c r="O66" s="304"/>
      <c r="P66" s="304">
        <v>26.237534246575184</v>
      </c>
      <c r="Q66" s="305">
        <v>1.3875253549695732</v>
      </c>
    </row>
    <row r="67" spans="1:17" ht="15" customHeight="1" x14ac:dyDescent="0.25">
      <c r="A67" s="104" t="s">
        <v>259</v>
      </c>
      <c r="B67" s="131" t="str">
        <f>VLOOKUP(A67,'0 Järjestäjätiedot'!A:H,2,FALSE)</f>
        <v>Vaasan kaupunki</v>
      </c>
      <c r="C67" s="304">
        <v>2549.6630136985186</v>
      </c>
      <c r="D67" s="304">
        <v>2549.6630136985186</v>
      </c>
      <c r="E67" s="304"/>
      <c r="F67" s="304">
        <v>1935.9087287671214</v>
      </c>
      <c r="G67" s="304">
        <v>322.29031819177163</v>
      </c>
      <c r="H67" s="304">
        <v>116.44668493150618</v>
      </c>
      <c r="I67" s="304">
        <v>14.779890410958744</v>
      </c>
      <c r="J67" s="304"/>
      <c r="K67" s="304">
        <v>162.65232876712219</v>
      </c>
      <c r="L67" s="304">
        <v>0.95123287671232404</v>
      </c>
      <c r="M67" s="304"/>
      <c r="N67" s="304">
        <v>1.9929445890410791</v>
      </c>
      <c r="O67" s="304">
        <v>4.8924054794520124</v>
      </c>
      <c r="P67" s="304">
        <v>2559.9145340136956</v>
      </c>
      <c r="Q67" s="305">
        <v>1.004020735391344</v>
      </c>
    </row>
    <row r="68" spans="1:17" ht="15" customHeight="1" x14ac:dyDescent="0.25">
      <c r="A68" s="104" t="s">
        <v>392</v>
      </c>
      <c r="B68" s="131" t="str">
        <f>VLOOKUP(A68,'0 Järjestäjätiedot'!A:H,2,FALSE)</f>
        <v>Haapaveden Opiston kannatusyhdistys ry</v>
      </c>
      <c r="C68" s="304">
        <v>114.64109589041034</v>
      </c>
      <c r="D68" s="304">
        <v>114.64109589041034</v>
      </c>
      <c r="E68" s="304"/>
      <c r="F68" s="304">
        <v>78.045698630136428</v>
      </c>
      <c r="G68" s="304">
        <v>23.0193715068492</v>
      </c>
      <c r="H68" s="304"/>
      <c r="I68" s="304"/>
      <c r="J68" s="304"/>
      <c r="K68" s="304">
        <v>5.164383561643807</v>
      </c>
      <c r="L68" s="304">
        <v>8.7290684931506419</v>
      </c>
      <c r="M68" s="304"/>
      <c r="N68" s="304"/>
      <c r="O68" s="304"/>
      <c r="P68" s="304">
        <v>114.95852219178033</v>
      </c>
      <c r="Q68" s="305">
        <v>1.0027688700889028</v>
      </c>
    </row>
    <row r="69" spans="1:17" ht="15" customHeight="1" x14ac:dyDescent="0.25">
      <c r="A69" s="104" t="s">
        <v>369</v>
      </c>
      <c r="B69" s="131" t="str">
        <f>VLOOKUP(A69,'0 Järjestäjätiedot'!A:H,2,FALSE)</f>
        <v>Kalajoen Kristillisen Opiston Kannatusyhdistys ry</v>
      </c>
      <c r="C69" s="304">
        <v>78.345205479451565</v>
      </c>
      <c r="D69" s="304">
        <v>78.345205479451565</v>
      </c>
      <c r="E69" s="304"/>
      <c r="F69" s="304">
        <v>55.092821917807811</v>
      </c>
      <c r="G69" s="304">
        <v>17.301077260273878</v>
      </c>
      <c r="H69" s="304"/>
      <c r="I69" s="304"/>
      <c r="J69" s="304"/>
      <c r="K69" s="304">
        <v>3.3342465753424442</v>
      </c>
      <c r="L69" s="304">
        <v>5.303041095890376</v>
      </c>
      <c r="M69" s="304"/>
      <c r="N69" s="304"/>
      <c r="O69" s="304"/>
      <c r="P69" s="304">
        <v>81.031186849314551</v>
      </c>
      <c r="Q69" s="305">
        <v>1.0342839278220728</v>
      </c>
    </row>
    <row r="70" spans="1:17" ht="15" customHeight="1" x14ac:dyDescent="0.25">
      <c r="A70" s="104" t="s">
        <v>374</v>
      </c>
      <c r="B70" s="131" t="str">
        <f>VLOOKUP(A70,'0 Järjestäjätiedot'!A:H,2,FALSE)</f>
        <v>Jokilaaksojen koulutuskuntayhtymä</v>
      </c>
      <c r="C70" s="304">
        <v>2765.3031506848711</v>
      </c>
      <c r="D70" s="304">
        <v>2753.4454794519943</v>
      </c>
      <c r="E70" s="304">
        <v>11.857671232876712</v>
      </c>
      <c r="F70" s="304">
        <v>2361.5946739726401</v>
      </c>
      <c r="G70" s="304">
        <v>308.75390805478946</v>
      </c>
      <c r="H70" s="304">
        <v>133.9527041095885</v>
      </c>
      <c r="I70" s="304">
        <v>3.7799589041095594</v>
      </c>
      <c r="J70" s="304">
        <v>10.190999999999999</v>
      </c>
      <c r="K70" s="304">
        <v>162.32156712328714</v>
      </c>
      <c r="L70" s="304">
        <v>53.360328767123413</v>
      </c>
      <c r="M70" s="304">
        <v>-2.1963297561643715</v>
      </c>
      <c r="N70" s="304">
        <v>5.0921849520547742</v>
      </c>
      <c r="O70" s="304">
        <v>54.591210958904007</v>
      </c>
      <c r="P70" s="304">
        <v>3091.4412070863468</v>
      </c>
      <c r="Q70" s="305">
        <v>1.1179393500928472</v>
      </c>
    </row>
    <row r="71" spans="1:17" ht="15" customHeight="1" x14ac:dyDescent="0.25">
      <c r="A71" s="104" t="s">
        <v>305</v>
      </c>
      <c r="B71" s="131" t="str">
        <f>VLOOKUP(A71,'0 Järjestäjätiedot'!A:H,2,FALSE)</f>
        <v>Raahen Koulutuskuntayhtymä</v>
      </c>
      <c r="C71" s="304">
        <v>981.12246575341999</v>
      </c>
      <c r="D71" s="304">
        <v>979.12246575341999</v>
      </c>
      <c r="E71" s="304">
        <v>2</v>
      </c>
      <c r="F71" s="304">
        <v>909.41015068492209</v>
      </c>
      <c r="G71" s="304">
        <v>129.88268021917676</v>
      </c>
      <c r="H71" s="304">
        <v>8.0775616438355513</v>
      </c>
      <c r="I71" s="304">
        <v>8.0582465753424</v>
      </c>
      <c r="J71" s="304">
        <v>1.72</v>
      </c>
      <c r="K71" s="304">
        <v>63.523561643835393</v>
      </c>
      <c r="L71" s="304">
        <v>19.586904109588946</v>
      </c>
      <c r="M71" s="304"/>
      <c r="N71" s="304">
        <v>3.8261194520547761</v>
      </c>
      <c r="O71" s="304"/>
      <c r="P71" s="304">
        <v>1144.0852243287593</v>
      </c>
      <c r="Q71" s="305">
        <v>1.1660982846317722</v>
      </c>
    </row>
    <row r="72" spans="1:17" ht="15" customHeight="1" x14ac:dyDescent="0.25">
      <c r="A72" s="104" t="s">
        <v>298</v>
      </c>
      <c r="B72" s="131" t="str">
        <f>VLOOKUP(A72,'0 Järjestäjätiedot'!A:H,2,FALSE)</f>
        <v>Rovalan Setlementti ry</v>
      </c>
      <c r="C72" s="304">
        <v>53.592931506849062</v>
      </c>
      <c r="D72" s="304">
        <v>53.39293150684906</v>
      </c>
      <c r="E72" s="304">
        <v>0.2</v>
      </c>
      <c r="F72" s="304">
        <v>20.77730630136972</v>
      </c>
      <c r="G72" s="304">
        <v>24.70290583561632</v>
      </c>
      <c r="H72" s="304"/>
      <c r="I72" s="304"/>
      <c r="J72" s="304">
        <v>0.17199999999999999</v>
      </c>
      <c r="K72" s="304">
        <v>1.9756164383561496</v>
      </c>
      <c r="L72" s="304">
        <v>2.0834739726027247</v>
      </c>
      <c r="M72" s="304"/>
      <c r="N72" s="304"/>
      <c r="O72" s="304"/>
      <c r="P72" s="304">
        <v>49.711302547944946</v>
      </c>
      <c r="Q72" s="305">
        <v>0.92757199784064714</v>
      </c>
    </row>
    <row r="73" spans="1:17" ht="15" customHeight="1" x14ac:dyDescent="0.25">
      <c r="A73" s="104" t="s">
        <v>405</v>
      </c>
      <c r="B73" s="131" t="str">
        <f>VLOOKUP(A73,'0 Järjestäjätiedot'!A:H,2,FALSE)</f>
        <v>Ava-instituutin kannatusyhdistys ry</v>
      </c>
      <c r="C73" s="304">
        <v>129.36301369862915</v>
      </c>
      <c r="D73" s="304">
        <v>129.36301369862915</v>
      </c>
      <c r="E73" s="304"/>
      <c r="F73" s="304"/>
      <c r="G73" s="304">
        <v>73.562298082191319</v>
      </c>
      <c r="H73" s="304"/>
      <c r="I73" s="304"/>
      <c r="J73" s="304"/>
      <c r="K73" s="304"/>
      <c r="L73" s="304"/>
      <c r="M73" s="304"/>
      <c r="N73" s="304"/>
      <c r="O73" s="304"/>
      <c r="P73" s="304">
        <v>73.562298082191319</v>
      </c>
      <c r="Q73" s="305">
        <v>0.56865015725101997</v>
      </c>
    </row>
    <row r="74" spans="1:17" ht="15" customHeight="1" x14ac:dyDescent="0.25">
      <c r="A74" s="104" t="s">
        <v>276</v>
      </c>
      <c r="B74" s="131" t="str">
        <f>VLOOKUP(A74,'0 Järjestäjätiedot'!A:H,2,FALSE)</f>
        <v>Tampereen kaupunki</v>
      </c>
      <c r="C74" s="304">
        <v>8209.0720547937872</v>
      </c>
      <c r="D74" s="304">
        <v>8146.3420547937876</v>
      </c>
      <c r="E74" s="304">
        <v>62.73</v>
      </c>
      <c r="F74" s="304">
        <v>7012.0275150681873</v>
      </c>
      <c r="G74" s="304">
        <v>739.0440739451949</v>
      </c>
      <c r="H74" s="304">
        <v>261.86983561643632</v>
      </c>
      <c r="I74" s="304">
        <v>3.2449315068492215</v>
      </c>
      <c r="J74" s="304">
        <v>53.947800000000008</v>
      </c>
      <c r="K74" s="304">
        <v>593.42813698629004</v>
      </c>
      <c r="L74" s="304">
        <v>20.208602739725901</v>
      </c>
      <c r="M74" s="304"/>
      <c r="N74" s="304">
        <v>3.4264360273972456</v>
      </c>
      <c r="O74" s="304"/>
      <c r="P74" s="304">
        <v>8687.1973318906112</v>
      </c>
      <c r="Q74" s="305">
        <v>1.0582435230079013</v>
      </c>
    </row>
    <row r="75" spans="1:17" ht="15" customHeight="1" x14ac:dyDescent="0.25">
      <c r="A75" s="104" t="s">
        <v>318</v>
      </c>
      <c r="B75" s="131" t="str">
        <f>VLOOKUP(A75,'0 Järjestäjätiedot'!A:H,2,FALSE)</f>
        <v>Pohjois-Karjalan Koulutuskuntayhtymä</v>
      </c>
      <c r="C75" s="304">
        <v>4864.284205479039</v>
      </c>
      <c r="D75" s="304">
        <v>4844.7812054790393</v>
      </c>
      <c r="E75" s="304">
        <v>19.503</v>
      </c>
      <c r="F75" s="304">
        <v>4469.2915893151758</v>
      </c>
      <c r="G75" s="304">
        <v>471.98653293149465</v>
      </c>
      <c r="H75" s="304">
        <v>51.202701369862694</v>
      </c>
      <c r="I75" s="304">
        <v>3.9286849315068144</v>
      </c>
      <c r="J75" s="304">
        <v>16.772580000000001</v>
      </c>
      <c r="K75" s="304">
        <v>314.53763013698324</v>
      </c>
      <c r="L75" s="304">
        <v>135.55317589041215</v>
      </c>
      <c r="M75" s="304"/>
      <c r="N75" s="304">
        <v>5.3686489726027204</v>
      </c>
      <c r="O75" s="304"/>
      <c r="P75" s="304">
        <v>5468.6415435483168</v>
      </c>
      <c r="Q75" s="305">
        <v>1.1242438378474162</v>
      </c>
    </row>
    <row r="76" spans="1:17" ht="15" customHeight="1" x14ac:dyDescent="0.25">
      <c r="A76" s="104" t="s">
        <v>367</v>
      </c>
      <c r="B76" s="131" t="str">
        <f>VLOOKUP(A76,'0 Järjestäjätiedot'!A:H,2,FALSE)</f>
        <v>Kansan Sivistystyön Liitto KSL ry</v>
      </c>
      <c r="C76" s="304">
        <v>63.750273972602571</v>
      </c>
      <c r="D76" s="304">
        <v>45.380273972602566</v>
      </c>
      <c r="E76" s="304">
        <v>18.37</v>
      </c>
      <c r="F76" s="304"/>
      <c r="G76" s="304">
        <v>42.979657479451895</v>
      </c>
      <c r="H76" s="304"/>
      <c r="I76" s="304"/>
      <c r="J76" s="304">
        <v>15.7982</v>
      </c>
      <c r="K76" s="304"/>
      <c r="L76" s="304"/>
      <c r="M76" s="304"/>
      <c r="N76" s="304"/>
      <c r="O76" s="304"/>
      <c r="P76" s="304">
        <v>58.77785747945186</v>
      </c>
      <c r="Q76" s="305">
        <v>0.92200164511782856</v>
      </c>
    </row>
    <row r="77" spans="1:17" ht="15" customHeight="1" x14ac:dyDescent="0.25">
      <c r="A77" s="104" t="s">
        <v>341</v>
      </c>
      <c r="B77" s="131" t="str">
        <f>VLOOKUP(A77,'0 Järjestäjätiedot'!A:H,2,FALSE)</f>
        <v>Keski-Uudenmaan koulutuskuntayhtymä</v>
      </c>
      <c r="C77" s="304">
        <v>5978.5435616432633</v>
      </c>
      <c r="D77" s="304">
        <v>5978.5435616432633</v>
      </c>
      <c r="E77" s="304"/>
      <c r="F77" s="304">
        <v>5116.4215863013033</v>
      </c>
      <c r="G77" s="304">
        <v>713.33631599999228</v>
      </c>
      <c r="H77" s="304">
        <v>75.332630136985927</v>
      </c>
      <c r="I77" s="304">
        <v>1.2651369863013615</v>
      </c>
      <c r="J77" s="304"/>
      <c r="K77" s="304">
        <v>184.95501369862924</v>
      </c>
      <c r="L77" s="304">
        <v>51.022602739726224</v>
      </c>
      <c r="M77" s="304"/>
      <c r="N77" s="304"/>
      <c r="O77" s="304">
        <v>21.795068493150595</v>
      </c>
      <c r="P77" s="304">
        <v>6164.1283543564168</v>
      </c>
      <c r="Q77" s="305">
        <v>1.0310418065536644</v>
      </c>
    </row>
    <row r="78" spans="1:17" ht="15" customHeight="1" x14ac:dyDescent="0.25">
      <c r="A78" s="104" t="s">
        <v>368</v>
      </c>
      <c r="B78" s="131" t="str">
        <f>VLOOKUP(A78,'0 Järjestäjätiedot'!A:H,2,FALSE)</f>
        <v>Kanneljärven Kansanopiston kannatusyhdistys r.y.</v>
      </c>
      <c r="C78" s="304">
        <v>84.46520547945164</v>
      </c>
      <c r="D78" s="304">
        <v>84.46520547945164</v>
      </c>
      <c r="E78" s="304"/>
      <c r="F78" s="304">
        <v>79.821123287670773</v>
      </c>
      <c r="G78" s="304">
        <v>2.4180573698629786</v>
      </c>
      <c r="H78" s="304"/>
      <c r="I78" s="304">
        <v>0.93871232876711863</v>
      </c>
      <c r="J78" s="304"/>
      <c r="K78" s="304">
        <v>5.6095890410958589</v>
      </c>
      <c r="L78" s="304">
        <v>11.460679452054718</v>
      </c>
      <c r="M78" s="304"/>
      <c r="N78" s="304"/>
      <c r="O78" s="304"/>
      <c r="P78" s="304">
        <v>100.24816147945154</v>
      </c>
      <c r="Q78" s="305">
        <v>1.186857486587652</v>
      </c>
    </row>
    <row r="79" spans="1:17" ht="15" customHeight="1" x14ac:dyDescent="0.25">
      <c r="A79" s="104" t="s">
        <v>243</v>
      </c>
      <c r="B79" s="131" t="str">
        <f>VLOOKUP(A79,'0 Järjestäjätiedot'!A:H,2,FALSE)</f>
        <v>Ylä-Savon koulutuskuntayhtymä</v>
      </c>
      <c r="C79" s="304">
        <v>1539.7189041095667</v>
      </c>
      <c r="D79" s="304">
        <v>1539.7189041095667</v>
      </c>
      <c r="E79" s="304"/>
      <c r="F79" s="304">
        <v>1340.6325369862927</v>
      </c>
      <c r="G79" s="304">
        <v>342.10826597259074</v>
      </c>
      <c r="H79" s="304">
        <v>41.990958904109355</v>
      </c>
      <c r="I79" s="304"/>
      <c r="J79" s="304"/>
      <c r="K79" s="304">
        <v>94.984657534245713</v>
      </c>
      <c r="L79" s="304">
        <v>44.272586301369699</v>
      </c>
      <c r="M79" s="304"/>
      <c r="N79" s="304">
        <v>0.91240253424656992</v>
      </c>
      <c r="O79" s="304">
        <v>2.2128219178082049</v>
      </c>
      <c r="P79" s="304">
        <v>1867.1142301506543</v>
      </c>
      <c r="Q79" s="305">
        <v>1.2126331794506511</v>
      </c>
    </row>
    <row r="80" spans="1:17" ht="15" customHeight="1" x14ac:dyDescent="0.25">
      <c r="A80" s="104" t="s">
        <v>307</v>
      </c>
      <c r="B80" s="131" t="str">
        <f>VLOOKUP(A80,'0 Järjestäjätiedot'!A:H,2,FALSE)</f>
        <v>Pohjois-Savon Kansanopistoseura r.y.</v>
      </c>
      <c r="C80" s="304">
        <v>44.723287671232633</v>
      </c>
      <c r="D80" s="304">
        <v>44.723287671232633</v>
      </c>
      <c r="E80" s="304"/>
      <c r="F80" s="304">
        <v>44.276054794520284</v>
      </c>
      <c r="G80" s="304"/>
      <c r="H80" s="304"/>
      <c r="I80" s="304"/>
      <c r="J80" s="304"/>
      <c r="K80" s="304">
        <v>3.3054794520547786</v>
      </c>
      <c r="L80" s="304"/>
      <c r="M80" s="304"/>
      <c r="N80" s="304"/>
      <c r="O80" s="304"/>
      <c r="P80" s="304">
        <v>47.581534246575075</v>
      </c>
      <c r="Q80" s="305">
        <v>1.0639095809850525</v>
      </c>
    </row>
    <row r="81" spans="1:17" ht="15" customHeight="1" x14ac:dyDescent="0.25">
      <c r="A81" s="104" t="s">
        <v>370</v>
      </c>
      <c r="B81" s="131" t="str">
        <f>VLOOKUP(A81,'0 Järjestäjätiedot'!A:H,2,FALSE)</f>
        <v>Kajaanin kaupunki</v>
      </c>
      <c r="C81" s="304">
        <v>2592.3301369862802</v>
      </c>
      <c r="D81" s="304">
        <v>2592.3301369862802</v>
      </c>
      <c r="E81" s="304"/>
      <c r="F81" s="304">
        <v>2209.85993150684</v>
      </c>
      <c r="G81" s="304">
        <v>388.31120673972089</v>
      </c>
      <c r="H81" s="304">
        <v>37.20854794520524</v>
      </c>
      <c r="I81" s="304">
        <v>10.681232876712253</v>
      </c>
      <c r="J81" s="304"/>
      <c r="K81" s="304">
        <v>112.10663013698502</v>
      </c>
      <c r="L81" s="304">
        <v>82.295506849315146</v>
      </c>
      <c r="M81" s="304">
        <v>-11.154518709369805</v>
      </c>
      <c r="N81" s="304">
        <v>0.62954883561643338</v>
      </c>
      <c r="O81" s="304"/>
      <c r="P81" s="304">
        <v>2829.938086181071</v>
      </c>
      <c r="Q81" s="305">
        <v>1.0916580592127121</v>
      </c>
    </row>
    <row r="82" spans="1:17" ht="15" customHeight="1" x14ac:dyDescent="0.25">
      <c r="A82" s="104" t="s">
        <v>359</v>
      </c>
      <c r="B82" s="131" t="str">
        <f>VLOOKUP(A82,'0 Järjestäjätiedot'!A:H,2,FALSE)</f>
        <v>Kirkkopalvelut ry</v>
      </c>
      <c r="C82" s="304">
        <v>1477.323150684944</v>
      </c>
      <c r="D82" s="304">
        <v>1476.623150684944</v>
      </c>
      <c r="E82" s="304">
        <v>0.7</v>
      </c>
      <c r="F82" s="304">
        <v>1160.8947764383424</v>
      </c>
      <c r="G82" s="304">
        <v>178.91207158904024</v>
      </c>
      <c r="H82" s="304">
        <v>39.228904109588797</v>
      </c>
      <c r="I82" s="304"/>
      <c r="J82" s="304">
        <v>0.60199999999999998</v>
      </c>
      <c r="K82" s="304">
        <v>87.526068493150305</v>
      </c>
      <c r="L82" s="304">
        <v>44.510356164383225</v>
      </c>
      <c r="M82" s="304"/>
      <c r="N82" s="304"/>
      <c r="O82" s="304"/>
      <c r="P82" s="304">
        <v>1511.6741767945284</v>
      </c>
      <c r="Q82" s="305">
        <v>1.0232522086272446</v>
      </c>
    </row>
    <row r="83" spans="1:17" ht="15" customHeight="1" x14ac:dyDescent="0.25">
      <c r="A83" s="104" t="s">
        <v>302</v>
      </c>
      <c r="B83" s="131" t="str">
        <f>VLOOKUP(A83,'0 Järjestäjätiedot'!A:H,2,FALSE)</f>
        <v>Rakennusteollisuus RT ry</v>
      </c>
      <c r="C83" s="304">
        <v>201.43643835616382</v>
      </c>
      <c r="D83" s="304">
        <v>121.41643835616382</v>
      </c>
      <c r="E83" s="304">
        <v>80.02</v>
      </c>
      <c r="F83" s="304"/>
      <c r="G83" s="304">
        <v>90.382705479451673</v>
      </c>
      <c r="H83" s="304"/>
      <c r="I83" s="304"/>
      <c r="J83" s="304">
        <v>68.8172</v>
      </c>
      <c r="K83" s="304"/>
      <c r="L83" s="304"/>
      <c r="M83" s="304"/>
      <c r="N83" s="304"/>
      <c r="O83" s="304"/>
      <c r="P83" s="304">
        <v>159.19990547945173</v>
      </c>
      <c r="Q83" s="305">
        <v>0.79032327407401426</v>
      </c>
    </row>
    <row r="84" spans="1:17" ht="15" customHeight="1" x14ac:dyDescent="0.25">
      <c r="A84" s="104" t="s">
        <v>261</v>
      </c>
      <c r="B84" s="131" t="str">
        <f>VLOOKUP(A84,'0 Järjestäjätiedot'!A:H,2,FALSE)</f>
        <v>Työväen Sivistysliitto TSL ry</v>
      </c>
      <c r="C84" s="304">
        <v>37.299999999999997</v>
      </c>
      <c r="D84" s="304"/>
      <c r="E84" s="304">
        <v>37.299999999999997</v>
      </c>
      <c r="F84" s="304"/>
      <c r="G84" s="304"/>
      <c r="H84" s="304"/>
      <c r="I84" s="304"/>
      <c r="J84" s="304">
        <v>32.078000000000003</v>
      </c>
      <c r="K84" s="304"/>
      <c r="L84" s="304"/>
      <c r="M84" s="304"/>
      <c r="N84" s="304"/>
      <c r="O84" s="304"/>
      <c r="P84" s="304">
        <v>32.078000000000003</v>
      </c>
      <c r="Q84" s="305">
        <v>0.8600000000000001</v>
      </c>
    </row>
    <row r="85" spans="1:17" ht="15" customHeight="1" x14ac:dyDescent="0.25">
      <c r="A85" s="104" t="s">
        <v>329</v>
      </c>
      <c r="B85" s="131" t="str">
        <f>VLOOKUP(A85,'0 Järjestäjätiedot'!A:H,2,FALSE)</f>
        <v>Maalariammattikoulun kannatusyhdistys r.y.</v>
      </c>
      <c r="C85" s="304">
        <v>195.78082191780732</v>
      </c>
      <c r="D85" s="304">
        <v>195.78082191780732</v>
      </c>
      <c r="E85" s="304"/>
      <c r="F85" s="304">
        <v>190.40169863013659</v>
      </c>
      <c r="G85" s="304">
        <v>3.9791490410958694</v>
      </c>
      <c r="H85" s="304"/>
      <c r="I85" s="304"/>
      <c r="J85" s="304"/>
      <c r="K85" s="304">
        <v>4.1589041095890238</v>
      </c>
      <c r="L85" s="304"/>
      <c r="M85" s="304"/>
      <c r="N85" s="304"/>
      <c r="O85" s="304"/>
      <c r="P85" s="304">
        <v>198.53975178082143</v>
      </c>
      <c r="Q85" s="305">
        <v>1.0140919311502961</v>
      </c>
    </row>
    <row r="86" spans="1:17" ht="15" customHeight="1" x14ac:dyDescent="0.25">
      <c r="A86" s="104" t="s">
        <v>285</v>
      </c>
      <c r="B86" s="131" t="str">
        <f>VLOOKUP(A86,'0 Järjestäjätiedot'!A:H,2,FALSE)</f>
        <v>Suomen Luterilainen Evankeliumiyhdistys ry</v>
      </c>
      <c r="C86" s="304">
        <v>20.763479452054611</v>
      </c>
      <c r="D86" s="304">
        <v>20.763479452054611</v>
      </c>
      <c r="E86" s="304"/>
      <c r="F86" s="304"/>
      <c r="G86" s="304">
        <v>19.665091389040917</v>
      </c>
      <c r="H86" s="304"/>
      <c r="I86" s="304"/>
      <c r="J86" s="304"/>
      <c r="K86" s="304"/>
      <c r="L86" s="304"/>
      <c r="M86" s="304"/>
      <c r="N86" s="304"/>
      <c r="O86" s="304"/>
      <c r="P86" s="304">
        <v>19.665091389040917</v>
      </c>
      <c r="Q86" s="305">
        <v>0.94709999999999972</v>
      </c>
    </row>
    <row r="87" spans="1:17" ht="15" customHeight="1" x14ac:dyDescent="0.25">
      <c r="A87" s="104" t="s">
        <v>375</v>
      </c>
      <c r="B87" s="131" t="str">
        <f>VLOOKUP(A87,'0 Järjestäjätiedot'!A:H,2,FALSE)</f>
        <v>Joensuun kaupunki</v>
      </c>
      <c r="C87" s="304">
        <v>50.490410958903858</v>
      </c>
      <c r="D87" s="304">
        <v>50.490410958903858</v>
      </c>
      <c r="E87" s="304"/>
      <c r="F87" s="304">
        <v>80.279753424657159</v>
      </c>
      <c r="G87" s="304"/>
      <c r="H87" s="304"/>
      <c r="I87" s="304"/>
      <c r="J87" s="304"/>
      <c r="K87" s="304"/>
      <c r="L87" s="304"/>
      <c r="M87" s="304"/>
      <c r="N87" s="304"/>
      <c r="O87" s="304"/>
      <c r="P87" s="304">
        <v>80.279753424657159</v>
      </c>
      <c r="Q87" s="305">
        <v>1.5900000000000012</v>
      </c>
    </row>
    <row r="88" spans="1:17" ht="15" customHeight="1" x14ac:dyDescent="0.25">
      <c r="A88" s="104" t="s">
        <v>265</v>
      </c>
      <c r="B88" s="131" t="str">
        <f>VLOOKUP(A88,'0 Järjestäjätiedot'!A:H,2,FALSE)</f>
        <v>Turun Ammattiopistosäätiö sr</v>
      </c>
      <c r="C88" s="304">
        <v>298.81342465753363</v>
      </c>
      <c r="D88" s="304">
        <v>298.81342465753363</v>
      </c>
      <c r="E88" s="304"/>
      <c r="F88" s="304">
        <v>281.91324657534159</v>
      </c>
      <c r="G88" s="304">
        <v>21.540996821917659</v>
      </c>
      <c r="H88" s="304"/>
      <c r="I88" s="304"/>
      <c r="J88" s="304"/>
      <c r="K88" s="304">
        <v>41.463013698629936</v>
      </c>
      <c r="L88" s="304"/>
      <c r="M88" s="304"/>
      <c r="N88" s="304"/>
      <c r="O88" s="304"/>
      <c r="P88" s="304">
        <v>344.91725709588582</v>
      </c>
      <c r="Q88" s="305">
        <v>1.1542896959572388</v>
      </c>
    </row>
    <row r="89" spans="1:17" ht="15" customHeight="1" x14ac:dyDescent="0.25">
      <c r="A89" s="104" t="s">
        <v>308</v>
      </c>
      <c r="B89" s="131" t="str">
        <f>VLOOKUP(A89,'0 Järjestäjätiedot'!A:H,2,FALSE)</f>
        <v>Pohjois-Satakunnan Kansanopiston kannatusyhdistys r.y.</v>
      </c>
      <c r="C89" s="304">
        <v>123.98273972602692</v>
      </c>
      <c r="D89" s="304">
        <v>116.20273972602692</v>
      </c>
      <c r="E89" s="304">
        <v>7.78</v>
      </c>
      <c r="F89" s="304">
        <v>66.70594520547921</v>
      </c>
      <c r="G89" s="304">
        <v>38.23132273972584</v>
      </c>
      <c r="H89" s="304"/>
      <c r="I89" s="304"/>
      <c r="J89" s="304">
        <v>6.6908000000000003</v>
      </c>
      <c r="K89" s="304">
        <v>1.4301369863013611</v>
      </c>
      <c r="L89" s="304">
        <v>2.976712328767102</v>
      </c>
      <c r="M89" s="304"/>
      <c r="N89" s="304"/>
      <c r="O89" s="304"/>
      <c r="P89" s="304">
        <v>116.03491726027349</v>
      </c>
      <c r="Q89" s="305">
        <v>0.93589573449242791</v>
      </c>
    </row>
    <row r="90" spans="1:17" ht="15" customHeight="1" x14ac:dyDescent="0.25">
      <c r="A90" s="104" t="s">
        <v>316</v>
      </c>
      <c r="B90" s="131" t="str">
        <f>VLOOKUP(A90,'0 Järjestäjätiedot'!A:H,2,FALSE)</f>
        <v>Paasikiviopistoyhdistys r.y.</v>
      </c>
      <c r="C90" s="304">
        <v>51.794520547944899</v>
      </c>
      <c r="D90" s="304">
        <v>44.3945205479449</v>
      </c>
      <c r="E90" s="304">
        <v>7.4</v>
      </c>
      <c r="F90" s="304">
        <v>54.605260273972206</v>
      </c>
      <c r="G90" s="304"/>
      <c r="H90" s="304"/>
      <c r="I90" s="304"/>
      <c r="J90" s="304">
        <v>6.3639999999999999</v>
      </c>
      <c r="K90" s="304">
        <v>3.4520547945205262</v>
      </c>
      <c r="L90" s="304">
        <v>9.2536438356163959</v>
      </c>
      <c r="M90" s="304"/>
      <c r="N90" s="304"/>
      <c r="O90" s="304"/>
      <c r="P90" s="304">
        <v>73.674958904108962</v>
      </c>
      <c r="Q90" s="305">
        <v>1.4224469717006045</v>
      </c>
    </row>
    <row r="91" spans="1:17" ht="15" customHeight="1" x14ac:dyDescent="0.25">
      <c r="A91" s="104" t="s">
        <v>401</v>
      </c>
      <c r="B91" s="131" t="str">
        <f>VLOOKUP(A91,'0 Järjestäjätiedot'!A:H,2,FALSE)</f>
        <v>Espoon seudun koulutuskuntayhtymä Omnia</v>
      </c>
      <c r="C91" s="304">
        <v>5996.0063561640527</v>
      </c>
      <c r="D91" s="304">
        <v>5996.0063561640527</v>
      </c>
      <c r="E91" s="304"/>
      <c r="F91" s="304">
        <v>4651.0747178083584</v>
      </c>
      <c r="G91" s="304">
        <v>642.84277380820652</v>
      </c>
      <c r="H91" s="304">
        <v>179.86191780821818</v>
      </c>
      <c r="I91" s="304">
        <v>19.635698630136812</v>
      </c>
      <c r="J91" s="304"/>
      <c r="K91" s="304">
        <v>424.61178082191486</v>
      </c>
      <c r="L91" s="304"/>
      <c r="M91" s="304"/>
      <c r="N91" s="304">
        <v>2.6602550684931341</v>
      </c>
      <c r="O91" s="304"/>
      <c r="P91" s="304">
        <v>5920.6871439453735</v>
      </c>
      <c r="Q91" s="305">
        <v>0.9874384368953758</v>
      </c>
    </row>
    <row r="92" spans="1:17" ht="15" customHeight="1" x14ac:dyDescent="0.25">
      <c r="A92" s="104" t="s">
        <v>365</v>
      </c>
      <c r="B92" s="131" t="str">
        <f>VLOOKUP(A92,'0 Järjestäjätiedot'!A:H,2,FALSE)</f>
        <v>Kauppiaitten Kauppaoppilaitos Oy</v>
      </c>
      <c r="C92" s="304">
        <v>715.09410958904448</v>
      </c>
      <c r="D92" s="304">
        <v>715.09410958904448</v>
      </c>
      <c r="E92" s="304"/>
      <c r="F92" s="304">
        <v>461.29908219177668</v>
      </c>
      <c r="G92" s="304">
        <v>29.586817534246439</v>
      </c>
      <c r="H92" s="304"/>
      <c r="I92" s="304">
        <v>1.7383561643835514</v>
      </c>
      <c r="J92" s="304"/>
      <c r="K92" s="304">
        <v>31.142465753424517</v>
      </c>
      <c r="L92" s="304"/>
      <c r="M92" s="304"/>
      <c r="N92" s="304"/>
      <c r="O92" s="304"/>
      <c r="P92" s="304">
        <v>523.76672164382978</v>
      </c>
      <c r="Q92" s="305">
        <v>0.73244446377111383</v>
      </c>
    </row>
    <row r="93" spans="1:17" ht="15" customHeight="1" x14ac:dyDescent="0.25">
      <c r="A93" s="104" t="s">
        <v>354</v>
      </c>
      <c r="B93" s="131" t="str">
        <f>VLOOKUP(A93,'0 Järjestäjätiedot'!A:H,2,FALSE)</f>
        <v>Korpisaaren Säätiö sr</v>
      </c>
      <c r="C93" s="304">
        <v>92.021369863013106</v>
      </c>
      <c r="D93" s="304">
        <v>92.021369863013106</v>
      </c>
      <c r="E93" s="304"/>
      <c r="F93" s="304">
        <v>69.827819178081697</v>
      </c>
      <c r="G93" s="304">
        <v>16.380469479451971</v>
      </c>
      <c r="H93" s="304"/>
      <c r="I93" s="304"/>
      <c r="J93" s="304"/>
      <c r="K93" s="304">
        <v>0.47397260273972397</v>
      </c>
      <c r="L93" s="304">
        <v>10.033205479451995</v>
      </c>
      <c r="M93" s="304">
        <v>-5.9313205479451833E-2</v>
      </c>
      <c r="N93" s="304"/>
      <c r="O93" s="304"/>
      <c r="P93" s="304">
        <v>96.656153534245888</v>
      </c>
      <c r="Q93" s="305">
        <v>1.0503663842228421</v>
      </c>
    </row>
    <row r="94" spans="1:17" ht="15" customHeight="1" x14ac:dyDescent="0.25">
      <c r="A94" s="104" t="s">
        <v>335</v>
      </c>
      <c r="B94" s="131" t="str">
        <f>VLOOKUP(A94,'0 Järjestäjätiedot'!A:H,2,FALSE)</f>
        <v>Lounais-Hämeen koulutuskuntayhtymä</v>
      </c>
      <c r="C94" s="304">
        <v>1192.2434246575344</v>
      </c>
      <c r="D94" s="304">
        <v>1189.3834246575345</v>
      </c>
      <c r="E94" s="304">
        <v>2.86</v>
      </c>
      <c r="F94" s="304">
        <v>896.51738904108777</v>
      </c>
      <c r="G94" s="304">
        <v>184.56557719177994</v>
      </c>
      <c r="H94" s="304">
        <v>13.675068493150606</v>
      </c>
      <c r="I94" s="304"/>
      <c r="J94" s="304">
        <v>2.4596</v>
      </c>
      <c r="K94" s="304">
        <v>49.530684931506599</v>
      </c>
      <c r="L94" s="304">
        <v>10.419397260273904</v>
      </c>
      <c r="M94" s="304">
        <v>-1.3525799945205452</v>
      </c>
      <c r="N94" s="304">
        <v>2.3689788356164185</v>
      </c>
      <c r="O94" s="304"/>
      <c r="P94" s="304">
        <v>1158.1841157588926</v>
      </c>
      <c r="Q94" s="305">
        <v>0.97143258818271572</v>
      </c>
    </row>
    <row r="95" spans="1:17" ht="15" customHeight="1" x14ac:dyDescent="0.25">
      <c r="A95" s="104" t="s">
        <v>282</v>
      </c>
      <c r="B95" s="131" t="str">
        <f>VLOOKUP(A95,'0 Järjestäjätiedot'!A:H,2,FALSE)</f>
        <v>Suomen ympäristöopisto SYKLI Oy</v>
      </c>
      <c r="C95" s="304">
        <v>286.03232876712235</v>
      </c>
      <c r="D95" s="304">
        <v>286.03232876712235</v>
      </c>
      <c r="E95" s="304"/>
      <c r="F95" s="304"/>
      <c r="G95" s="304">
        <v>218.04244421917718</v>
      </c>
      <c r="H95" s="304"/>
      <c r="I95" s="304"/>
      <c r="J95" s="304"/>
      <c r="K95" s="304">
        <v>0.29315068493150553</v>
      </c>
      <c r="L95" s="304"/>
      <c r="M95" s="304"/>
      <c r="N95" s="304">
        <v>2.3182273972602574</v>
      </c>
      <c r="O95" s="304"/>
      <c r="P95" s="304">
        <v>220.6538223013693</v>
      </c>
      <c r="Q95" s="305">
        <v>0.77142966059972207</v>
      </c>
    </row>
    <row r="96" spans="1:17" ht="15" customHeight="1" x14ac:dyDescent="0.25">
      <c r="A96" s="104" t="s">
        <v>393</v>
      </c>
      <c r="B96" s="131" t="str">
        <f>VLOOKUP(A96,'0 Järjestäjätiedot'!A:H,2,FALSE)</f>
        <v>Fysikaalinen hoitolaitos Arcus Lumio &amp; Pirttimaa</v>
      </c>
      <c r="C96" s="304">
        <v>29.227397260273847</v>
      </c>
      <c r="D96" s="304">
        <v>29.227397260273847</v>
      </c>
      <c r="E96" s="304"/>
      <c r="F96" s="304"/>
      <c r="G96" s="304">
        <v>22.280044931506701</v>
      </c>
      <c r="H96" s="304"/>
      <c r="I96" s="304"/>
      <c r="J96" s="304"/>
      <c r="K96" s="304"/>
      <c r="L96" s="304"/>
      <c r="M96" s="304"/>
      <c r="N96" s="304"/>
      <c r="O96" s="304"/>
      <c r="P96" s="304">
        <v>22.280044931506701</v>
      </c>
      <c r="Q96" s="305">
        <v>0.7622999999999982</v>
      </c>
    </row>
    <row r="97" spans="1:17" ht="15" customHeight="1" x14ac:dyDescent="0.25">
      <c r="A97" s="104" t="s">
        <v>410</v>
      </c>
      <c r="B97" s="131" t="str">
        <f>VLOOKUP(A97,'0 Järjestäjätiedot'!A:H,2,FALSE)</f>
        <v>ABB Oy</v>
      </c>
      <c r="C97" s="304">
        <v>37</v>
      </c>
      <c r="D97" s="304"/>
      <c r="E97" s="304">
        <v>37</v>
      </c>
      <c r="F97" s="304"/>
      <c r="G97" s="304"/>
      <c r="H97" s="304"/>
      <c r="I97" s="304"/>
      <c r="J97" s="304">
        <v>31.82</v>
      </c>
      <c r="K97" s="304"/>
      <c r="L97" s="304"/>
      <c r="M97" s="304">
        <v>-15.91</v>
      </c>
      <c r="N97" s="304"/>
      <c r="O97" s="304"/>
      <c r="P97" s="304">
        <v>15.91</v>
      </c>
      <c r="Q97" s="305">
        <v>0.43</v>
      </c>
    </row>
    <row r="98" spans="1:17" ht="15" customHeight="1" x14ac:dyDescent="0.25">
      <c r="A98" s="104" t="s">
        <v>326</v>
      </c>
      <c r="B98" s="131" t="str">
        <f>VLOOKUP(A98,'0 Järjestäjätiedot'!A:H,2,FALSE)</f>
        <v>Meyer Turku Oy</v>
      </c>
      <c r="C98" s="304">
        <v>6.0460273972602616</v>
      </c>
      <c r="D98" s="304">
        <v>0.24602739726026179</v>
      </c>
      <c r="E98" s="304">
        <v>5.8</v>
      </c>
      <c r="F98" s="304"/>
      <c r="G98" s="304">
        <v>0.18754668493149768</v>
      </c>
      <c r="H98" s="304"/>
      <c r="I98" s="304"/>
      <c r="J98" s="304">
        <v>4.9880000000000004</v>
      </c>
      <c r="K98" s="304"/>
      <c r="L98" s="304"/>
      <c r="M98" s="304">
        <v>-2.4940000000000002</v>
      </c>
      <c r="N98" s="304">
        <v>4.6886671232874419E-2</v>
      </c>
      <c r="O98" s="304"/>
      <c r="P98" s="304">
        <v>2.7284333561643725</v>
      </c>
      <c r="Q98" s="305">
        <v>0.45127704141743613</v>
      </c>
    </row>
    <row r="99" spans="1:17" ht="15" customHeight="1" x14ac:dyDescent="0.25">
      <c r="A99" s="104" t="s">
        <v>245</v>
      </c>
      <c r="B99" s="131" t="str">
        <f>VLOOKUP(A99,'0 Järjestäjätiedot'!A:H,2,FALSE)</f>
        <v>Wärtsilä Finland Oy</v>
      </c>
      <c r="C99" s="304">
        <v>35.54</v>
      </c>
      <c r="D99" s="304"/>
      <c r="E99" s="304">
        <v>35.54</v>
      </c>
      <c r="F99" s="304"/>
      <c r="G99" s="304"/>
      <c r="H99" s="304"/>
      <c r="I99" s="304"/>
      <c r="J99" s="304">
        <v>30.564399999999999</v>
      </c>
      <c r="K99" s="304"/>
      <c r="L99" s="304"/>
      <c r="M99" s="304">
        <v>-15.2822</v>
      </c>
      <c r="N99" s="304"/>
      <c r="O99" s="304"/>
      <c r="P99" s="304">
        <v>15.2822</v>
      </c>
      <c r="Q99" s="305">
        <v>0.43</v>
      </c>
    </row>
    <row r="100" spans="1:17" ht="15" customHeight="1" x14ac:dyDescent="0.25">
      <c r="A100" s="104" t="s">
        <v>361</v>
      </c>
      <c r="B100" s="131" t="str">
        <f>VLOOKUP(A100,'0 Järjestäjätiedot'!A:H,2,FALSE)</f>
        <v>Kiinteistöalan Koulutussäätiö sr</v>
      </c>
      <c r="C100" s="304">
        <v>341.9903835616571</v>
      </c>
      <c r="D100" s="304">
        <v>78.624383561657055</v>
      </c>
      <c r="E100" s="304">
        <v>263.36600000000004</v>
      </c>
      <c r="F100" s="304"/>
      <c r="G100" s="304">
        <v>42.378542739725397</v>
      </c>
      <c r="H100" s="304"/>
      <c r="I100" s="304"/>
      <c r="J100" s="304">
        <v>226.49476000000001</v>
      </c>
      <c r="K100" s="304"/>
      <c r="L100" s="304"/>
      <c r="M100" s="304">
        <v>-3.7757447397259836</v>
      </c>
      <c r="N100" s="304"/>
      <c r="O100" s="304"/>
      <c r="P100" s="304">
        <v>265.09755799999823</v>
      </c>
      <c r="Q100" s="305">
        <v>0.77516085463907225</v>
      </c>
    </row>
    <row r="101" spans="1:17" ht="15" customHeight="1" x14ac:dyDescent="0.25">
      <c r="A101" s="104" t="s">
        <v>321</v>
      </c>
      <c r="B101" s="131" t="str">
        <f>VLOOKUP(A101,'0 Järjestäjätiedot'!A:H,2,FALSE)</f>
        <v>Optima samkommun</v>
      </c>
      <c r="C101" s="304">
        <v>1220.2046575342245</v>
      </c>
      <c r="D101" s="304">
        <v>1220.2046575342245</v>
      </c>
      <c r="E101" s="304"/>
      <c r="F101" s="304">
        <v>991.30040547943179</v>
      </c>
      <c r="G101" s="304">
        <v>139.55178328767005</v>
      </c>
      <c r="H101" s="304">
        <v>86.61533424657442</v>
      </c>
      <c r="I101" s="304"/>
      <c r="J101" s="304"/>
      <c r="K101" s="304">
        <v>460.50106027396561</v>
      </c>
      <c r="L101" s="304">
        <v>66.586657534246683</v>
      </c>
      <c r="M101" s="304"/>
      <c r="N101" s="304"/>
      <c r="O101" s="304"/>
      <c r="P101" s="304">
        <v>1744.5552408219103</v>
      </c>
      <c r="Q101" s="305">
        <v>1.4297234730666259</v>
      </c>
    </row>
    <row r="102" spans="1:17" ht="15" customHeight="1" x14ac:dyDescent="0.25">
      <c r="A102" s="104" t="s">
        <v>313</v>
      </c>
      <c r="B102" s="131" t="str">
        <f>VLOOKUP(A102,'0 Järjestäjätiedot'!A:H,2,FALSE)</f>
        <v>Peimarin koulutuskuntayhtymä</v>
      </c>
      <c r="C102" s="304">
        <v>959.08342465754515</v>
      </c>
      <c r="D102" s="304">
        <v>958.92142465754512</v>
      </c>
      <c r="E102" s="304">
        <v>0.16200000000000001</v>
      </c>
      <c r="F102" s="304">
        <v>930.6880734246497</v>
      </c>
      <c r="G102" s="304">
        <v>178.62224991780798</v>
      </c>
      <c r="H102" s="304"/>
      <c r="I102" s="304">
        <v>1.6688219178082073</v>
      </c>
      <c r="J102" s="304">
        <v>0.13932</v>
      </c>
      <c r="K102" s="304">
        <v>48.212054794520256</v>
      </c>
      <c r="L102" s="304">
        <v>37.053493150684808</v>
      </c>
      <c r="M102" s="304"/>
      <c r="N102" s="304"/>
      <c r="O102" s="304">
        <v>1.9498082191780655</v>
      </c>
      <c r="P102" s="304">
        <v>1198.3338214246535</v>
      </c>
      <c r="Q102" s="305">
        <v>1.2494573366780208</v>
      </c>
    </row>
    <row r="103" spans="1:17" ht="15" customHeight="1" x14ac:dyDescent="0.25">
      <c r="A103" s="104" t="s">
        <v>306</v>
      </c>
      <c r="B103" s="131" t="str">
        <f>VLOOKUP(A103,'0 Järjestäjätiedot'!A:H,2,FALSE)</f>
        <v>Pohjois-Suomen Koulutuskeskussäätiö sr</v>
      </c>
      <c r="C103" s="304">
        <v>240.94383561643573</v>
      </c>
      <c r="D103" s="304">
        <v>235.44383561643573</v>
      </c>
      <c r="E103" s="304">
        <v>5.5</v>
      </c>
      <c r="F103" s="304">
        <v>98.136465753424162</v>
      </c>
      <c r="G103" s="304">
        <v>75.642816986299479</v>
      </c>
      <c r="H103" s="304"/>
      <c r="I103" s="304"/>
      <c r="J103" s="304">
        <v>4.7299999999999995</v>
      </c>
      <c r="K103" s="304"/>
      <c r="L103" s="304"/>
      <c r="M103" s="304">
        <v>-2.15</v>
      </c>
      <c r="N103" s="304">
        <v>4.976889726027391</v>
      </c>
      <c r="O103" s="304"/>
      <c r="P103" s="304">
        <v>181.33617246575307</v>
      </c>
      <c r="Q103" s="305">
        <v>0.75260764402550007</v>
      </c>
    </row>
    <row r="104" spans="1:17" ht="15" customHeight="1" x14ac:dyDescent="0.25">
      <c r="A104" s="104" t="s">
        <v>345</v>
      </c>
      <c r="B104" s="131" t="str">
        <f>VLOOKUP(A104,'0 Järjestäjätiedot'!A:H,2,FALSE)</f>
        <v>KSAK Oy</v>
      </c>
      <c r="C104" s="304">
        <v>111.19616438356115</v>
      </c>
      <c r="D104" s="304">
        <v>111.19616438356115</v>
      </c>
      <c r="E104" s="304"/>
      <c r="F104" s="304">
        <v>27.129698630136847</v>
      </c>
      <c r="G104" s="304">
        <v>55.747751068492974</v>
      </c>
      <c r="H104" s="304"/>
      <c r="I104" s="304"/>
      <c r="J104" s="304"/>
      <c r="K104" s="304"/>
      <c r="L104" s="304"/>
      <c r="M104" s="304">
        <v>-1.8924806849314966</v>
      </c>
      <c r="N104" s="304">
        <v>2.7062968493150543</v>
      </c>
      <c r="O104" s="304"/>
      <c r="P104" s="304">
        <v>83.691265863013456</v>
      </c>
      <c r="Q104" s="305">
        <v>0.75264525828721907</v>
      </c>
    </row>
    <row r="105" spans="1:17" ht="15" customHeight="1" x14ac:dyDescent="0.25">
      <c r="A105" s="104" t="s">
        <v>267</v>
      </c>
      <c r="B105" s="131" t="str">
        <f>VLOOKUP(A105,'0 Järjestäjätiedot'!A:H,2,FALSE)</f>
        <v>TUL:n Kisakeskussäätiö sr</v>
      </c>
      <c r="C105" s="304">
        <v>9.9232876712328295</v>
      </c>
      <c r="D105" s="304">
        <v>9.9232876712328295</v>
      </c>
      <c r="E105" s="304"/>
      <c r="F105" s="304"/>
      <c r="G105" s="304">
        <v>7.5645221917807861</v>
      </c>
      <c r="H105" s="304"/>
      <c r="I105" s="304"/>
      <c r="J105" s="304"/>
      <c r="K105" s="304"/>
      <c r="L105" s="304"/>
      <c r="M105" s="304"/>
      <c r="N105" s="304"/>
      <c r="O105" s="304"/>
      <c r="P105" s="304">
        <v>7.5645221917807861</v>
      </c>
      <c r="Q105" s="305">
        <v>0.76229999999999998</v>
      </c>
    </row>
    <row r="106" spans="1:17" ht="15" customHeight="1" x14ac:dyDescent="0.25">
      <c r="A106" s="104" t="s">
        <v>330</v>
      </c>
      <c r="B106" s="131" t="str">
        <f>VLOOKUP(A106,'0 Järjestäjätiedot'!A:H,2,FALSE)</f>
        <v>TYA-oppilaitos Oy</v>
      </c>
      <c r="C106" s="304">
        <v>40.928767123287479</v>
      </c>
      <c r="D106" s="304">
        <v>40.928767123287479</v>
      </c>
      <c r="E106" s="304"/>
      <c r="F106" s="304"/>
      <c r="G106" s="304">
        <v>31.199999178082031</v>
      </c>
      <c r="H106" s="304"/>
      <c r="I106" s="304"/>
      <c r="J106" s="304"/>
      <c r="K106" s="304"/>
      <c r="L106" s="304"/>
      <c r="M106" s="304"/>
      <c r="N106" s="304"/>
      <c r="O106" s="304"/>
      <c r="P106" s="304">
        <v>31.199999178082031</v>
      </c>
      <c r="Q106" s="305">
        <v>0.76229999999999964</v>
      </c>
    </row>
    <row r="107" spans="1:17" ht="15" customHeight="1" x14ac:dyDescent="0.25">
      <c r="A107" s="104" t="s">
        <v>315</v>
      </c>
      <c r="B107" s="131" t="str">
        <f>VLOOKUP(A107,'0 Järjestäjätiedot'!A:H,2,FALSE)</f>
        <v>Palkansaajien koulutussäätiö sr</v>
      </c>
      <c r="C107" s="304">
        <v>49.81643835616395</v>
      </c>
      <c r="D107" s="304">
        <v>49.81643835616395</v>
      </c>
      <c r="E107" s="304"/>
      <c r="F107" s="304"/>
      <c r="G107" s="304">
        <v>43.748324219177704</v>
      </c>
      <c r="H107" s="304"/>
      <c r="I107" s="304"/>
      <c r="J107" s="304"/>
      <c r="K107" s="304"/>
      <c r="L107" s="304"/>
      <c r="M107" s="304">
        <v>-0.76603004876709202</v>
      </c>
      <c r="N107" s="304"/>
      <c r="O107" s="304"/>
      <c r="P107" s="304">
        <v>42.982294170410789</v>
      </c>
      <c r="Q107" s="305">
        <v>0.8628134725952854</v>
      </c>
    </row>
    <row r="108" spans="1:17" ht="15" customHeight="1" x14ac:dyDescent="0.25">
      <c r="A108" s="104" t="s">
        <v>310</v>
      </c>
      <c r="B108" s="131" t="str">
        <f>VLOOKUP(A108,'0 Järjestäjätiedot'!A:H,2,FALSE)</f>
        <v>Pop &amp; Jazz Konservatorion Säätiö sr</v>
      </c>
      <c r="C108" s="304">
        <v>110.44657534246514</v>
      </c>
      <c r="D108" s="304">
        <v>110.44657534246514</v>
      </c>
      <c r="E108" s="304"/>
      <c r="F108" s="304">
        <v>168.89745205479355</v>
      </c>
      <c r="G108" s="304">
        <v>3.5548684931506602</v>
      </c>
      <c r="H108" s="304"/>
      <c r="I108" s="304"/>
      <c r="J108" s="304"/>
      <c r="K108" s="304"/>
      <c r="L108" s="304"/>
      <c r="M108" s="304"/>
      <c r="N108" s="304"/>
      <c r="O108" s="304"/>
      <c r="P108" s="304">
        <v>172.45232054794408</v>
      </c>
      <c r="Q108" s="305">
        <v>1.5614093964726008</v>
      </c>
    </row>
    <row r="109" spans="1:17" ht="15" customHeight="1" x14ac:dyDescent="0.25">
      <c r="A109" s="104" t="s">
        <v>263</v>
      </c>
      <c r="B109" s="131" t="str">
        <f>VLOOKUP(A109,'0 Järjestäjätiedot'!A:H,2,FALSE)</f>
        <v>Turun kristillisen opiston säätiö sr</v>
      </c>
      <c r="C109" s="304">
        <v>238.87465753424499</v>
      </c>
      <c r="D109" s="304">
        <v>233.82465753424498</v>
      </c>
      <c r="E109" s="304">
        <v>5.05</v>
      </c>
      <c r="F109" s="304">
        <v>184.09389041095852</v>
      </c>
      <c r="G109" s="304">
        <v>36.492240821917633</v>
      </c>
      <c r="H109" s="304"/>
      <c r="I109" s="304"/>
      <c r="J109" s="304">
        <v>4.343</v>
      </c>
      <c r="K109" s="304">
        <v>3.9876712328766906</v>
      </c>
      <c r="L109" s="304">
        <v>12.971726027397189</v>
      </c>
      <c r="M109" s="304"/>
      <c r="N109" s="304"/>
      <c r="O109" s="304"/>
      <c r="P109" s="304">
        <v>241.88852849314989</v>
      </c>
      <c r="Q109" s="305">
        <v>1.0126169556453382</v>
      </c>
    </row>
    <row r="110" spans="1:17" ht="15" customHeight="1" x14ac:dyDescent="0.25">
      <c r="A110" s="104" t="s">
        <v>386</v>
      </c>
      <c r="B110" s="131" t="str">
        <f>VLOOKUP(A110,'0 Järjestäjätiedot'!A:H,2,FALSE)</f>
        <v>Hevosopisto Oy</v>
      </c>
      <c r="C110" s="304">
        <v>351.402739726025</v>
      </c>
      <c r="D110" s="304">
        <v>351.402739726025</v>
      </c>
      <c r="E110" s="304"/>
      <c r="F110" s="304">
        <v>401.33210958903879</v>
      </c>
      <c r="G110" s="304">
        <v>92.101282191780257</v>
      </c>
      <c r="H110" s="304"/>
      <c r="I110" s="304"/>
      <c r="J110" s="304"/>
      <c r="K110" s="304">
        <v>18.532876712328694</v>
      </c>
      <c r="L110" s="304">
        <v>24.700630136986177</v>
      </c>
      <c r="M110" s="304">
        <v>-0.6724409999999974</v>
      </c>
      <c r="N110" s="304"/>
      <c r="O110" s="304"/>
      <c r="P110" s="304">
        <v>535.99445763013478</v>
      </c>
      <c r="Q110" s="305">
        <v>1.525299597971344</v>
      </c>
    </row>
    <row r="111" spans="1:17" ht="15" customHeight="1" x14ac:dyDescent="0.25">
      <c r="A111" s="104" t="s">
        <v>376</v>
      </c>
      <c r="B111" s="131" t="str">
        <f>VLOOKUP(A111,'0 Järjestäjätiedot'!A:H,2,FALSE)</f>
        <v>Jyväskylän Talouskouluyhdistys r.y.</v>
      </c>
      <c r="C111" s="304">
        <v>128.51397260273905</v>
      </c>
      <c r="D111" s="304">
        <v>128.51397260273905</v>
      </c>
      <c r="E111" s="304"/>
      <c r="F111" s="304">
        <v>127.22883287671158</v>
      </c>
      <c r="G111" s="304"/>
      <c r="H111" s="304"/>
      <c r="I111" s="304"/>
      <c r="J111" s="304"/>
      <c r="K111" s="304">
        <v>9.7410958904109126</v>
      </c>
      <c r="L111" s="304"/>
      <c r="M111" s="304"/>
      <c r="N111" s="304"/>
      <c r="O111" s="304"/>
      <c r="P111" s="304">
        <v>136.96992876712238</v>
      </c>
      <c r="Q111" s="305">
        <v>1.065797951717844</v>
      </c>
    </row>
    <row r="112" spans="1:17" ht="15" customHeight="1" x14ac:dyDescent="0.25">
      <c r="A112" s="104" t="s">
        <v>355</v>
      </c>
      <c r="B112" s="131" t="str">
        <f>VLOOKUP(A112,'0 Järjestäjätiedot'!A:H,2,FALSE)</f>
        <v>Konecranes Finland Oy</v>
      </c>
      <c r="C112" s="304">
        <v>20</v>
      </c>
      <c r="D112" s="304"/>
      <c r="E112" s="304">
        <v>20</v>
      </c>
      <c r="F112" s="304"/>
      <c r="G112" s="304"/>
      <c r="H112" s="304"/>
      <c r="I112" s="304"/>
      <c r="J112" s="304">
        <v>17.2</v>
      </c>
      <c r="K112" s="304"/>
      <c r="L112" s="304"/>
      <c r="M112" s="304">
        <v>-8.6</v>
      </c>
      <c r="N112" s="304"/>
      <c r="O112" s="304"/>
      <c r="P112" s="304">
        <v>8.6</v>
      </c>
      <c r="Q112" s="305">
        <v>0.43</v>
      </c>
    </row>
    <row r="113" spans="1:17" ht="15" customHeight="1" x14ac:dyDescent="0.25">
      <c r="A113" s="104" t="s">
        <v>297</v>
      </c>
      <c r="B113" s="131" t="str">
        <f>VLOOKUP(A113,'0 Järjestäjätiedot'!A:H,2,FALSE)</f>
        <v>Rovaniemen Koulutuskuntayhtymä</v>
      </c>
      <c r="C113" s="304">
        <v>3202.3013698629152</v>
      </c>
      <c r="D113" s="304">
        <v>3202.3013698629152</v>
      </c>
      <c r="E113" s="304"/>
      <c r="F113" s="304">
        <v>2946.1585561644024</v>
      </c>
      <c r="G113" s="304">
        <v>397.33223983560799</v>
      </c>
      <c r="H113" s="304">
        <v>81.934520547944544</v>
      </c>
      <c r="I113" s="304">
        <v>1.2689999999999926</v>
      </c>
      <c r="J113" s="304"/>
      <c r="K113" s="304">
        <v>142.03087671232777</v>
      </c>
      <c r="L113" s="304">
        <v>102.62504109589027</v>
      </c>
      <c r="M113" s="304"/>
      <c r="N113" s="304">
        <v>0.93567130136985699</v>
      </c>
      <c r="O113" s="304"/>
      <c r="P113" s="304">
        <v>3672.2859056575435</v>
      </c>
      <c r="Q113" s="305">
        <v>1.1467646175396444</v>
      </c>
    </row>
    <row r="114" spans="1:17" ht="15" customHeight="1" x14ac:dyDescent="0.25">
      <c r="A114" s="104" t="s">
        <v>280</v>
      </c>
      <c r="B114" s="131" t="str">
        <f>VLOOKUP(A114,'0 Järjestäjätiedot'!A:H,2,FALSE)</f>
        <v>Suupohjan Koulutuskuntayhtymä</v>
      </c>
      <c r="C114" s="304">
        <v>523.6610958904073</v>
      </c>
      <c r="D114" s="304">
        <v>523.6610958904073</v>
      </c>
      <c r="E114" s="304"/>
      <c r="F114" s="304">
        <v>537.52006301369465</v>
      </c>
      <c r="G114" s="304">
        <v>42.262523780821738</v>
      </c>
      <c r="H114" s="304"/>
      <c r="I114" s="304"/>
      <c r="J114" s="304"/>
      <c r="K114" s="304">
        <v>24.350684931506741</v>
      </c>
      <c r="L114" s="304">
        <v>11.057232876712249</v>
      </c>
      <c r="M114" s="304"/>
      <c r="N114" s="304"/>
      <c r="O114" s="304"/>
      <c r="P114" s="304">
        <v>615.19050460273218</v>
      </c>
      <c r="Q114" s="305">
        <v>1.1747874902883373</v>
      </c>
    </row>
    <row r="115" spans="1:17" ht="15" customHeight="1" x14ac:dyDescent="0.25">
      <c r="A115" s="104" t="s">
        <v>278</v>
      </c>
      <c r="B115" s="131" t="str">
        <f>VLOOKUP(A115,'0 Järjestäjätiedot'!A:H,2,FALSE)</f>
        <v>Svenska Österbottens förbund för Utbildning och Kultur</v>
      </c>
      <c r="C115" s="304">
        <v>1446.0671780821572</v>
      </c>
      <c r="D115" s="304">
        <v>1443.489863013664</v>
      </c>
      <c r="E115" s="304">
        <v>2.5773150684931267</v>
      </c>
      <c r="F115" s="304">
        <v>1297.1983643835395</v>
      </c>
      <c r="G115" s="304">
        <v>168.1855728767097</v>
      </c>
      <c r="H115" s="304">
        <v>48.796043835616182</v>
      </c>
      <c r="I115" s="304">
        <v>1.6379178082191603</v>
      </c>
      <c r="J115" s="304">
        <v>2.0020799999999999</v>
      </c>
      <c r="K115" s="304">
        <v>76.118972602739589</v>
      </c>
      <c r="L115" s="304">
        <v>52.097708219178081</v>
      </c>
      <c r="M115" s="304"/>
      <c r="N115" s="304">
        <v>0.78579554794520123</v>
      </c>
      <c r="O115" s="304"/>
      <c r="P115" s="304">
        <v>1646.822455273965</v>
      </c>
      <c r="Q115" s="305">
        <v>1.1388284584800907</v>
      </c>
    </row>
    <row r="116" spans="1:17" ht="15" customHeight="1" x14ac:dyDescent="0.25">
      <c r="A116" s="104" t="s">
        <v>319</v>
      </c>
      <c r="B116" s="131" t="str">
        <f>VLOOKUP(A116,'0 Järjestäjätiedot'!A:H,2,FALSE)</f>
        <v>Oulun seudun koulutuskuntayhtymä (OSEKK)</v>
      </c>
      <c r="C116" s="304">
        <v>6703.1508767117639</v>
      </c>
      <c r="D116" s="304">
        <v>6661.4808767117638</v>
      </c>
      <c r="E116" s="304">
        <v>41.67</v>
      </c>
      <c r="F116" s="304">
        <v>6053.683795890337</v>
      </c>
      <c r="G116" s="304">
        <v>588.71590923560746</v>
      </c>
      <c r="H116" s="304">
        <v>166.32398630136908</v>
      </c>
      <c r="I116" s="304">
        <v>11.616082191780682</v>
      </c>
      <c r="J116" s="304">
        <v>35.836199999999998</v>
      </c>
      <c r="K116" s="304">
        <v>431.96789041095508</v>
      </c>
      <c r="L116" s="304">
        <v>72.592465753424662</v>
      </c>
      <c r="M116" s="304">
        <v>-5.9313205479451833E-2</v>
      </c>
      <c r="N116" s="304">
        <v>3.8763329452054651</v>
      </c>
      <c r="O116" s="304"/>
      <c r="P116" s="304">
        <v>7364.5533495234895</v>
      </c>
      <c r="Q116" s="305">
        <v>1.0986703842680368</v>
      </c>
    </row>
    <row r="117" spans="1:17" ht="15" customHeight="1" x14ac:dyDescent="0.25">
      <c r="A117" s="104" t="s">
        <v>352</v>
      </c>
      <c r="B117" s="131" t="str">
        <f>VLOOKUP(A117,'0 Järjestäjätiedot'!A:H,2,FALSE)</f>
        <v>Koulutuskeskus Salpaus -kuntayhtymä</v>
      </c>
      <c r="C117" s="304">
        <v>5721.7208904107029</v>
      </c>
      <c r="D117" s="304">
        <v>5569.6358904107028</v>
      </c>
      <c r="E117" s="304">
        <v>152.08500000000001</v>
      </c>
      <c r="F117" s="304">
        <v>4492.1780649314642</v>
      </c>
      <c r="G117" s="304">
        <v>755.4879530301281</v>
      </c>
      <c r="H117" s="304">
        <v>106.10926027397215</v>
      </c>
      <c r="I117" s="304">
        <v>24.792821917808091</v>
      </c>
      <c r="J117" s="304">
        <v>130.79310000000001</v>
      </c>
      <c r="K117" s="304">
        <v>367.46890410958486</v>
      </c>
      <c r="L117" s="304">
        <v>10.055890410958835</v>
      </c>
      <c r="M117" s="304"/>
      <c r="N117" s="304">
        <v>4.0016161643835355</v>
      </c>
      <c r="O117" s="304"/>
      <c r="P117" s="304">
        <v>5890.8876108384311</v>
      </c>
      <c r="Q117" s="305">
        <v>1.0295657064837356</v>
      </c>
    </row>
    <row r="118" spans="1:17" ht="15" customHeight="1" x14ac:dyDescent="0.25">
      <c r="A118" s="104" t="s">
        <v>290</v>
      </c>
      <c r="B118" s="131" t="str">
        <f>VLOOKUP(A118,'0 Järjestäjätiedot'!A:H,2,FALSE)</f>
        <v>Seinäjoen koulutuskuntayhtymä</v>
      </c>
      <c r="C118" s="304">
        <v>4149.853698630056</v>
      </c>
      <c r="D118" s="304">
        <v>4149.853698630056</v>
      </c>
      <c r="E118" s="304"/>
      <c r="F118" s="304">
        <v>3524.950694246716</v>
      </c>
      <c r="G118" s="304">
        <v>501.01485617533081</v>
      </c>
      <c r="H118" s="304">
        <v>114.70060273972535</v>
      </c>
      <c r="I118" s="304">
        <v>6.0282328767122815</v>
      </c>
      <c r="J118" s="304"/>
      <c r="K118" s="304">
        <v>313.57315068492755</v>
      </c>
      <c r="L118" s="304">
        <v>52.735671232876818</v>
      </c>
      <c r="M118" s="304"/>
      <c r="N118" s="304">
        <v>4.970919589041082</v>
      </c>
      <c r="O118" s="304"/>
      <c r="P118" s="304">
        <v>4517.9741275453825</v>
      </c>
      <c r="Q118" s="305">
        <v>1.0887068450236783</v>
      </c>
    </row>
    <row r="119" spans="1:17" ht="15" customHeight="1" x14ac:dyDescent="0.25">
      <c r="A119" s="104" t="s">
        <v>270</v>
      </c>
      <c r="B119" s="131" t="str">
        <f>VLOOKUP(A119,'0 Järjestäjätiedot'!A:H,2,FALSE)</f>
        <v>Toyota Auto Finland Oy</v>
      </c>
      <c r="C119" s="304">
        <v>68.775342465753155</v>
      </c>
      <c r="D119" s="304">
        <v>68.775342465753155</v>
      </c>
      <c r="E119" s="304"/>
      <c r="F119" s="304"/>
      <c r="G119" s="304">
        <v>52.427443561643614</v>
      </c>
      <c r="H119" s="304"/>
      <c r="I119" s="304"/>
      <c r="J119" s="304"/>
      <c r="K119" s="304"/>
      <c r="L119" s="304"/>
      <c r="M119" s="304"/>
      <c r="N119" s="304"/>
      <c r="O119" s="304"/>
      <c r="P119" s="304">
        <v>52.427443561643614</v>
      </c>
      <c r="Q119" s="305">
        <v>0.76229999999999976</v>
      </c>
    </row>
    <row r="120" spans="1:17" ht="15" customHeight="1" x14ac:dyDescent="0.25">
      <c r="A120" s="104" t="s">
        <v>400</v>
      </c>
      <c r="B120" s="131" t="str">
        <f>VLOOKUP(A120,'0 Järjestäjätiedot'!A:H,2,FALSE)</f>
        <v>Etelä-Karjalan Koulutuskuntayhtymä</v>
      </c>
      <c r="C120" s="304">
        <v>2946.1762739724813</v>
      </c>
      <c r="D120" s="304">
        <v>2944.6702739724815</v>
      </c>
      <c r="E120" s="304">
        <v>1.506</v>
      </c>
      <c r="F120" s="304">
        <v>2386.7476698629912</v>
      </c>
      <c r="G120" s="304">
        <v>369.0472539178009</v>
      </c>
      <c r="H120" s="304">
        <v>86.017726027396677</v>
      </c>
      <c r="I120" s="304"/>
      <c r="J120" s="304">
        <v>1.2951600000000001</v>
      </c>
      <c r="K120" s="304">
        <v>170.78175342465676</v>
      </c>
      <c r="L120" s="304">
        <v>2.8842739726027236</v>
      </c>
      <c r="M120" s="304">
        <v>-0.43583651506848742</v>
      </c>
      <c r="N120" s="304">
        <v>6.7222104794520483</v>
      </c>
      <c r="O120" s="304"/>
      <c r="P120" s="304">
        <v>3023.0602111698563</v>
      </c>
      <c r="Q120" s="305">
        <v>1.0260961768909034</v>
      </c>
    </row>
    <row r="121" spans="1:17" ht="15" customHeight="1" x14ac:dyDescent="0.25">
      <c r="A121" s="104" t="s">
        <v>260</v>
      </c>
      <c r="B121" s="131" t="str">
        <f>VLOOKUP(A121,'0 Järjestäjätiedot'!A:H,2,FALSE)</f>
        <v>UPM-Kymmene Oyj</v>
      </c>
      <c r="C121" s="304">
        <v>35.9</v>
      </c>
      <c r="D121" s="304"/>
      <c r="E121" s="304">
        <v>35.9</v>
      </c>
      <c r="F121" s="304"/>
      <c r="G121" s="304"/>
      <c r="H121" s="304"/>
      <c r="I121" s="304"/>
      <c r="J121" s="304">
        <v>30.873999999999999</v>
      </c>
      <c r="K121" s="304"/>
      <c r="L121" s="304"/>
      <c r="M121" s="304">
        <v>-15.436999999999999</v>
      </c>
      <c r="N121" s="304"/>
      <c r="O121" s="304"/>
      <c r="P121" s="304">
        <v>15.436999999999999</v>
      </c>
      <c r="Q121" s="305">
        <v>0.43</v>
      </c>
    </row>
    <row r="122" spans="1:17" ht="15" customHeight="1" x14ac:dyDescent="0.25">
      <c r="A122" s="104" t="s">
        <v>253</v>
      </c>
      <c r="B122" s="131" t="str">
        <f>VLOOKUP(A122,'0 Järjestäjätiedot'!A:H,2,FALSE)</f>
        <v>Valtakunnallinen valmennus- ja liikuntakeskus Oy</v>
      </c>
      <c r="C122" s="304">
        <v>174.60876712328613</v>
      </c>
      <c r="D122" s="304">
        <v>174.60876712328613</v>
      </c>
      <c r="E122" s="304"/>
      <c r="F122" s="304">
        <v>191.5841095890398</v>
      </c>
      <c r="G122" s="304">
        <v>41.252334410958738</v>
      </c>
      <c r="H122" s="304"/>
      <c r="I122" s="304"/>
      <c r="J122" s="304"/>
      <c r="K122" s="304"/>
      <c r="L122" s="304">
        <v>25.253753424657418</v>
      </c>
      <c r="M122" s="304"/>
      <c r="N122" s="304"/>
      <c r="O122" s="304"/>
      <c r="P122" s="304">
        <v>258.09019742465608</v>
      </c>
      <c r="Q122" s="305">
        <v>1.4781056053298072</v>
      </c>
    </row>
    <row r="123" spans="1:17" ht="15" customHeight="1" x14ac:dyDescent="0.25">
      <c r="A123" s="104" t="s">
        <v>391</v>
      </c>
      <c r="B123" s="131" t="str">
        <f>VLOOKUP(A123,'0 Järjestäjätiedot'!A:H,2,FALSE)</f>
        <v>Harjun Oppimiskeskus Oy</v>
      </c>
      <c r="C123" s="304">
        <v>196.02684931506656</v>
      </c>
      <c r="D123" s="304">
        <v>196.02684931506656</v>
      </c>
      <c r="E123" s="304"/>
      <c r="F123" s="304">
        <v>258.71919452054482</v>
      </c>
      <c r="G123" s="304">
        <v>23.132074191780703</v>
      </c>
      <c r="H123" s="304"/>
      <c r="I123" s="304"/>
      <c r="J123" s="304"/>
      <c r="K123" s="304">
        <v>7.9136986301369614</v>
      </c>
      <c r="L123" s="304">
        <v>38.572832876712319</v>
      </c>
      <c r="M123" s="304"/>
      <c r="N123" s="304"/>
      <c r="O123" s="304"/>
      <c r="P123" s="304">
        <v>328.33780021917727</v>
      </c>
      <c r="Q123" s="305">
        <v>1.6749634112184935</v>
      </c>
    </row>
    <row r="124" spans="1:17" ht="15" customHeight="1" x14ac:dyDescent="0.25">
      <c r="A124" s="104" t="s">
        <v>269</v>
      </c>
      <c r="B124" s="131" t="str">
        <f>VLOOKUP(A124,'0 Järjestäjätiedot'!A:H,2,FALSE)</f>
        <v>Traffica Oy</v>
      </c>
      <c r="C124" s="304">
        <v>10.876712328767052</v>
      </c>
      <c r="D124" s="304">
        <v>10.876712328767052</v>
      </c>
      <c r="E124" s="304"/>
      <c r="F124" s="304">
        <v>11.124657534246506</v>
      </c>
      <c r="G124" s="304"/>
      <c r="H124" s="304"/>
      <c r="I124" s="304"/>
      <c r="J124" s="304"/>
      <c r="K124" s="304"/>
      <c r="L124" s="304"/>
      <c r="M124" s="304"/>
      <c r="N124" s="304"/>
      <c r="O124" s="304"/>
      <c r="P124" s="304">
        <v>11.124657534246506</v>
      </c>
      <c r="Q124" s="305">
        <v>1.0227959697733</v>
      </c>
    </row>
    <row r="125" spans="1:17" ht="15" customHeight="1" x14ac:dyDescent="0.25">
      <c r="A125" s="104" t="s">
        <v>377</v>
      </c>
      <c r="B125" s="131" t="str">
        <f>VLOOKUP(A125,'0 Järjestäjätiedot'!A:H,2,FALSE)</f>
        <v>Jyväskylän kristillisen opiston säätiö sr</v>
      </c>
      <c r="C125" s="304">
        <v>163.66383561643704</v>
      </c>
      <c r="D125" s="304">
        <v>163.66383561643704</v>
      </c>
      <c r="E125" s="304"/>
      <c r="F125" s="304">
        <v>107.52050958904066</v>
      </c>
      <c r="G125" s="304">
        <v>41.970149506849047</v>
      </c>
      <c r="H125" s="304"/>
      <c r="I125" s="304"/>
      <c r="J125" s="304"/>
      <c r="K125" s="304">
        <v>11.201369863013628</v>
      </c>
      <c r="L125" s="304">
        <v>3.4114246575342242</v>
      </c>
      <c r="M125" s="304"/>
      <c r="N125" s="304"/>
      <c r="O125" s="304"/>
      <c r="P125" s="304">
        <v>164.10345361643738</v>
      </c>
      <c r="Q125" s="305">
        <v>1.0026861034897816</v>
      </c>
    </row>
    <row r="126" spans="1:17" ht="15" customHeight="1" x14ac:dyDescent="0.25">
      <c r="A126" s="104" t="s">
        <v>373</v>
      </c>
      <c r="B126" s="131" t="str">
        <f>VLOOKUP(A126,'0 Järjestäjätiedot'!A:H,2,FALSE)</f>
        <v>Jollas-Opisto Oy</v>
      </c>
      <c r="C126" s="304">
        <v>179.65205479451825</v>
      </c>
      <c r="D126" s="304">
        <v>179.65205479451825</v>
      </c>
      <c r="E126" s="304"/>
      <c r="F126" s="304"/>
      <c r="G126" s="304">
        <v>105.00034328766981</v>
      </c>
      <c r="H126" s="304"/>
      <c r="I126" s="304"/>
      <c r="J126" s="304"/>
      <c r="K126" s="304"/>
      <c r="L126" s="304"/>
      <c r="M126" s="304"/>
      <c r="N126" s="304"/>
      <c r="O126" s="304"/>
      <c r="P126" s="304">
        <v>105.00034328766981</v>
      </c>
      <c r="Q126" s="305">
        <v>0.58446502828908209</v>
      </c>
    </row>
    <row r="127" spans="1:17" ht="15" customHeight="1" x14ac:dyDescent="0.25">
      <c r="A127" s="104" t="s">
        <v>279</v>
      </c>
      <c r="B127" s="131" t="str">
        <f>VLOOKUP(A127,'0 Järjestäjätiedot'!A:H,2,FALSE)</f>
        <v>Svenska Framtidsskolan i Helsingforsregionen Ab</v>
      </c>
      <c r="C127" s="304">
        <v>987.75208219178671</v>
      </c>
      <c r="D127" s="304">
        <v>973.00208219178671</v>
      </c>
      <c r="E127" s="304">
        <v>14.75</v>
      </c>
      <c r="F127" s="304">
        <v>930.67312986300135</v>
      </c>
      <c r="G127" s="304">
        <v>15.944716986301312</v>
      </c>
      <c r="H127" s="304">
        <v>7.4517534246574915</v>
      </c>
      <c r="I127" s="304"/>
      <c r="J127" s="304">
        <v>12.685</v>
      </c>
      <c r="K127" s="304">
        <v>54.798958904109263</v>
      </c>
      <c r="L127" s="304">
        <v>7.9478904109588377</v>
      </c>
      <c r="M127" s="304">
        <v>-0.4128</v>
      </c>
      <c r="N127" s="304"/>
      <c r="O127" s="304"/>
      <c r="P127" s="304">
        <v>1029.0886495890297</v>
      </c>
      <c r="Q127" s="305">
        <v>1.0418491321278893</v>
      </c>
    </row>
    <row r="128" spans="1:17" ht="15" customHeight="1" x14ac:dyDescent="0.25">
      <c r="A128" s="104" t="s">
        <v>288</v>
      </c>
      <c r="B128" s="131" t="str">
        <f>VLOOKUP(A128,'0 Järjestäjätiedot'!A:H,2,FALSE)</f>
        <v>Suomen Ilmailuopisto Oy</v>
      </c>
      <c r="C128" s="304">
        <v>114.5</v>
      </c>
      <c r="D128" s="304"/>
      <c r="E128" s="304">
        <v>114.5</v>
      </c>
      <c r="F128" s="304"/>
      <c r="G128" s="304"/>
      <c r="H128" s="304"/>
      <c r="I128" s="304"/>
      <c r="J128" s="304">
        <v>98.47</v>
      </c>
      <c r="K128" s="304"/>
      <c r="L128" s="304"/>
      <c r="M128" s="304"/>
      <c r="N128" s="304"/>
      <c r="O128" s="304"/>
      <c r="P128" s="304">
        <v>98.47</v>
      </c>
      <c r="Q128" s="305">
        <v>0.86</v>
      </c>
    </row>
    <row r="129" spans="1:17" ht="15" customHeight="1" x14ac:dyDescent="0.25">
      <c r="A129" s="104" t="s">
        <v>390</v>
      </c>
      <c r="B129" s="131" t="str">
        <f>VLOOKUP(A129,'0 Järjestäjätiedot'!A:H,2,FALSE)</f>
        <v>HAUS Kehittämiskeskus Oy</v>
      </c>
      <c r="C129" s="304">
        <v>26.832876712328634</v>
      </c>
      <c r="D129" s="304">
        <v>26.832876712328634</v>
      </c>
      <c r="E129" s="304"/>
      <c r="F129" s="304"/>
      <c r="G129" s="304">
        <v>14.462920547945144</v>
      </c>
      <c r="H129" s="304"/>
      <c r="I129" s="304"/>
      <c r="J129" s="304"/>
      <c r="K129" s="304"/>
      <c r="L129" s="304"/>
      <c r="M129" s="304"/>
      <c r="N129" s="304"/>
      <c r="O129" s="304"/>
      <c r="P129" s="304">
        <v>14.462920547945144</v>
      </c>
      <c r="Q129" s="305">
        <v>0.53900000000000048</v>
      </c>
    </row>
    <row r="130" spans="1:17" ht="15" customHeight="1" x14ac:dyDescent="0.25">
      <c r="A130" s="104" t="s">
        <v>371</v>
      </c>
      <c r="B130" s="131" t="str">
        <f>VLOOKUP(A130,'0 Järjestäjätiedot'!A:H,2,FALSE)</f>
        <v>Järviseudun Koulutuskuntayhtymä</v>
      </c>
      <c r="C130" s="304">
        <v>652.96290410959216</v>
      </c>
      <c r="D130" s="304">
        <v>648.0189041095922</v>
      </c>
      <c r="E130" s="304">
        <v>4.944</v>
      </c>
      <c r="F130" s="304">
        <v>546.78897260273357</v>
      </c>
      <c r="G130" s="304">
        <v>103.24016969862967</v>
      </c>
      <c r="H130" s="304"/>
      <c r="I130" s="304">
        <v>0.46356164383561044</v>
      </c>
      <c r="J130" s="304">
        <v>4.2518399999999996</v>
      </c>
      <c r="K130" s="304">
        <v>21.242465753424561</v>
      </c>
      <c r="L130" s="304">
        <v>29.115794520547329</v>
      </c>
      <c r="M130" s="304"/>
      <c r="N130" s="304"/>
      <c r="O130" s="304"/>
      <c r="P130" s="304">
        <v>705.10280421917332</v>
      </c>
      <c r="Q130" s="305">
        <v>1.0798512438936791</v>
      </c>
    </row>
    <row r="131" spans="1:17" ht="15" customHeight="1" x14ac:dyDescent="0.25">
      <c r="A131" s="104" t="s">
        <v>291</v>
      </c>
      <c r="B131" s="131" t="str">
        <f>VLOOKUP(A131,'0 Järjestäjätiedot'!A:H,2,FALSE)</f>
        <v>Savon Koulutuskuntayhtymä</v>
      </c>
      <c r="C131" s="304">
        <v>5711.8807397257315</v>
      </c>
      <c r="D131" s="304">
        <v>5664.2427397257316</v>
      </c>
      <c r="E131" s="304">
        <v>47.637999999999998</v>
      </c>
      <c r="F131" s="304">
        <v>4493.1698794521508</v>
      </c>
      <c r="G131" s="304">
        <v>755.81884650136521</v>
      </c>
      <c r="H131" s="304">
        <v>219.09854794520456</v>
      </c>
      <c r="I131" s="304"/>
      <c r="J131" s="304">
        <v>40.968679999999999</v>
      </c>
      <c r="K131" s="304">
        <v>447.22172602739164</v>
      </c>
      <c r="L131" s="304">
        <v>16.80655890410949</v>
      </c>
      <c r="M131" s="304">
        <v>-9.7599370361642599</v>
      </c>
      <c r="N131" s="304">
        <v>3.5405278082191485</v>
      </c>
      <c r="O131" s="304">
        <v>4.0591780821917549</v>
      </c>
      <c r="P131" s="304">
        <v>5970.9240076846736</v>
      </c>
      <c r="Q131" s="305">
        <v>1.045351659070421</v>
      </c>
    </row>
    <row r="132" spans="1:17" ht="15" customHeight="1" x14ac:dyDescent="0.25">
      <c r="A132" s="104" t="s">
        <v>356</v>
      </c>
      <c r="B132" s="131" t="str">
        <f>VLOOKUP(A132,'0 Järjestäjätiedot'!A:H,2,FALSE)</f>
        <v>KONE Hissit Oy</v>
      </c>
      <c r="C132" s="304">
        <v>45.659123287671051</v>
      </c>
      <c r="D132" s="304">
        <v>39.767123287671055</v>
      </c>
      <c r="E132" s="304">
        <v>5.8919999999999995</v>
      </c>
      <c r="F132" s="304"/>
      <c r="G132" s="304">
        <v>30.314478082191631</v>
      </c>
      <c r="H132" s="304"/>
      <c r="I132" s="304"/>
      <c r="J132" s="304">
        <v>5.0671200000000001</v>
      </c>
      <c r="K132" s="304"/>
      <c r="L132" s="304"/>
      <c r="M132" s="304">
        <v>-1.7496700000000001</v>
      </c>
      <c r="N132" s="304"/>
      <c r="O132" s="304"/>
      <c r="P132" s="304">
        <v>33.631928082191628</v>
      </c>
      <c r="Q132" s="305">
        <v>0.73658725048873142</v>
      </c>
    </row>
    <row r="133" spans="1:17" ht="15" customHeight="1" x14ac:dyDescent="0.25">
      <c r="A133" s="104" t="s">
        <v>348</v>
      </c>
      <c r="B133" s="131" t="str">
        <f>VLOOKUP(A133,'0 Järjestäjätiedot'!A:H,2,FALSE)</f>
        <v>Keski-Pohjanmaan Konservatorion Kannatusyhdistys ry</v>
      </c>
      <c r="C133" s="304">
        <v>49.591780821917595</v>
      </c>
      <c r="D133" s="304">
        <v>49.591780821917595</v>
      </c>
      <c r="E133" s="304"/>
      <c r="F133" s="304">
        <v>78.850931506849008</v>
      </c>
      <c r="G133" s="304"/>
      <c r="H133" s="304"/>
      <c r="I133" s="304"/>
      <c r="J133" s="304"/>
      <c r="K133" s="304">
        <v>0.18904109589040999</v>
      </c>
      <c r="L133" s="304"/>
      <c r="M133" s="304"/>
      <c r="N133" s="304"/>
      <c r="O133" s="304"/>
      <c r="P133" s="304">
        <v>79.039972602739411</v>
      </c>
      <c r="Q133" s="305">
        <v>1.5938119440914871</v>
      </c>
    </row>
    <row r="134" spans="1:17" ht="15" customHeight="1" x14ac:dyDescent="0.25">
      <c r="A134" s="104" t="s">
        <v>353</v>
      </c>
      <c r="B134" s="131" t="str">
        <f>VLOOKUP(A134,'0 Järjestäjätiedot'!A:H,2,FALSE)</f>
        <v>Kotkan-Haminan seudun koulutuskuntayhtymä</v>
      </c>
      <c r="C134" s="304">
        <v>2343.2214520547564</v>
      </c>
      <c r="D134" s="304">
        <v>2341.9694520547564</v>
      </c>
      <c r="E134" s="304">
        <v>1.252</v>
      </c>
      <c r="F134" s="304">
        <v>1974.252916438332</v>
      </c>
      <c r="G134" s="304">
        <v>262.52760358903868</v>
      </c>
      <c r="H134" s="304">
        <v>57.103068493150275</v>
      </c>
      <c r="I134" s="304">
        <v>2.1130684931506738</v>
      </c>
      <c r="J134" s="304">
        <v>1.0767199999999999</v>
      </c>
      <c r="K134" s="304">
        <v>205.19186301369785</v>
      </c>
      <c r="L134" s="304">
        <v>13.150794520547835</v>
      </c>
      <c r="M134" s="304"/>
      <c r="N134" s="304">
        <v>3.2096247534246349</v>
      </c>
      <c r="O134" s="304"/>
      <c r="P134" s="304">
        <v>2518.6256593013909</v>
      </c>
      <c r="Q134" s="305">
        <v>1.0748560094876323</v>
      </c>
    </row>
    <row r="135" spans="1:17" ht="15" customHeight="1" x14ac:dyDescent="0.25">
      <c r="A135" s="104" t="s">
        <v>404</v>
      </c>
      <c r="B135" s="131" t="str">
        <f>VLOOKUP(A135,'0 Järjestäjätiedot'!A:H,2,FALSE)</f>
        <v>Axxell Utbildning Ab</v>
      </c>
      <c r="C135" s="304">
        <v>1699.7397310958779</v>
      </c>
      <c r="D135" s="304">
        <v>1642.1890410958779</v>
      </c>
      <c r="E135" s="304">
        <v>57.550690000000003</v>
      </c>
      <c r="F135" s="304">
        <v>1339.1342027397282</v>
      </c>
      <c r="G135" s="304">
        <v>258.707397315062</v>
      </c>
      <c r="H135" s="304"/>
      <c r="I135" s="304">
        <v>6.0842465753421768</v>
      </c>
      <c r="J135" s="304">
        <v>49.493594000000002</v>
      </c>
      <c r="K135" s="304">
        <v>76.753424657533927</v>
      </c>
      <c r="L135" s="304">
        <v>37.099780821917641</v>
      </c>
      <c r="M135" s="304"/>
      <c r="N135" s="304"/>
      <c r="O135" s="304"/>
      <c r="P135" s="304">
        <v>1767.2726461096424</v>
      </c>
      <c r="Q135" s="305">
        <v>1.0397313269662878</v>
      </c>
    </row>
    <row r="136" spans="1:17" ht="15" customHeight="1" x14ac:dyDescent="0.25">
      <c r="A136" s="104" t="s">
        <v>362</v>
      </c>
      <c r="B136" s="131" t="str">
        <f>VLOOKUP(A136,'0 Järjestäjätiedot'!A:H,2,FALSE)</f>
        <v>Kemi-Tornionlaakson koulutuskuntayhtymä Lappia</v>
      </c>
      <c r="C136" s="304">
        <v>2452.1273013698128</v>
      </c>
      <c r="D136" s="304">
        <v>2433.0543013698129</v>
      </c>
      <c r="E136" s="304">
        <v>19.073</v>
      </c>
      <c r="F136" s="304">
        <v>2039.1942027396972</v>
      </c>
      <c r="G136" s="304">
        <v>357.33118411506092</v>
      </c>
      <c r="H136" s="304">
        <v>24.839178082191662</v>
      </c>
      <c r="I136" s="304">
        <v>1.1627671232876651</v>
      </c>
      <c r="J136" s="304">
        <v>16.40278</v>
      </c>
      <c r="K136" s="304">
        <v>66.834109589040878</v>
      </c>
      <c r="L136" s="304">
        <v>64.250005479452213</v>
      </c>
      <c r="M136" s="304">
        <v>-1.52952993972602</v>
      </c>
      <c r="N136" s="304">
        <v>2.624745410958885</v>
      </c>
      <c r="O136" s="304">
        <v>0.72065753424657097</v>
      </c>
      <c r="P136" s="304">
        <v>2571.8301001342661</v>
      </c>
      <c r="Q136" s="305">
        <v>1.0488158990349257</v>
      </c>
    </row>
    <row r="137" spans="1:17" ht="15" customHeight="1" x14ac:dyDescent="0.25">
      <c r="A137" s="104" t="s">
        <v>388</v>
      </c>
      <c r="B137" s="131" t="str">
        <f>VLOOKUP(A137,'0 Järjestäjätiedot'!A:H,2,FALSE)</f>
        <v>Helsinki Business College Oy</v>
      </c>
      <c r="C137" s="304">
        <v>2022.9890410958501</v>
      </c>
      <c r="D137" s="304">
        <v>2022.9890410958501</v>
      </c>
      <c r="E137" s="304"/>
      <c r="F137" s="304">
        <v>1355.5328630136878</v>
      </c>
      <c r="G137" s="304">
        <v>127.78662630136932</v>
      </c>
      <c r="H137" s="304"/>
      <c r="I137" s="304">
        <v>108.39036986301264</v>
      </c>
      <c r="J137" s="304"/>
      <c r="K137" s="304">
        <v>71.09315068493099</v>
      </c>
      <c r="L137" s="304"/>
      <c r="M137" s="304"/>
      <c r="N137" s="304"/>
      <c r="O137" s="304"/>
      <c r="P137" s="304">
        <v>1662.8030098629938</v>
      </c>
      <c r="Q137" s="305">
        <v>0.82195354304156587</v>
      </c>
    </row>
    <row r="138" spans="1:17" ht="15" customHeight="1" x14ac:dyDescent="0.25">
      <c r="A138" s="104" t="s">
        <v>402</v>
      </c>
      <c r="B138" s="131" t="str">
        <f>VLOOKUP(A138,'0 Järjestäjätiedot'!A:H,2,FALSE)</f>
        <v>Cimson Koulutuspalvelut Oy</v>
      </c>
      <c r="C138" s="304">
        <v>10.424657534246508</v>
      </c>
      <c r="D138" s="304">
        <v>10.424657534246508</v>
      </c>
      <c r="E138" s="304"/>
      <c r="F138" s="304"/>
      <c r="G138" s="304">
        <v>5.61889041095887</v>
      </c>
      <c r="H138" s="304"/>
      <c r="I138" s="304"/>
      <c r="J138" s="304"/>
      <c r="K138" s="304"/>
      <c r="L138" s="304"/>
      <c r="M138" s="304"/>
      <c r="N138" s="304">
        <v>1.4047226027397175</v>
      </c>
      <c r="O138" s="304"/>
      <c r="P138" s="304">
        <v>7.0236130136985837</v>
      </c>
      <c r="Q138" s="305">
        <v>0.67374999999999985</v>
      </c>
    </row>
    <row r="139" spans="1:17" ht="15" customHeight="1" x14ac:dyDescent="0.25">
      <c r="A139" s="104" t="s">
        <v>331</v>
      </c>
      <c r="B139" s="131" t="str">
        <f>VLOOKUP(A139,'0 Järjestäjätiedot'!A:H,2,FALSE)</f>
        <v>Länsirannikon Koulutus Oy</v>
      </c>
      <c r="C139" s="304">
        <v>4314.8379452053168</v>
      </c>
      <c r="D139" s="304">
        <v>4174.7079452053167</v>
      </c>
      <c r="E139" s="304">
        <v>140.13000000000002</v>
      </c>
      <c r="F139" s="304">
        <v>3287.4529589042077</v>
      </c>
      <c r="G139" s="304">
        <v>728.1814603287587</v>
      </c>
      <c r="H139" s="304">
        <v>51.080630136985974</v>
      </c>
      <c r="I139" s="304">
        <v>5.3077808219176585</v>
      </c>
      <c r="J139" s="304">
        <v>120.51180000000001</v>
      </c>
      <c r="K139" s="304">
        <v>254.92684931506685</v>
      </c>
      <c r="L139" s="304">
        <v>38.651479452054744</v>
      </c>
      <c r="M139" s="304">
        <v>-5.7704923150684637</v>
      </c>
      <c r="N139" s="304">
        <v>8.5578221917808506</v>
      </c>
      <c r="O139" s="304"/>
      <c r="P139" s="304">
        <v>4488.9002888357591</v>
      </c>
      <c r="Q139" s="305">
        <v>1.0403404127433953</v>
      </c>
    </row>
    <row r="140" spans="1:17" ht="15" customHeight="1" x14ac:dyDescent="0.25">
      <c r="A140" s="104" t="s">
        <v>398</v>
      </c>
      <c r="B140" s="131" t="str">
        <f>VLOOKUP(A140,'0 Järjestäjätiedot'!A:H,2,FALSE)</f>
        <v>Etelä-Savon Koulutus Oy</v>
      </c>
      <c r="C140" s="304">
        <v>2391.53078082191</v>
      </c>
      <c r="D140" s="304">
        <v>2349.71178082191</v>
      </c>
      <c r="E140" s="304">
        <v>41.819000000000003</v>
      </c>
      <c r="F140" s="304">
        <v>2328.0403972602721</v>
      </c>
      <c r="G140" s="304">
        <v>192.21374775342306</v>
      </c>
      <c r="H140" s="304">
        <v>38.746027397260036</v>
      </c>
      <c r="I140" s="304"/>
      <c r="J140" s="304">
        <v>35.96434</v>
      </c>
      <c r="K140" s="304">
        <v>152.34901369862868</v>
      </c>
      <c r="L140" s="304">
        <v>39.52542465753411</v>
      </c>
      <c r="M140" s="304"/>
      <c r="N140" s="304">
        <v>0.2774663356164353</v>
      </c>
      <c r="O140" s="304"/>
      <c r="P140" s="304">
        <v>2787.1164171027344</v>
      </c>
      <c r="Q140" s="305">
        <v>1.1654110578266805</v>
      </c>
    </row>
    <row r="141" spans="1:17" ht="15" customHeight="1" x14ac:dyDescent="0.25">
      <c r="A141" s="104" t="s">
        <v>383</v>
      </c>
      <c r="B141" s="131" t="str">
        <f>VLOOKUP(A141,'0 Järjestäjätiedot'!A:H,2,FALSE)</f>
        <v>Hyria koulutus Oy</v>
      </c>
      <c r="C141" s="304">
        <v>3403.4801369861825</v>
      </c>
      <c r="D141" s="304">
        <v>3375.4301369861823</v>
      </c>
      <c r="E141" s="304">
        <v>28.05</v>
      </c>
      <c r="F141" s="304">
        <v>2847.9324958905077</v>
      </c>
      <c r="G141" s="304">
        <v>413.01469271231338</v>
      </c>
      <c r="H141" s="304">
        <v>64.431205479451734</v>
      </c>
      <c r="I141" s="304">
        <v>1.5722465753424504</v>
      </c>
      <c r="J141" s="304">
        <v>24.123000000000001</v>
      </c>
      <c r="K141" s="304">
        <v>222.27254794520408</v>
      </c>
      <c r="L141" s="304">
        <v>7.5016602739725275</v>
      </c>
      <c r="M141" s="304">
        <v>-0.51157639726025839</v>
      </c>
      <c r="N141" s="304">
        <v>2.9499965753424457</v>
      </c>
      <c r="O141" s="304">
        <v>14.625928767123163</v>
      </c>
      <c r="P141" s="304">
        <v>3597.9121978221606</v>
      </c>
      <c r="Q141" s="305">
        <v>1.057127426343125</v>
      </c>
    </row>
    <row r="142" spans="1:17" ht="15" customHeight="1" x14ac:dyDescent="0.25">
      <c r="A142" s="104" t="s">
        <v>395</v>
      </c>
      <c r="B142" s="131" t="str">
        <f>VLOOKUP(A142,'0 Järjestäjätiedot'!A:H,2,FALSE)</f>
        <v>Folkhälsan Utbildning Ab</v>
      </c>
      <c r="C142" s="304">
        <v>101.20756164383486</v>
      </c>
      <c r="D142" s="304">
        <v>101.20756164383486</v>
      </c>
      <c r="E142" s="304"/>
      <c r="F142" s="304">
        <v>138.09041095890288</v>
      </c>
      <c r="G142" s="304">
        <v>10.945291364383447</v>
      </c>
      <c r="H142" s="304"/>
      <c r="I142" s="304"/>
      <c r="J142" s="304"/>
      <c r="K142" s="304">
        <v>7.9698630136985829</v>
      </c>
      <c r="L142" s="304">
        <v>27.294767123287464</v>
      </c>
      <c r="M142" s="304"/>
      <c r="N142" s="304"/>
      <c r="O142" s="304"/>
      <c r="P142" s="304">
        <v>184.30033246027253</v>
      </c>
      <c r="Q142" s="305">
        <v>1.8210134644766369</v>
      </c>
    </row>
    <row r="143" spans="1:17" ht="15" customHeight="1" x14ac:dyDescent="0.25">
      <c r="A143" s="104" t="s">
        <v>325</v>
      </c>
      <c r="B143" s="131" t="str">
        <f>VLOOKUP(A143,'0 Järjestäjätiedot'!A:H,2,FALSE)</f>
        <v>Management Institute of Finland MIF Oy</v>
      </c>
      <c r="C143" s="304">
        <v>97.758904109588528</v>
      </c>
      <c r="D143" s="304">
        <v>97.758904109588528</v>
      </c>
      <c r="E143" s="304"/>
      <c r="F143" s="304"/>
      <c r="G143" s="304">
        <v>59.373919452054565</v>
      </c>
      <c r="H143" s="304"/>
      <c r="I143" s="304"/>
      <c r="J143" s="304"/>
      <c r="K143" s="304"/>
      <c r="L143" s="304"/>
      <c r="M143" s="304"/>
      <c r="N143" s="304"/>
      <c r="O143" s="304"/>
      <c r="P143" s="304">
        <v>59.373919452054565</v>
      </c>
      <c r="Q143" s="305">
        <v>0.60735050165349558</v>
      </c>
    </row>
    <row r="144" spans="1:17" ht="15" customHeight="1" x14ac:dyDescent="0.25">
      <c r="A144" s="104" t="s">
        <v>382</v>
      </c>
      <c r="B144" s="131" t="str">
        <f>VLOOKUP(A144,'0 Järjestäjätiedot'!A:H,2,FALSE)</f>
        <v>Hämeen ammatti-instituutti Oy</v>
      </c>
      <c r="C144" s="304">
        <v>531.22501369861777</v>
      </c>
      <c r="D144" s="304">
        <v>530.70301369861772</v>
      </c>
      <c r="E144" s="304">
        <v>0.52200000000000002</v>
      </c>
      <c r="F144" s="304">
        <v>446.45870136985963</v>
      </c>
      <c r="G144" s="304">
        <v>202.80352821917728</v>
      </c>
      <c r="H144" s="304"/>
      <c r="I144" s="304"/>
      <c r="J144" s="304">
        <v>0.44891999999999999</v>
      </c>
      <c r="K144" s="304">
        <v>11.901369863013667</v>
      </c>
      <c r="L144" s="304">
        <v>39.522876712328724</v>
      </c>
      <c r="M144" s="304">
        <v>-5.5626957041095491</v>
      </c>
      <c r="N144" s="304"/>
      <c r="O144" s="304"/>
      <c r="P144" s="304">
        <v>695.57270046027043</v>
      </c>
      <c r="Q144" s="305">
        <v>1.3093749023928536</v>
      </c>
    </row>
    <row r="145" spans="1:17" ht="15" customHeight="1" x14ac:dyDescent="0.25">
      <c r="A145" s="104" t="s">
        <v>312</v>
      </c>
      <c r="B145" s="131" t="str">
        <f>VLOOKUP(A145,'0 Järjestäjätiedot'!A:H,2,FALSE)</f>
        <v>Perho Liiketalousopisto Oy</v>
      </c>
      <c r="C145" s="304">
        <v>1419.2942465753526</v>
      </c>
      <c r="D145" s="304">
        <v>1419.2942465753526</v>
      </c>
      <c r="E145" s="304"/>
      <c r="F145" s="304">
        <v>1055.8876712328663</v>
      </c>
      <c r="G145" s="304">
        <v>126.92979139725966</v>
      </c>
      <c r="H145" s="304"/>
      <c r="I145" s="304">
        <v>4.9794246575342047</v>
      </c>
      <c r="J145" s="304"/>
      <c r="K145" s="304">
        <v>55.865753424657413</v>
      </c>
      <c r="L145" s="304"/>
      <c r="M145" s="304">
        <v>-0.52492186849314793</v>
      </c>
      <c r="N145" s="304">
        <v>0.99829972602738548</v>
      </c>
      <c r="O145" s="304"/>
      <c r="P145" s="304">
        <v>1244.1360185698491</v>
      </c>
      <c r="Q145" s="305">
        <v>0.87658779817634946</v>
      </c>
    </row>
    <row r="146" spans="1:17" ht="15" customHeight="1" x14ac:dyDescent="0.25">
      <c r="A146" s="104" t="s">
        <v>289</v>
      </c>
      <c r="B146" s="131" t="str">
        <f>VLOOKUP(A146,'0 Järjestäjätiedot'!A:H,2,FALSE)</f>
        <v>Suomen Diakoniaopisto - SDO Oy</v>
      </c>
      <c r="C146" s="304">
        <v>1762.9928767122969</v>
      </c>
      <c r="D146" s="304">
        <v>1759.7528767122969</v>
      </c>
      <c r="E146" s="304">
        <v>3.24</v>
      </c>
      <c r="F146" s="304">
        <v>1546.7732876711932</v>
      </c>
      <c r="G146" s="304">
        <v>68.735752438355632</v>
      </c>
      <c r="H146" s="304">
        <v>127.95073972602657</v>
      </c>
      <c r="I146" s="304">
        <v>5.7945205479451136</v>
      </c>
      <c r="J146" s="304">
        <v>2.7864</v>
      </c>
      <c r="K146" s="304">
        <v>172.27876712328589</v>
      </c>
      <c r="L146" s="304">
        <v>1.0850958904109518</v>
      </c>
      <c r="M146" s="304"/>
      <c r="N146" s="304"/>
      <c r="O146" s="304"/>
      <c r="P146" s="304">
        <v>1925.404563397246</v>
      </c>
      <c r="Q146" s="305">
        <v>1.0921227129333737</v>
      </c>
    </row>
    <row r="147" spans="1:17" ht="15" customHeight="1" x14ac:dyDescent="0.25">
      <c r="A147" s="104" t="s">
        <v>406</v>
      </c>
      <c r="B147" s="131" t="str">
        <f>VLOOKUP(A147,'0 Järjestäjätiedot'!A:H,2,FALSE)</f>
        <v>Air Navigation Services Finland Oy</v>
      </c>
      <c r="C147" s="304">
        <v>23.726986301369855</v>
      </c>
      <c r="D147" s="304">
        <v>1.3369863013698549</v>
      </c>
      <c r="E147" s="304">
        <v>22.39</v>
      </c>
      <c r="F147" s="304">
        <v>1.3236164383561573</v>
      </c>
      <c r="G147" s="304"/>
      <c r="H147" s="304"/>
      <c r="I147" s="304"/>
      <c r="J147" s="304">
        <v>19.255400000000002</v>
      </c>
      <c r="K147" s="304"/>
      <c r="L147" s="304"/>
      <c r="M147" s="304"/>
      <c r="N147" s="304"/>
      <c r="O147" s="304"/>
      <c r="P147" s="304">
        <v>20.57901643835616</v>
      </c>
      <c r="Q147" s="305">
        <v>0.86732533904518883</v>
      </c>
    </row>
    <row r="148" spans="1:17" ht="15" customHeight="1" x14ac:dyDescent="0.25">
      <c r="A148" s="104" t="s">
        <v>407</v>
      </c>
      <c r="B148" s="131" t="str">
        <f>VLOOKUP(A148,'0 Järjestäjätiedot'!A:H,2,FALSE)</f>
        <v>Ammattiopisto Spesia Oy</v>
      </c>
      <c r="C148" s="304">
        <v>1014.9972602739895</v>
      </c>
      <c r="D148" s="304">
        <v>1014.9972602739895</v>
      </c>
      <c r="E148" s="304"/>
      <c r="F148" s="304">
        <v>645.65224657532622</v>
      </c>
      <c r="G148" s="304">
        <v>1.2681794520547882</v>
      </c>
      <c r="H148" s="304">
        <v>503.1227671232819</v>
      </c>
      <c r="I148" s="304"/>
      <c r="J148" s="304"/>
      <c r="K148" s="304">
        <v>3544.5252328767288</v>
      </c>
      <c r="L148" s="304">
        <v>304.76676712327725</v>
      </c>
      <c r="M148" s="304"/>
      <c r="N148" s="304"/>
      <c r="O148" s="304"/>
      <c r="P148" s="304">
        <v>4999.3351931506731</v>
      </c>
      <c r="Q148" s="305">
        <v>4.9254666872708039</v>
      </c>
    </row>
    <row r="149" spans="1:17" ht="15" customHeight="1" x14ac:dyDescent="0.25">
      <c r="A149" s="104" t="s">
        <v>239</v>
      </c>
      <c r="B149" s="131" t="str">
        <f>VLOOKUP(A149,'0 Järjestäjätiedot'!A:H,2,FALSE)</f>
        <v>Careeria Oy</v>
      </c>
      <c r="C149" s="304">
        <v>3013.3652054793215</v>
      </c>
      <c r="D149" s="304">
        <v>2953.5852054793213</v>
      </c>
      <c r="E149" s="304">
        <v>59.78</v>
      </c>
      <c r="F149" s="304">
        <v>2027.8765945206239</v>
      </c>
      <c r="G149" s="304">
        <v>512.25436010957503</v>
      </c>
      <c r="H149" s="304">
        <v>67.548657534245649</v>
      </c>
      <c r="I149" s="304">
        <v>11.776397260273878</v>
      </c>
      <c r="J149" s="304">
        <v>51.410800000000002</v>
      </c>
      <c r="K149" s="304">
        <v>101.2890410958891</v>
      </c>
      <c r="L149" s="304">
        <v>6.6535342465752692</v>
      </c>
      <c r="M149" s="304">
        <v>-8.8624071287670461</v>
      </c>
      <c r="N149" s="304">
        <v>5.6224661643835345</v>
      </c>
      <c r="O149" s="304"/>
      <c r="P149" s="304">
        <v>2775.5694438027708</v>
      </c>
      <c r="Q149" s="305">
        <v>0.92108631199293245</v>
      </c>
    </row>
    <row r="150" spans="1:17" ht="15" customHeight="1" x14ac:dyDescent="0.25">
      <c r="A150" s="104" t="s">
        <v>776</v>
      </c>
      <c r="B150" s="131" t="str">
        <f>VLOOKUP(A150,'0 Järjestäjätiedot'!A:H,2,FALSE)</f>
        <v>Turun musiikinopetus Oy</v>
      </c>
      <c r="C150" s="304">
        <v>77.964383561643572</v>
      </c>
      <c r="D150" s="304">
        <v>77.964383561643572</v>
      </c>
      <c r="E150" s="304"/>
      <c r="F150" s="304">
        <v>121.80271232876675</v>
      </c>
      <c r="G150" s="304">
        <v>1.2870180821917683</v>
      </c>
      <c r="H150" s="304"/>
      <c r="I150" s="304"/>
      <c r="J150" s="304"/>
      <c r="K150" s="304"/>
      <c r="L150" s="304"/>
      <c r="M150" s="304"/>
      <c r="N150" s="304"/>
      <c r="O150" s="304"/>
      <c r="P150" s="304">
        <v>123.08973041095855</v>
      </c>
      <c r="Q150" s="305">
        <v>1.5787943774818158</v>
      </c>
    </row>
    <row r="151" spans="1:17" ht="15" customHeight="1" x14ac:dyDescent="0.25">
      <c r="A151" s="104" t="s">
        <v>774</v>
      </c>
      <c r="B151" s="131" t="str">
        <f>VLOOKUP(A151,'0 Järjestäjätiedot'!A:H,2,FALSE)</f>
        <v>AEL-Amiedu Oy</v>
      </c>
      <c r="C151" s="304">
        <v>3571.4546575341083</v>
      </c>
      <c r="D151" s="304">
        <v>3532.944657534108</v>
      </c>
      <c r="E151" s="304">
        <v>38.510000000000005</v>
      </c>
      <c r="F151" s="304">
        <v>1335.3079835616161</v>
      </c>
      <c r="G151" s="304">
        <v>1493.0416153972615</v>
      </c>
      <c r="H151" s="304">
        <v>38.355863013698382</v>
      </c>
      <c r="I151" s="304"/>
      <c r="J151" s="304">
        <v>33.118600000000001</v>
      </c>
      <c r="K151" s="304">
        <v>1.0945205479451965</v>
      </c>
      <c r="L151" s="304"/>
      <c r="M151" s="304">
        <v>-24.248397703561434</v>
      </c>
      <c r="N151" s="304">
        <v>10.169499246575313</v>
      </c>
      <c r="O151" s="304"/>
      <c r="P151" s="304">
        <v>2886.8396840636433</v>
      </c>
      <c r="Q151" s="305">
        <v>0.80830920755881797</v>
      </c>
    </row>
    <row r="152" spans="1:17" ht="15" customHeight="1" x14ac:dyDescent="0.25">
      <c r="A152" s="48" t="s">
        <v>21</v>
      </c>
      <c r="B152" s="48"/>
      <c r="C152" s="306">
        <v>169776.2030598608</v>
      </c>
      <c r="D152" s="306">
        <v>167589.29038355942</v>
      </c>
      <c r="E152" s="306">
        <v>2186.9126763013692</v>
      </c>
      <c r="F152" s="306">
        <v>134973.16989725918</v>
      </c>
      <c r="G152" s="306">
        <v>23204.536088347886</v>
      </c>
      <c r="H152" s="306">
        <v>5934.7688054794417</v>
      </c>
      <c r="I152" s="306">
        <v>390.73688219178206</v>
      </c>
      <c r="J152" s="306">
        <v>1880.5238940000004</v>
      </c>
      <c r="K152" s="306">
        <v>22688.052252054786</v>
      </c>
      <c r="L152" s="306">
        <v>3090.9407430136903</v>
      </c>
      <c r="M152" s="306">
        <v>-316.92361330882034</v>
      </c>
      <c r="N152" s="306">
        <v>175.03073638355986</v>
      </c>
      <c r="O152" s="306">
        <v>141.23029041095867</v>
      </c>
      <c r="P152" s="306">
        <v>192162.0659758329</v>
      </c>
      <c r="Q152" s="307">
        <v>1.1318551275886326</v>
      </c>
    </row>
    <row r="154" spans="1:17" x14ac:dyDescent="0.25">
      <c r="A154" t="s">
        <v>854</v>
      </c>
    </row>
    <row r="155" spans="1:17" x14ac:dyDescent="0.25">
      <c r="A155" s="308" t="s">
        <v>855</v>
      </c>
    </row>
  </sheetData>
  <hyperlinks>
    <hyperlink ref="A155" r:id="rId1"/>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Q144"/>
  <sheetViews>
    <sheetView zoomScale="90" zoomScaleNormal="90" workbookViewId="0">
      <pane xSplit="2" ySplit="4" topLeftCell="C5" activePane="bottomRight" state="frozen"/>
      <selection pane="topRight" activeCell="C1" sqref="C1"/>
      <selection pane="bottomLeft" activeCell="A5" sqref="A5"/>
      <selection pane="bottomRight"/>
    </sheetView>
  </sheetViews>
  <sheetFormatPr defaultColWidth="19.5703125" defaultRowHeight="15" x14ac:dyDescent="0.25"/>
  <cols>
    <col min="1" max="1" width="11.7109375" customWidth="1"/>
    <col min="2" max="2" width="45.85546875" customWidth="1"/>
    <col min="3" max="17" width="17.42578125" customWidth="1"/>
  </cols>
  <sheetData>
    <row r="1" spans="1:17" ht="19.5" x14ac:dyDescent="0.3">
      <c r="A1" s="6" t="s">
        <v>640</v>
      </c>
      <c r="B1" s="6"/>
    </row>
    <row r="2" spans="1:17" ht="15.75" x14ac:dyDescent="0.25">
      <c r="A2" s="7" t="s">
        <v>191</v>
      </c>
      <c r="B2" s="7"/>
    </row>
    <row r="3" spans="1:17" x14ac:dyDescent="0.25">
      <c r="A3" s="15" t="s">
        <v>876</v>
      </c>
      <c r="P3" s="11"/>
    </row>
    <row r="4" spans="1:17" ht="96" customHeight="1" x14ac:dyDescent="0.25">
      <c r="A4" s="47" t="s">
        <v>12</v>
      </c>
      <c r="B4" s="129"/>
      <c r="C4" s="47" t="s">
        <v>1</v>
      </c>
      <c r="D4" s="47" t="s">
        <v>2</v>
      </c>
      <c r="E4" s="47" t="s">
        <v>3</v>
      </c>
      <c r="F4" s="47" t="s">
        <v>4</v>
      </c>
      <c r="G4" s="47" t="s">
        <v>5</v>
      </c>
      <c r="H4" s="47" t="s">
        <v>6</v>
      </c>
      <c r="I4" s="47" t="s">
        <v>7</v>
      </c>
      <c r="J4" s="47" t="s">
        <v>8</v>
      </c>
      <c r="K4" s="47" t="s">
        <v>9</v>
      </c>
      <c r="L4" s="47" t="s">
        <v>10</v>
      </c>
      <c r="M4" s="47" t="s">
        <v>461</v>
      </c>
      <c r="N4" s="47" t="s">
        <v>462</v>
      </c>
      <c r="O4" s="47" t="s">
        <v>668</v>
      </c>
      <c r="P4" s="47" t="s">
        <v>11</v>
      </c>
      <c r="Q4" s="47" t="s">
        <v>669</v>
      </c>
    </row>
    <row r="5" spans="1:17" ht="15" customHeight="1" x14ac:dyDescent="0.25">
      <c r="A5" s="104" t="s">
        <v>363</v>
      </c>
      <c r="B5" s="130" t="str">
        <f>VLOOKUP(A5,'0 Järjestäjätiedot'!A:H,2,FALSE)</f>
        <v>Kellosepäntaidon Edistämissäätiö sr</v>
      </c>
      <c r="C5" s="309">
        <v>24</v>
      </c>
      <c r="D5" s="309"/>
      <c r="E5" s="309">
        <v>218</v>
      </c>
      <c r="F5" s="309"/>
      <c r="G5" s="304">
        <v>1176.119136</v>
      </c>
      <c r="H5" s="304"/>
      <c r="I5" s="304"/>
      <c r="J5" s="304">
        <v>3732.6</v>
      </c>
      <c r="K5" s="304"/>
      <c r="L5" s="304"/>
      <c r="M5" s="304">
        <v>1176.119136</v>
      </c>
      <c r="N5" s="304">
        <v>3732.6</v>
      </c>
      <c r="O5" s="304">
        <v>3732.6</v>
      </c>
      <c r="P5" s="304">
        <v>4908.7191359999997</v>
      </c>
      <c r="Q5" s="310">
        <v>3.136880563258374E-4</v>
      </c>
    </row>
    <row r="6" spans="1:17" ht="15" customHeight="1" x14ac:dyDescent="0.25">
      <c r="A6" s="104" t="s">
        <v>286</v>
      </c>
      <c r="B6" s="130" t="str">
        <f>VLOOKUP(A6,'0 Järjestäjätiedot'!A:H,2,FALSE)</f>
        <v>Suomen kansallisooppera ja -baletti sr</v>
      </c>
      <c r="C6" s="309">
        <v>10</v>
      </c>
      <c r="D6" s="309"/>
      <c r="E6" s="309">
        <v>130</v>
      </c>
      <c r="F6" s="309"/>
      <c r="G6" s="304">
        <v>885.6</v>
      </c>
      <c r="H6" s="304"/>
      <c r="I6" s="304"/>
      <c r="J6" s="304">
        <v>2066.58</v>
      </c>
      <c r="K6" s="304"/>
      <c r="L6" s="304"/>
      <c r="M6" s="304">
        <v>885.6</v>
      </c>
      <c r="N6" s="304">
        <v>2066.58</v>
      </c>
      <c r="O6" s="304">
        <v>2066.58</v>
      </c>
      <c r="P6" s="304">
        <v>2952.18</v>
      </c>
      <c r="Q6" s="310">
        <v>1.8865687371118122E-4</v>
      </c>
    </row>
    <row r="7" spans="1:17" ht="15" customHeight="1" x14ac:dyDescent="0.25">
      <c r="A7" s="104" t="s">
        <v>251</v>
      </c>
      <c r="B7" s="130" t="str">
        <f>VLOOKUP(A7,'0 Järjestäjätiedot'!A:H,2,FALSE)</f>
        <v>Vantaan kaupunki</v>
      </c>
      <c r="C7" s="309">
        <v>1406</v>
      </c>
      <c r="D7" s="309">
        <v>249</v>
      </c>
      <c r="E7" s="309">
        <v>8588</v>
      </c>
      <c r="F7" s="309">
        <v>730</v>
      </c>
      <c r="G7" s="304">
        <v>92647.358802000002</v>
      </c>
      <c r="H7" s="304">
        <v>3300.0906730000006</v>
      </c>
      <c r="I7" s="304">
        <v>468</v>
      </c>
      <c r="J7" s="304">
        <v>174288.72</v>
      </c>
      <c r="K7" s="304">
        <v>16929.661500016035</v>
      </c>
      <c r="L7" s="304">
        <v>2486.5</v>
      </c>
      <c r="M7" s="304">
        <v>96415.449475000001</v>
      </c>
      <c r="N7" s="304">
        <v>193704.88150001602</v>
      </c>
      <c r="O7" s="304">
        <v>193704.88150001602</v>
      </c>
      <c r="P7" s="304">
        <v>290120.330975016</v>
      </c>
      <c r="Q7" s="310">
        <v>1.8539924612252536E-2</v>
      </c>
    </row>
    <row r="8" spans="1:17" ht="15" customHeight="1" x14ac:dyDescent="0.25">
      <c r="A8" s="104" t="s">
        <v>358</v>
      </c>
      <c r="B8" s="130" t="str">
        <f>VLOOKUP(A8,'0 Järjestäjätiedot'!A:H,2,FALSE)</f>
        <v>Kisakalliosäätiö sr</v>
      </c>
      <c r="C8" s="309">
        <v>46</v>
      </c>
      <c r="D8" s="309">
        <v>28</v>
      </c>
      <c r="E8" s="309">
        <v>424</v>
      </c>
      <c r="F8" s="309">
        <v>99</v>
      </c>
      <c r="G8" s="304">
        <v>4618.6075619999992</v>
      </c>
      <c r="H8" s="304">
        <v>367.41564099999999</v>
      </c>
      <c r="I8" s="304">
        <v>72</v>
      </c>
      <c r="J8" s="304">
        <v>11711.15</v>
      </c>
      <c r="K8" s="304">
        <v>2405.7000000000003</v>
      </c>
      <c r="L8" s="304">
        <v>178.5</v>
      </c>
      <c r="M8" s="304">
        <v>5058.0232029999988</v>
      </c>
      <c r="N8" s="304">
        <v>14295.35</v>
      </c>
      <c r="O8" s="304">
        <v>14295.35</v>
      </c>
      <c r="P8" s="304">
        <v>19353.373202999999</v>
      </c>
      <c r="Q8" s="310">
        <v>1.2367629630455222E-3</v>
      </c>
    </row>
    <row r="9" spans="1:17" ht="15" customHeight="1" x14ac:dyDescent="0.25">
      <c r="A9" s="104" t="s">
        <v>295</v>
      </c>
      <c r="B9" s="130" t="str">
        <f>VLOOKUP(A9,'0 Järjestäjätiedot'!A:H,2,FALSE)</f>
        <v>Salon Seudun Koulutuskuntayhtymä</v>
      </c>
      <c r="C9" s="309">
        <v>719</v>
      </c>
      <c r="D9" s="309">
        <v>236</v>
      </c>
      <c r="E9" s="309">
        <v>6409</v>
      </c>
      <c r="F9" s="309">
        <v>686</v>
      </c>
      <c r="G9" s="304">
        <v>41326.458749999998</v>
      </c>
      <c r="H9" s="304">
        <v>3475.0578259999979</v>
      </c>
      <c r="I9" s="304">
        <v>4176</v>
      </c>
      <c r="J9" s="304">
        <v>117169.29</v>
      </c>
      <c r="K9" s="304">
        <v>14808.274200000007</v>
      </c>
      <c r="L9" s="304">
        <v>9522.75</v>
      </c>
      <c r="M9" s="304">
        <v>48977.516575999995</v>
      </c>
      <c r="N9" s="304">
        <v>141500.31419999999</v>
      </c>
      <c r="O9" s="304">
        <v>141500.31419999999</v>
      </c>
      <c r="P9" s="304">
        <v>190477.83077599999</v>
      </c>
      <c r="Q9" s="310">
        <v>1.2172344526921657E-2</v>
      </c>
    </row>
    <row r="10" spans="1:17" ht="15" customHeight="1" x14ac:dyDescent="0.25">
      <c r="A10" s="104" t="s">
        <v>266</v>
      </c>
      <c r="B10" s="130" t="str">
        <f>VLOOKUP(A10,'0 Järjestäjätiedot'!A:H,2,FALSE)</f>
        <v>Turun Aikuiskoulutussäätiö sr</v>
      </c>
      <c r="C10" s="309">
        <v>204</v>
      </c>
      <c r="D10" s="309">
        <v>536</v>
      </c>
      <c r="E10" s="309">
        <v>1436</v>
      </c>
      <c r="F10" s="309">
        <v>2114</v>
      </c>
      <c r="G10" s="304">
        <v>10332.629028000001</v>
      </c>
      <c r="H10" s="304">
        <v>9417.7476110000007</v>
      </c>
      <c r="I10" s="304"/>
      <c r="J10" s="304">
        <v>32624.750000000004</v>
      </c>
      <c r="K10" s="304">
        <v>43989.444514297182</v>
      </c>
      <c r="L10" s="304"/>
      <c r="M10" s="304">
        <v>19750.376639000002</v>
      </c>
      <c r="N10" s="304">
        <v>76614.194514297182</v>
      </c>
      <c r="O10" s="304">
        <v>76614.194514297182</v>
      </c>
      <c r="P10" s="304">
        <v>96364.571153297176</v>
      </c>
      <c r="Q10" s="310">
        <v>6.1581064604122118E-3</v>
      </c>
    </row>
    <row r="11" spans="1:17" ht="15" customHeight="1" x14ac:dyDescent="0.25">
      <c r="A11" s="104" t="s">
        <v>360</v>
      </c>
      <c r="B11" s="130" t="str">
        <f>VLOOKUP(A11,'0 Järjestäjätiedot'!A:H,2,FALSE)</f>
        <v>Kiipulasäätiö sr</v>
      </c>
      <c r="C11" s="309">
        <v>128</v>
      </c>
      <c r="D11" s="309">
        <v>54</v>
      </c>
      <c r="E11" s="309">
        <v>1802</v>
      </c>
      <c r="F11" s="309">
        <v>133</v>
      </c>
      <c r="G11" s="304">
        <v>8622.1787399999994</v>
      </c>
      <c r="H11" s="304">
        <v>768.85105800000008</v>
      </c>
      <c r="I11" s="304">
        <v>19567.439999999999</v>
      </c>
      <c r="J11" s="304">
        <v>28236.889999999996</v>
      </c>
      <c r="K11" s="304">
        <v>2955.2579999999998</v>
      </c>
      <c r="L11" s="304">
        <v>70203.779999999984</v>
      </c>
      <c r="M11" s="304">
        <v>28958.469797999998</v>
      </c>
      <c r="N11" s="304">
        <v>101395.92799999999</v>
      </c>
      <c r="O11" s="304">
        <v>101395.92799999999</v>
      </c>
      <c r="P11" s="304">
        <v>130354.39779799999</v>
      </c>
      <c r="Q11" s="310">
        <v>8.3302011269889929E-3</v>
      </c>
    </row>
    <row r="12" spans="1:17" ht="15" customHeight="1" x14ac:dyDescent="0.25">
      <c r="A12" s="104" t="s">
        <v>337</v>
      </c>
      <c r="B12" s="130" t="str">
        <f>VLOOKUP(A12,'0 Järjestäjätiedot'!A:H,2,FALSE)</f>
        <v>Lahden Konservatorio Oy</v>
      </c>
      <c r="C12" s="309">
        <v>19</v>
      </c>
      <c r="D12" s="309"/>
      <c r="E12" s="309">
        <v>170</v>
      </c>
      <c r="F12" s="309"/>
      <c r="G12" s="304">
        <v>1745.8192979999999</v>
      </c>
      <c r="H12" s="304"/>
      <c r="I12" s="304"/>
      <c r="J12" s="304">
        <v>4834.13</v>
      </c>
      <c r="K12" s="304"/>
      <c r="L12" s="304"/>
      <c r="M12" s="304">
        <v>1745.8192979999999</v>
      </c>
      <c r="N12" s="304">
        <v>4834.13</v>
      </c>
      <c r="O12" s="304">
        <v>4834.13</v>
      </c>
      <c r="P12" s="304">
        <v>6579.9492979999995</v>
      </c>
      <c r="Q12" s="310">
        <v>4.2048678052786806E-4</v>
      </c>
    </row>
    <row r="13" spans="1:17" ht="15" customHeight="1" x14ac:dyDescent="0.25">
      <c r="A13" s="104" t="s">
        <v>338</v>
      </c>
      <c r="B13" s="130" t="str">
        <f>VLOOKUP(A13,'0 Järjestäjätiedot'!A:H,2,FALSE)</f>
        <v>Lahden kansanopiston säätiö sr</v>
      </c>
      <c r="C13" s="309"/>
      <c r="D13" s="309">
        <v>23</v>
      </c>
      <c r="E13" s="309"/>
      <c r="F13" s="309">
        <v>101</v>
      </c>
      <c r="G13" s="304"/>
      <c r="H13" s="304">
        <v>538.87599299999999</v>
      </c>
      <c r="I13" s="304"/>
      <c r="J13" s="304"/>
      <c r="K13" s="304">
        <v>1864.4175</v>
      </c>
      <c r="L13" s="304"/>
      <c r="M13" s="304">
        <v>538.87599299999999</v>
      </c>
      <c r="N13" s="304">
        <v>1864.4175</v>
      </c>
      <c r="O13" s="304">
        <v>1796.2560000000001</v>
      </c>
      <c r="P13" s="304">
        <v>2335.131993</v>
      </c>
      <c r="Q13" s="310">
        <v>1.4922487839574142E-4</v>
      </c>
    </row>
    <row r="14" spans="1:17" ht="15" customHeight="1" x14ac:dyDescent="0.25">
      <c r="A14" s="104" t="s">
        <v>408</v>
      </c>
      <c r="B14" s="130" t="str">
        <f>VLOOKUP(A14,'0 Järjestäjätiedot'!A:H,2,FALSE)</f>
        <v>Aitoon Emäntäkoulu Oy</v>
      </c>
      <c r="C14" s="309">
        <v>26</v>
      </c>
      <c r="D14" s="309"/>
      <c r="E14" s="309">
        <v>390</v>
      </c>
      <c r="F14" s="309"/>
      <c r="G14" s="304">
        <v>1922.4</v>
      </c>
      <c r="H14" s="304"/>
      <c r="I14" s="304">
        <v>4603.68</v>
      </c>
      <c r="J14" s="304">
        <v>4374.2199999999993</v>
      </c>
      <c r="K14" s="304"/>
      <c r="L14" s="304">
        <v>11137.869999999999</v>
      </c>
      <c r="M14" s="304">
        <v>6526.08</v>
      </c>
      <c r="N14" s="304">
        <v>15512.089999999998</v>
      </c>
      <c r="O14" s="304">
        <v>15512.089999999998</v>
      </c>
      <c r="P14" s="304">
        <v>22038.17</v>
      </c>
      <c r="Q14" s="310">
        <v>1.4083329114469791E-3</v>
      </c>
    </row>
    <row r="15" spans="1:17" ht="15" customHeight="1" x14ac:dyDescent="0.25">
      <c r="A15" s="104" t="s">
        <v>314</v>
      </c>
      <c r="B15" s="130" t="str">
        <f>VLOOKUP(A15,'0 Järjestäjätiedot'!A:H,2,FALSE)</f>
        <v>Palloilu Säätiö sr</v>
      </c>
      <c r="C15" s="309"/>
      <c r="D15" s="309">
        <v>79</v>
      </c>
      <c r="E15" s="309"/>
      <c r="F15" s="309">
        <v>265</v>
      </c>
      <c r="G15" s="304"/>
      <c r="H15" s="304">
        <v>1335.8725449999999</v>
      </c>
      <c r="I15" s="304"/>
      <c r="J15" s="304"/>
      <c r="K15" s="304">
        <v>5927.8635000000004</v>
      </c>
      <c r="L15" s="304"/>
      <c r="M15" s="304">
        <v>1335.8725449999999</v>
      </c>
      <c r="N15" s="304">
        <v>5927.8635000000004</v>
      </c>
      <c r="O15" s="304">
        <v>4209.3347115246961</v>
      </c>
      <c r="P15" s="304">
        <v>5545.2072565246963</v>
      </c>
      <c r="Q15" s="310">
        <v>3.5436235768025845E-4</v>
      </c>
    </row>
    <row r="16" spans="1:17" ht="15" customHeight="1" x14ac:dyDescent="0.25">
      <c r="A16" s="104" t="s">
        <v>409</v>
      </c>
      <c r="B16" s="130" t="str">
        <f>VLOOKUP(A16,'0 Järjestäjätiedot'!A:H,2,FALSE)</f>
        <v>Ahlmanin koulun Säätiö sr</v>
      </c>
      <c r="C16" s="309">
        <v>117</v>
      </c>
      <c r="D16" s="309">
        <v>43</v>
      </c>
      <c r="E16" s="309">
        <v>1061</v>
      </c>
      <c r="F16" s="309">
        <v>322</v>
      </c>
      <c r="G16" s="304">
        <v>6730.0138079999997</v>
      </c>
      <c r="H16" s="304">
        <v>577.49868600000002</v>
      </c>
      <c r="I16" s="304">
        <v>504</v>
      </c>
      <c r="J16" s="304">
        <v>25379.15</v>
      </c>
      <c r="K16" s="304">
        <v>7323.4530000000004</v>
      </c>
      <c r="L16" s="304">
        <v>981.5</v>
      </c>
      <c r="M16" s="304">
        <v>7811.5124939999996</v>
      </c>
      <c r="N16" s="304">
        <v>33684.103000000003</v>
      </c>
      <c r="O16" s="304">
        <v>33684.103000000003</v>
      </c>
      <c r="P16" s="304">
        <v>41495.615494000005</v>
      </c>
      <c r="Q16" s="310">
        <v>2.6517465370740588E-3</v>
      </c>
    </row>
    <row r="17" spans="1:17" ht="15" customHeight="1" x14ac:dyDescent="0.25">
      <c r="A17" s="104" t="s">
        <v>277</v>
      </c>
      <c r="B17" s="130" t="str">
        <f>VLOOKUP(A17,'0 Järjestäjätiedot'!A:H,2,FALSE)</f>
        <v>Tampereen Aikuiskoulutussäätiö sr</v>
      </c>
      <c r="C17" s="309">
        <v>254</v>
      </c>
      <c r="D17" s="309">
        <v>611</v>
      </c>
      <c r="E17" s="309">
        <v>2396</v>
      </c>
      <c r="F17" s="309">
        <v>2174</v>
      </c>
      <c r="G17" s="304">
        <v>9469.6882560000013</v>
      </c>
      <c r="H17" s="304">
        <v>8518.1945960000012</v>
      </c>
      <c r="I17" s="304"/>
      <c r="J17" s="304">
        <v>49560.649999999994</v>
      </c>
      <c r="K17" s="304">
        <v>45499.392899999992</v>
      </c>
      <c r="L17" s="304"/>
      <c r="M17" s="304">
        <v>17987.882852000002</v>
      </c>
      <c r="N17" s="304">
        <v>95060.042899999986</v>
      </c>
      <c r="O17" s="304">
        <v>95060.042899999986</v>
      </c>
      <c r="P17" s="304">
        <v>113047.92575199998</v>
      </c>
      <c r="Q17" s="310">
        <v>7.2242438645021825E-3</v>
      </c>
    </row>
    <row r="18" spans="1:17" ht="15" customHeight="1" x14ac:dyDescent="0.25">
      <c r="A18" s="104" t="s">
        <v>250</v>
      </c>
      <c r="B18" s="130" t="str">
        <f>VLOOKUP(A18,'0 Järjestäjätiedot'!A:H,2,FALSE)</f>
        <v>Varalan Säätiö sr</v>
      </c>
      <c r="C18" s="309">
        <v>23</v>
      </c>
      <c r="D18" s="309">
        <v>45</v>
      </c>
      <c r="E18" s="309">
        <v>310</v>
      </c>
      <c r="F18" s="309">
        <v>191</v>
      </c>
      <c r="G18" s="304">
        <v>2238.0839999999998</v>
      </c>
      <c r="H18" s="304">
        <v>528.07909500000005</v>
      </c>
      <c r="I18" s="304"/>
      <c r="J18" s="304">
        <v>8070.29</v>
      </c>
      <c r="K18" s="304">
        <v>4303.5300000000007</v>
      </c>
      <c r="L18" s="304">
        <v>95.5</v>
      </c>
      <c r="M18" s="304">
        <v>2766.1630949999999</v>
      </c>
      <c r="N18" s="304">
        <v>12469.32</v>
      </c>
      <c r="O18" s="304">
        <v>12469.32</v>
      </c>
      <c r="P18" s="304">
        <v>15235.483095</v>
      </c>
      <c r="Q18" s="310">
        <v>9.7361224931482887E-4</v>
      </c>
    </row>
    <row r="19" spans="1:17" ht="15" customHeight="1" x14ac:dyDescent="0.25">
      <c r="A19" s="104" t="s">
        <v>350</v>
      </c>
      <c r="B19" s="130" t="str">
        <f>VLOOKUP(A19,'0 Järjestäjätiedot'!A:H,2,FALSE)</f>
        <v>Kouvolan Aikuiskoulutussäätiö sr</v>
      </c>
      <c r="C19" s="309">
        <v>109</v>
      </c>
      <c r="D19" s="309">
        <v>169</v>
      </c>
      <c r="E19" s="309">
        <v>578</v>
      </c>
      <c r="F19" s="309">
        <v>505</v>
      </c>
      <c r="G19" s="304">
        <v>5792.577839999999</v>
      </c>
      <c r="H19" s="304">
        <v>3518.255752</v>
      </c>
      <c r="I19" s="304"/>
      <c r="J19" s="304">
        <v>13667.799999999997</v>
      </c>
      <c r="K19" s="304">
        <v>9971.687249999999</v>
      </c>
      <c r="L19" s="304"/>
      <c r="M19" s="304">
        <v>9310.833591999999</v>
      </c>
      <c r="N19" s="304">
        <v>23639.487249999998</v>
      </c>
      <c r="O19" s="304">
        <v>17035.238373355303</v>
      </c>
      <c r="P19" s="304">
        <v>26346.071965355302</v>
      </c>
      <c r="Q19" s="310">
        <v>1.6836261920186871E-3</v>
      </c>
    </row>
    <row r="20" spans="1:17" ht="15" customHeight="1" x14ac:dyDescent="0.25">
      <c r="A20" s="104" t="s">
        <v>349</v>
      </c>
      <c r="B20" s="130" t="str">
        <f>VLOOKUP(A20,'0 Järjestäjätiedot'!A:H,2,FALSE)</f>
        <v>Kouvolan kaupunki</v>
      </c>
      <c r="C20" s="309">
        <v>767</v>
      </c>
      <c r="D20" s="309">
        <v>181</v>
      </c>
      <c r="E20" s="309">
        <v>7918</v>
      </c>
      <c r="F20" s="309">
        <v>1037</v>
      </c>
      <c r="G20" s="304">
        <v>47006.522081999981</v>
      </c>
      <c r="H20" s="304">
        <v>2350.4816579999997</v>
      </c>
      <c r="I20" s="304">
        <v>2772</v>
      </c>
      <c r="J20" s="304">
        <v>140149.03999999989</v>
      </c>
      <c r="K20" s="304">
        <v>19726.695642753595</v>
      </c>
      <c r="L20" s="304">
        <v>8196</v>
      </c>
      <c r="M20" s="304">
        <v>52129.003739999978</v>
      </c>
      <c r="N20" s="304">
        <v>168071.73564275348</v>
      </c>
      <c r="O20" s="304">
        <v>168071.73564275348</v>
      </c>
      <c r="P20" s="304">
        <v>220200.73938275347</v>
      </c>
      <c r="Q20" s="310">
        <v>1.4071764960415982E-2</v>
      </c>
    </row>
    <row r="21" spans="1:17" ht="15" customHeight="1" x14ac:dyDescent="0.25">
      <c r="A21" s="104" t="s">
        <v>257</v>
      </c>
      <c r="B21" s="130" t="str">
        <f>VLOOKUP(A21,'0 Järjestäjätiedot'!A:H,2,FALSE)</f>
        <v>Valkealan Kristillisen Kansanopiston kannatusyhdistys r.y.</v>
      </c>
      <c r="C21" s="309"/>
      <c r="D21" s="309"/>
      <c r="E21" s="309"/>
      <c r="F21" s="309">
        <v>12</v>
      </c>
      <c r="G21" s="304"/>
      <c r="H21" s="304"/>
      <c r="I21" s="304"/>
      <c r="J21" s="304"/>
      <c r="K21" s="304">
        <v>200.47500000000002</v>
      </c>
      <c r="L21" s="304"/>
      <c r="M21" s="304"/>
      <c r="N21" s="304">
        <v>200.47500000000002</v>
      </c>
      <c r="O21" s="304">
        <v>200.47500000000002</v>
      </c>
      <c r="P21" s="304">
        <v>200.47500000000002</v>
      </c>
      <c r="Q21" s="310">
        <v>1.2811206212781424E-5</v>
      </c>
    </row>
    <row r="22" spans="1:17" ht="15" customHeight="1" x14ac:dyDescent="0.25">
      <c r="A22" s="104" t="s">
        <v>273</v>
      </c>
      <c r="B22" s="130" t="str">
        <f>VLOOKUP(A22,'0 Järjestäjätiedot'!A:H,2,FALSE)</f>
        <v>Tanhuvaaran Säätiö sr</v>
      </c>
      <c r="C22" s="309">
        <v>28</v>
      </c>
      <c r="D22" s="309">
        <v>8</v>
      </c>
      <c r="E22" s="309">
        <v>482</v>
      </c>
      <c r="F22" s="309">
        <v>84</v>
      </c>
      <c r="G22" s="304">
        <v>3205.44</v>
      </c>
      <c r="H22" s="304">
        <v>123.17184</v>
      </c>
      <c r="I22" s="304">
        <v>108</v>
      </c>
      <c r="J22" s="304">
        <v>13541.650000000001</v>
      </c>
      <c r="K22" s="304">
        <v>1683.99</v>
      </c>
      <c r="L22" s="304">
        <v>450</v>
      </c>
      <c r="M22" s="304">
        <v>3436.61184</v>
      </c>
      <c r="N22" s="304">
        <v>15675.640000000001</v>
      </c>
      <c r="O22" s="304">
        <v>10559.372574178029</v>
      </c>
      <c r="P22" s="304">
        <v>13995.984414178029</v>
      </c>
      <c r="Q22" s="310">
        <v>8.9440300526703832E-4</v>
      </c>
    </row>
    <row r="23" spans="1:17" ht="15" customHeight="1" x14ac:dyDescent="0.25">
      <c r="A23" s="104" t="s">
        <v>378</v>
      </c>
      <c r="B23" s="130" t="str">
        <f>VLOOKUP(A23,'0 Järjestäjätiedot'!A:H,2,FALSE)</f>
        <v>Itä-Suomen Liikuntaopisto Oy</v>
      </c>
      <c r="C23" s="309"/>
      <c r="D23" s="309">
        <v>50</v>
      </c>
      <c r="E23" s="309"/>
      <c r="F23" s="309">
        <v>226</v>
      </c>
      <c r="G23" s="304"/>
      <c r="H23" s="304">
        <v>970.87028299999997</v>
      </c>
      <c r="I23" s="304"/>
      <c r="J23" s="304"/>
      <c r="K23" s="304">
        <v>4566.8204999999998</v>
      </c>
      <c r="L23" s="304"/>
      <c r="M23" s="304">
        <v>970.87028299999997</v>
      </c>
      <c r="N23" s="304">
        <v>4566.8204999999998</v>
      </c>
      <c r="O23" s="304">
        <v>4566.8204999999998</v>
      </c>
      <c r="P23" s="304">
        <v>5537.690783</v>
      </c>
      <c r="Q23" s="310">
        <v>3.5388202301350302E-4</v>
      </c>
    </row>
    <row r="24" spans="1:17" ht="15" customHeight="1" x14ac:dyDescent="0.25">
      <c r="A24" s="104" t="s">
        <v>268</v>
      </c>
      <c r="B24" s="130" t="str">
        <f>VLOOKUP(A24,'0 Järjestäjätiedot'!A:H,2,FALSE)</f>
        <v>Tohtori Matthias Ingmanin säätiö sr</v>
      </c>
      <c r="C24" s="309">
        <v>65</v>
      </c>
      <c r="D24" s="309"/>
      <c r="E24" s="309">
        <v>1024</v>
      </c>
      <c r="F24" s="309"/>
      <c r="G24" s="304">
        <v>4211.4600719999999</v>
      </c>
      <c r="H24" s="304"/>
      <c r="I24" s="304">
        <v>792</v>
      </c>
      <c r="J24" s="304">
        <v>16047.59</v>
      </c>
      <c r="K24" s="304"/>
      <c r="L24" s="304">
        <v>2410</v>
      </c>
      <c r="M24" s="304">
        <v>5003.4600719999999</v>
      </c>
      <c r="N24" s="304">
        <v>18457.59</v>
      </c>
      <c r="O24" s="304">
        <v>18457.59</v>
      </c>
      <c r="P24" s="304">
        <v>23461.050071999998</v>
      </c>
      <c r="Q24" s="310">
        <v>1.499261007311547E-3</v>
      </c>
    </row>
    <row r="25" spans="1:17" ht="15" customHeight="1" x14ac:dyDescent="0.25">
      <c r="A25" s="104" t="s">
        <v>364</v>
      </c>
      <c r="B25" s="130" t="str">
        <f>VLOOKUP(A25,'0 Järjestäjätiedot'!A:H,2,FALSE)</f>
        <v>Kaustisen Evankelisen Opiston Kannatusyhdistys ry</v>
      </c>
      <c r="C25" s="309">
        <v>24</v>
      </c>
      <c r="D25" s="309">
        <v>20</v>
      </c>
      <c r="E25" s="309">
        <v>177</v>
      </c>
      <c r="F25" s="309">
        <v>99</v>
      </c>
      <c r="G25" s="304">
        <v>889.57439999999997</v>
      </c>
      <c r="H25" s="304">
        <v>256.60774700000002</v>
      </c>
      <c r="I25" s="304">
        <v>180</v>
      </c>
      <c r="J25" s="304">
        <v>3700.8</v>
      </c>
      <c r="K25" s="304">
        <v>1964.6550000000002</v>
      </c>
      <c r="L25" s="304">
        <v>413.5</v>
      </c>
      <c r="M25" s="304">
        <v>1326.182147</v>
      </c>
      <c r="N25" s="304">
        <v>6078.9549999999999</v>
      </c>
      <c r="O25" s="304">
        <v>6078.9549999999999</v>
      </c>
      <c r="P25" s="304">
        <v>7405.1371469999995</v>
      </c>
      <c r="Q25" s="310">
        <v>4.7321979810023638E-4</v>
      </c>
    </row>
    <row r="26" spans="1:17" ht="15" customHeight="1" x14ac:dyDescent="0.25">
      <c r="A26" s="104" t="s">
        <v>342</v>
      </c>
      <c r="B26" s="130" t="str">
        <f>VLOOKUP(A26,'0 Järjestäjätiedot'!A:H,2,FALSE)</f>
        <v>Kuortaneen Urheiluopistosäätiö sr</v>
      </c>
      <c r="C26" s="309">
        <v>35</v>
      </c>
      <c r="D26" s="309">
        <v>57</v>
      </c>
      <c r="E26" s="309">
        <v>498</v>
      </c>
      <c r="F26" s="309">
        <v>172</v>
      </c>
      <c r="G26" s="304">
        <v>4006.8</v>
      </c>
      <c r="H26" s="304">
        <v>942.70580600000005</v>
      </c>
      <c r="I26" s="304"/>
      <c r="J26" s="304">
        <v>10489.44</v>
      </c>
      <c r="K26" s="304">
        <v>4275.9495000000006</v>
      </c>
      <c r="L26" s="304"/>
      <c r="M26" s="304">
        <v>4949.5058060000001</v>
      </c>
      <c r="N26" s="304">
        <v>14765.389500000001</v>
      </c>
      <c r="O26" s="304">
        <v>14765.389500000001</v>
      </c>
      <c r="P26" s="304">
        <v>19714.895306000002</v>
      </c>
      <c r="Q26" s="310">
        <v>1.2598657649510539E-3</v>
      </c>
    </row>
    <row r="27" spans="1:17" ht="15" customHeight="1" x14ac:dyDescent="0.25">
      <c r="A27" s="104" t="s">
        <v>320</v>
      </c>
      <c r="B27" s="130" t="str">
        <f>VLOOKUP(A27,'0 Järjestäjätiedot'!A:H,2,FALSE)</f>
        <v>Oulun kaupunki</v>
      </c>
      <c r="C27" s="309">
        <v>21</v>
      </c>
      <c r="D27" s="309"/>
      <c r="E27" s="309">
        <v>337</v>
      </c>
      <c r="F27" s="309"/>
      <c r="G27" s="304">
        <v>2146.4978219999998</v>
      </c>
      <c r="H27" s="304"/>
      <c r="I27" s="304"/>
      <c r="J27" s="304">
        <v>6780.34</v>
      </c>
      <c r="K27" s="304"/>
      <c r="L27" s="304"/>
      <c r="M27" s="304">
        <v>2146.4978219999998</v>
      </c>
      <c r="N27" s="304">
        <v>6780.34</v>
      </c>
      <c r="O27" s="304">
        <v>6780.34</v>
      </c>
      <c r="P27" s="304">
        <v>8926.8378219999995</v>
      </c>
      <c r="Q27" s="310">
        <v>5.7046295131910995E-4</v>
      </c>
    </row>
    <row r="28" spans="1:17" ht="15" customHeight="1" x14ac:dyDescent="0.25">
      <c r="A28" s="104" t="s">
        <v>327</v>
      </c>
      <c r="B28" s="130" t="str">
        <f>VLOOKUP(A28,'0 Järjestäjätiedot'!A:H,2,FALSE)</f>
        <v>Marttayhdistysten liitto ry</v>
      </c>
      <c r="C28" s="309">
        <v>61</v>
      </c>
      <c r="D28" s="309">
        <v>43</v>
      </c>
      <c r="E28" s="309">
        <v>494</v>
      </c>
      <c r="F28" s="309">
        <v>195</v>
      </c>
      <c r="G28" s="304">
        <v>3118.4963639999996</v>
      </c>
      <c r="H28" s="304">
        <v>868.93757600000015</v>
      </c>
      <c r="I28" s="304">
        <v>288</v>
      </c>
      <c r="J28" s="304">
        <v>7139.4300000000012</v>
      </c>
      <c r="K28" s="304">
        <v>4017.8970000000008</v>
      </c>
      <c r="L28" s="304">
        <v>800.25</v>
      </c>
      <c r="M28" s="304">
        <v>4275.4339399999999</v>
      </c>
      <c r="N28" s="304">
        <v>11957.577000000001</v>
      </c>
      <c r="O28" s="304">
        <v>11957.577000000001</v>
      </c>
      <c r="P28" s="304">
        <v>16233.01094</v>
      </c>
      <c r="Q28" s="310">
        <v>1.0373585265328685E-3</v>
      </c>
    </row>
    <row r="29" spans="1:17" ht="15" customHeight="1" x14ac:dyDescent="0.25">
      <c r="A29" s="104" t="s">
        <v>304</v>
      </c>
      <c r="B29" s="130" t="str">
        <f>VLOOKUP(A29,'0 Järjestäjätiedot'!A:H,2,FALSE)</f>
        <v>Raahen Porvari- ja Kauppakoulurahasto sr</v>
      </c>
      <c r="C29" s="309">
        <v>39</v>
      </c>
      <c r="D29" s="309">
        <v>8</v>
      </c>
      <c r="E29" s="309">
        <v>416</v>
      </c>
      <c r="F29" s="309">
        <v>7</v>
      </c>
      <c r="G29" s="304">
        <v>1634.32332</v>
      </c>
      <c r="H29" s="304">
        <v>74.843999999999994</v>
      </c>
      <c r="I29" s="304">
        <v>360</v>
      </c>
      <c r="J29" s="304">
        <v>5922.7999999999993</v>
      </c>
      <c r="K29" s="304">
        <v>124.74</v>
      </c>
      <c r="L29" s="304">
        <v>973.5</v>
      </c>
      <c r="M29" s="304">
        <v>2069.16732</v>
      </c>
      <c r="N29" s="304">
        <v>7021.0399999999991</v>
      </c>
      <c r="O29" s="304">
        <v>7021.0399999999991</v>
      </c>
      <c r="P29" s="304">
        <v>9090.2073199999995</v>
      </c>
      <c r="Q29" s="310">
        <v>5.809029579421631E-4</v>
      </c>
    </row>
    <row r="30" spans="1:17" ht="15" customHeight="1" x14ac:dyDescent="0.25">
      <c r="A30" s="104" t="s">
        <v>311</v>
      </c>
      <c r="B30" s="130" t="str">
        <f>VLOOKUP(A30,'0 Järjestäjätiedot'!A:H,2,FALSE)</f>
        <v>Peräpohjolan Kansanopiston kannatusyhdistys ry</v>
      </c>
      <c r="C30" s="309">
        <v>20</v>
      </c>
      <c r="D30" s="309">
        <v>8</v>
      </c>
      <c r="E30" s="309">
        <v>355</v>
      </c>
      <c r="F30" s="309">
        <v>18</v>
      </c>
      <c r="G30" s="304">
        <v>1040.6879999999999</v>
      </c>
      <c r="H30" s="304">
        <v>153.964664</v>
      </c>
      <c r="I30" s="304">
        <v>72</v>
      </c>
      <c r="J30" s="304">
        <v>5244.47</v>
      </c>
      <c r="K30" s="304">
        <v>348.82650000000001</v>
      </c>
      <c r="L30" s="304">
        <v>281</v>
      </c>
      <c r="M30" s="304">
        <v>1266.652664</v>
      </c>
      <c r="N30" s="304">
        <v>5874.2965000000004</v>
      </c>
      <c r="O30" s="304">
        <v>5874.2965000000004</v>
      </c>
      <c r="P30" s="304">
        <v>7140.9491640000006</v>
      </c>
      <c r="Q30" s="310">
        <v>4.5633706095519696E-4</v>
      </c>
    </row>
    <row r="31" spans="1:17" ht="15" customHeight="1" x14ac:dyDescent="0.25">
      <c r="A31" s="104" t="s">
        <v>301</v>
      </c>
      <c r="B31" s="130" t="str">
        <f>VLOOKUP(A31,'0 Järjestäjätiedot'!A:H,2,FALSE)</f>
        <v>Raudaskylän Kristillinen Opisto r.y.</v>
      </c>
      <c r="C31" s="309"/>
      <c r="D31" s="309">
        <v>30</v>
      </c>
      <c r="E31" s="309"/>
      <c r="F31" s="309">
        <v>115</v>
      </c>
      <c r="G31" s="304"/>
      <c r="H31" s="304">
        <v>451.06874999999997</v>
      </c>
      <c r="I31" s="304">
        <v>72</v>
      </c>
      <c r="J31" s="304"/>
      <c r="K31" s="304">
        <v>2296.107</v>
      </c>
      <c r="L31" s="304">
        <v>206.25</v>
      </c>
      <c r="M31" s="304">
        <v>523.06874999999991</v>
      </c>
      <c r="N31" s="304">
        <v>2502.357</v>
      </c>
      <c r="O31" s="304">
        <v>2307.1789802095459</v>
      </c>
      <c r="P31" s="304">
        <v>2830.2477302095458</v>
      </c>
      <c r="Q31" s="310">
        <v>1.8086488242908616E-4</v>
      </c>
    </row>
    <row r="32" spans="1:17" ht="15" customHeight="1" x14ac:dyDescent="0.25">
      <c r="A32" s="104" t="s">
        <v>384</v>
      </c>
      <c r="B32" s="130" t="str">
        <f>VLOOKUP(A32,'0 Järjestäjätiedot'!A:H,2,FALSE)</f>
        <v>Laajasalon opiston säätiö sr</v>
      </c>
      <c r="C32" s="309"/>
      <c r="D32" s="309">
        <v>31</v>
      </c>
      <c r="E32" s="309"/>
      <c r="F32" s="309">
        <v>126</v>
      </c>
      <c r="G32" s="304"/>
      <c r="H32" s="304">
        <v>558.12157400000001</v>
      </c>
      <c r="I32" s="304"/>
      <c r="J32" s="304"/>
      <c r="K32" s="304">
        <v>2562.0705000000003</v>
      </c>
      <c r="L32" s="304"/>
      <c r="M32" s="304">
        <v>558.12157400000001</v>
      </c>
      <c r="N32" s="304">
        <v>2562.0705000000003</v>
      </c>
      <c r="O32" s="304">
        <v>2562.0705000000003</v>
      </c>
      <c r="P32" s="304">
        <v>3120.1920740000005</v>
      </c>
      <c r="Q32" s="310">
        <v>1.993935607108126E-4</v>
      </c>
    </row>
    <row r="33" spans="1:17" ht="15" customHeight="1" x14ac:dyDescent="0.25">
      <c r="A33" s="104" t="s">
        <v>385</v>
      </c>
      <c r="B33" s="130" t="str">
        <f>VLOOKUP(A33,'0 Järjestäjätiedot'!A:H,2,FALSE)</f>
        <v>Helsingin Konservatorion Säätiö sr</v>
      </c>
      <c r="C33" s="309">
        <v>36</v>
      </c>
      <c r="D33" s="309"/>
      <c r="E33" s="309">
        <v>392</v>
      </c>
      <c r="F33" s="309"/>
      <c r="G33" s="304">
        <v>3348.54</v>
      </c>
      <c r="H33" s="304"/>
      <c r="I33" s="304"/>
      <c r="J33" s="304">
        <v>9245.52</v>
      </c>
      <c r="K33" s="304"/>
      <c r="L33" s="304"/>
      <c r="M33" s="304">
        <v>3348.54</v>
      </c>
      <c r="N33" s="304">
        <v>9245.52</v>
      </c>
      <c r="O33" s="304">
        <v>9245.52</v>
      </c>
      <c r="P33" s="304">
        <v>12594.060000000001</v>
      </c>
      <c r="Q33" s="310">
        <v>8.0481406517591723E-4</v>
      </c>
    </row>
    <row r="34" spans="1:17" ht="15" customHeight="1" x14ac:dyDescent="0.25">
      <c r="A34" s="104" t="s">
        <v>389</v>
      </c>
      <c r="B34" s="130" t="str">
        <f>VLOOKUP(A34,'0 Järjestäjätiedot'!A:H,2,FALSE)</f>
        <v>Helsingin kaupunki</v>
      </c>
      <c r="C34" s="309">
        <v>2560</v>
      </c>
      <c r="D34" s="309">
        <v>995</v>
      </c>
      <c r="E34" s="309">
        <v>25866</v>
      </c>
      <c r="F34" s="309">
        <v>3103</v>
      </c>
      <c r="G34" s="304">
        <v>153822.89055600003</v>
      </c>
      <c r="H34" s="304">
        <v>14216.829252999994</v>
      </c>
      <c r="I34" s="304">
        <v>6768</v>
      </c>
      <c r="J34" s="304">
        <v>468043.38000000053</v>
      </c>
      <c r="K34" s="304">
        <v>70789.074621448468</v>
      </c>
      <c r="L34" s="304">
        <v>20937.95</v>
      </c>
      <c r="M34" s="304">
        <v>174807.71980900003</v>
      </c>
      <c r="N34" s="304">
        <v>559770.40462144895</v>
      </c>
      <c r="O34" s="304">
        <v>559770.40462144895</v>
      </c>
      <c r="P34" s="304">
        <v>734578.12443044898</v>
      </c>
      <c r="Q34" s="310">
        <v>4.6942670315384426E-2</v>
      </c>
    </row>
    <row r="35" spans="1:17" ht="15" customHeight="1" x14ac:dyDescent="0.25">
      <c r="A35" s="104" t="s">
        <v>381</v>
      </c>
      <c r="B35" s="130" t="str">
        <f>VLOOKUP(A35,'0 Järjestäjätiedot'!A:H,2,FALSE)</f>
        <v>Invalidisäätiö sr</v>
      </c>
      <c r="C35" s="309">
        <v>177</v>
      </c>
      <c r="D35" s="309">
        <v>56</v>
      </c>
      <c r="E35" s="309">
        <v>2229</v>
      </c>
      <c r="F35" s="309">
        <v>209</v>
      </c>
      <c r="G35" s="304">
        <v>12316.132566</v>
      </c>
      <c r="H35" s="304">
        <v>1593.198946</v>
      </c>
      <c r="I35" s="304">
        <v>33410.160000000003</v>
      </c>
      <c r="J35" s="304">
        <v>32753.519999999986</v>
      </c>
      <c r="K35" s="304">
        <v>4620.0780000000004</v>
      </c>
      <c r="L35" s="304">
        <v>90613.489999999976</v>
      </c>
      <c r="M35" s="304">
        <v>47319.491512000008</v>
      </c>
      <c r="N35" s="304">
        <v>127987.08799999996</v>
      </c>
      <c r="O35" s="304">
        <v>127987.08799999996</v>
      </c>
      <c r="P35" s="304">
        <v>175306.57951199997</v>
      </c>
      <c r="Q35" s="310">
        <v>1.1202836965135774E-2</v>
      </c>
    </row>
    <row r="36" spans="1:17" ht="15" customHeight="1" x14ac:dyDescent="0.25">
      <c r="A36" s="104" t="s">
        <v>387</v>
      </c>
      <c r="B36" s="130" t="str">
        <f>VLOOKUP(A36,'0 Järjestäjätiedot'!A:H,2,FALSE)</f>
        <v>Hengitysliitto ry</v>
      </c>
      <c r="C36" s="309">
        <v>280</v>
      </c>
      <c r="D36" s="309">
        <v>90</v>
      </c>
      <c r="E36" s="309">
        <v>4020</v>
      </c>
      <c r="F36" s="309">
        <v>311</v>
      </c>
      <c r="G36" s="304">
        <v>19611.345960000006</v>
      </c>
      <c r="H36" s="304">
        <v>1398.7753810000004</v>
      </c>
      <c r="I36" s="304">
        <v>61851.600000000013</v>
      </c>
      <c r="J36" s="304">
        <v>59459.970000000016</v>
      </c>
      <c r="K36" s="304">
        <v>5843.259</v>
      </c>
      <c r="L36" s="304">
        <v>190602.63000000015</v>
      </c>
      <c r="M36" s="304">
        <v>82861.721341000026</v>
      </c>
      <c r="N36" s="304">
        <v>255905.85900000017</v>
      </c>
      <c r="O36" s="304">
        <v>255905.85900000017</v>
      </c>
      <c r="P36" s="304">
        <v>338767.58034100023</v>
      </c>
      <c r="Q36" s="310">
        <v>2.1648691008622281E-2</v>
      </c>
    </row>
    <row r="37" spans="1:17" ht="15" customHeight="1" x14ac:dyDescent="0.25">
      <c r="A37" s="104" t="s">
        <v>328</v>
      </c>
      <c r="B37" s="130" t="str">
        <f>VLOOKUP(A37,'0 Järjestäjätiedot'!A:H,2,FALSE)</f>
        <v>Markkinointi-instituutin Kannatusyhdistys ry</v>
      </c>
      <c r="C37" s="309">
        <v>442</v>
      </c>
      <c r="D37" s="309">
        <v>958</v>
      </c>
      <c r="E37" s="309">
        <v>2619</v>
      </c>
      <c r="F37" s="309">
        <v>2372</v>
      </c>
      <c r="G37" s="304">
        <v>11802.816756</v>
      </c>
      <c r="H37" s="304">
        <v>10121.197482000003</v>
      </c>
      <c r="I37" s="304">
        <v>72</v>
      </c>
      <c r="J37" s="304">
        <v>2993.2</v>
      </c>
      <c r="K37" s="304">
        <v>63413.782199983965</v>
      </c>
      <c r="L37" s="304">
        <v>142.5</v>
      </c>
      <c r="M37" s="304">
        <v>21996.014238000003</v>
      </c>
      <c r="N37" s="304">
        <v>66549.482199983962</v>
      </c>
      <c r="O37" s="304">
        <v>66549.482199983962</v>
      </c>
      <c r="P37" s="304">
        <v>88545.496437983966</v>
      </c>
      <c r="Q37" s="310">
        <v>5.6584342889642869E-3</v>
      </c>
    </row>
    <row r="38" spans="1:17" ht="15" customHeight="1" x14ac:dyDescent="0.25">
      <c r="A38" s="104" t="s">
        <v>262</v>
      </c>
      <c r="B38" s="130" t="str">
        <f>VLOOKUP(A38,'0 Järjestäjätiedot'!A:H,2,FALSE)</f>
        <v>Työtehoseura ry</v>
      </c>
      <c r="C38" s="309">
        <v>318</v>
      </c>
      <c r="D38" s="309">
        <v>218</v>
      </c>
      <c r="E38" s="309">
        <v>3245</v>
      </c>
      <c r="F38" s="309">
        <v>1368</v>
      </c>
      <c r="G38" s="304">
        <v>19640.818853999997</v>
      </c>
      <c r="H38" s="304">
        <v>3464.1754500000006</v>
      </c>
      <c r="I38" s="304">
        <v>324</v>
      </c>
      <c r="J38" s="304">
        <v>91352.050000000017</v>
      </c>
      <c r="K38" s="304">
        <v>27549.906299999991</v>
      </c>
      <c r="L38" s="304">
        <v>847</v>
      </c>
      <c r="M38" s="304">
        <v>23428.994304</v>
      </c>
      <c r="N38" s="304">
        <v>119748.95630000001</v>
      </c>
      <c r="O38" s="304">
        <v>119748.95630000001</v>
      </c>
      <c r="P38" s="304">
        <v>143177.95060400001</v>
      </c>
      <c r="Q38" s="310">
        <v>9.1496807597519717E-3</v>
      </c>
    </row>
    <row r="39" spans="1:17" ht="15" customHeight="1" x14ac:dyDescent="0.25">
      <c r="A39" s="104" t="s">
        <v>283</v>
      </c>
      <c r="B39" s="130" t="str">
        <f>VLOOKUP(A39,'0 Järjestäjätiedot'!A:H,2,FALSE)</f>
        <v>Suomen Urheiluopiston Kannatusosakeyhtiö</v>
      </c>
      <c r="C39" s="309">
        <v>67</v>
      </c>
      <c r="D39" s="309">
        <v>116</v>
      </c>
      <c r="E39" s="309">
        <v>601</v>
      </c>
      <c r="F39" s="309">
        <v>491</v>
      </c>
      <c r="G39" s="304">
        <v>6725.6929620000001</v>
      </c>
      <c r="H39" s="304">
        <v>1886.0675160000001</v>
      </c>
      <c r="I39" s="304">
        <v>36</v>
      </c>
      <c r="J39" s="304">
        <v>16300.400000000001</v>
      </c>
      <c r="K39" s="304">
        <v>12601.858500000002</v>
      </c>
      <c r="L39" s="304">
        <v>91</v>
      </c>
      <c r="M39" s="304">
        <v>8647.7604780000001</v>
      </c>
      <c r="N39" s="304">
        <v>28993.258500000004</v>
      </c>
      <c r="O39" s="304">
        <v>23939.272402318627</v>
      </c>
      <c r="P39" s="304">
        <v>32587.032880318628</v>
      </c>
      <c r="Q39" s="310">
        <v>2.0824501713054022E-3</v>
      </c>
    </row>
    <row r="40" spans="1:17" ht="15" customHeight="1" x14ac:dyDescent="0.25">
      <c r="A40" s="104" t="s">
        <v>332</v>
      </c>
      <c r="B40" s="130" t="str">
        <f>VLOOKUP(A40,'0 Järjestäjätiedot'!A:H,2,FALSE)</f>
        <v>Luksia, Länsi-Uudenmaan koulutuskuntayhtymä</v>
      </c>
      <c r="C40" s="309">
        <v>722</v>
      </c>
      <c r="D40" s="309">
        <v>355</v>
      </c>
      <c r="E40" s="309">
        <v>6979</v>
      </c>
      <c r="F40" s="309">
        <v>1160</v>
      </c>
      <c r="G40" s="304">
        <v>42808.486464000038</v>
      </c>
      <c r="H40" s="304">
        <v>6088.0074540000041</v>
      </c>
      <c r="I40" s="304">
        <v>4536</v>
      </c>
      <c r="J40" s="304">
        <v>132559.29999999999</v>
      </c>
      <c r="K40" s="304">
        <v>23044.724100005355</v>
      </c>
      <c r="L40" s="304">
        <v>14157.25</v>
      </c>
      <c r="M40" s="304">
        <v>53432.493918000044</v>
      </c>
      <c r="N40" s="304">
        <v>169761.27410000534</v>
      </c>
      <c r="O40" s="304">
        <v>169761.27410000534</v>
      </c>
      <c r="P40" s="304">
        <v>223193.76801800539</v>
      </c>
      <c r="Q40" s="310">
        <v>1.4263032235871635E-2</v>
      </c>
    </row>
    <row r="41" spans="1:17" ht="15" customHeight="1" x14ac:dyDescent="0.25">
      <c r="A41" s="104" t="s">
        <v>397</v>
      </c>
      <c r="B41" s="130" t="str">
        <f>VLOOKUP(A41,'0 Järjestäjätiedot'!A:H,2,FALSE)</f>
        <v>Eurajoen kristillisen opiston kannatusyhdistys r.y.</v>
      </c>
      <c r="C41" s="309"/>
      <c r="D41" s="309">
        <v>12</v>
      </c>
      <c r="E41" s="309"/>
      <c r="F41" s="309">
        <v>42</v>
      </c>
      <c r="G41" s="304"/>
      <c r="H41" s="304">
        <v>275.35983399999998</v>
      </c>
      <c r="I41" s="304"/>
      <c r="J41" s="304"/>
      <c r="K41" s="304">
        <v>785.86200000000008</v>
      </c>
      <c r="L41" s="304"/>
      <c r="M41" s="304">
        <v>275.35983399999998</v>
      </c>
      <c r="N41" s="304">
        <v>785.86200000000008</v>
      </c>
      <c r="O41" s="304">
        <v>785.86200000000008</v>
      </c>
      <c r="P41" s="304">
        <v>1061.2218339999999</v>
      </c>
      <c r="Q41" s="310">
        <v>6.7816594352812547E-5</v>
      </c>
    </row>
    <row r="42" spans="1:17" ht="15" customHeight="1" x14ac:dyDescent="0.25">
      <c r="A42" s="104" t="s">
        <v>292</v>
      </c>
      <c r="B42" s="130" t="str">
        <f>VLOOKUP(A42,'0 Järjestäjätiedot'!A:H,2,FALSE)</f>
        <v>Satakunnan koulutuskuntayhtymä</v>
      </c>
      <c r="C42" s="309">
        <v>750</v>
      </c>
      <c r="D42" s="309">
        <v>228</v>
      </c>
      <c r="E42" s="309">
        <v>5642</v>
      </c>
      <c r="F42" s="309">
        <v>790</v>
      </c>
      <c r="G42" s="304">
        <v>38734.505765999995</v>
      </c>
      <c r="H42" s="304">
        <v>4048.31396</v>
      </c>
      <c r="I42" s="304">
        <v>3276</v>
      </c>
      <c r="J42" s="304">
        <v>108889.30000000002</v>
      </c>
      <c r="K42" s="304">
        <v>16973.630999999994</v>
      </c>
      <c r="L42" s="304">
        <v>8600.5</v>
      </c>
      <c r="M42" s="304">
        <v>46058.819725999994</v>
      </c>
      <c r="N42" s="304">
        <v>134463.43100000001</v>
      </c>
      <c r="O42" s="304">
        <v>134463.43100000001</v>
      </c>
      <c r="P42" s="304">
        <v>180522.250726</v>
      </c>
      <c r="Q42" s="310">
        <v>1.1536140566385918E-2</v>
      </c>
    </row>
    <row r="43" spans="1:17" ht="15" customHeight="1" x14ac:dyDescent="0.25">
      <c r="A43" s="104" t="s">
        <v>333</v>
      </c>
      <c r="B43" s="130" t="str">
        <f>VLOOKUP(A43,'0 Järjestäjätiedot'!A:H,2,FALSE)</f>
        <v>Lounais-Suomen koulutuskuntayhtymä</v>
      </c>
      <c r="C43" s="309">
        <v>534</v>
      </c>
      <c r="D43" s="309">
        <v>133</v>
      </c>
      <c r="E43" s="309">
        <v>4895</v>
      </c>
      <c r="F43" s="309">
        <v>478</v>
      </c>
      <c r="G43" s="304">
        <v>33396.600023999992</v>
      </c>
      <c r="H43" s="304">
        <v>1799.3589560000009</v>
      </c>
      <c r="I43" s="304">
        <v>3780</v>
      </c>
      <c r="J43" s="304">
        <v>100546.06999999999</v>
      </c>
      <c r="K43" s="304">
        <v>10436.632071432392</v>
      </c>
      <c r="L43" s="304">
        <v>10527.5</v>
      </c>
      <c r="M43" s="304">
        <v>38975.958979999996</v>
      </c>
      <c r="N43" s="304">
        <v>121510.20207143239</v>
      </c>
      <c r="O43" s="304">
        <v>121510.20207143239</v>
      </c>
      <c r="P43" s="304">
        <v>160486.16105143237</v>
      </c>
      <c r="Q43" s="310">
        <v>1.0255749113493204E-2</v>
      </c>
    </row>
    <row r="44" spans="1:17" ht="15" customHeight="1" x14ac:dyDescent="0.25">
      <c r="A44" s="104" t="s">
        <v>303</v>
      </c>
      <c r="B44" s="130" t="str">
        <f>VLOOKUP(A44,'0 Järjestäjätiedot'!A:H,2,FALSE)</f>
        <v>Raision Seudun Koulutuskuntayhtymä</v>
      </c>
      <c r="C44" s="309">
        <v>662</v>
      </c>
      <c r="D44" s="309">
        <v>290</v>
      </c>
      <c r="E44" s="309">
        <v>5360</v>
      </c>
      <c r="F44" s="309">
        <v>793</v>
      </c>
      <c r="G44" s="304">
        <v>37900.131156000003</v>
      </c>
      <c r="H44" s="304">
        <v>4235.1901600000001</v>
      </c>
      <c r="I44" s="304">
        <v>1980</v>
      </c>
      <c r="J44" s="304">
        <v>93879.890000000043</v>
      </c>
      <c r="K44" s="304">
        <v>20238.270428578304</v>
      </c>
      <c r="L44" s="304">
        <v>3827</v>
      </c>
      <c r="M44" s="304">
        <v>44115.321316000001</v>
      </c>
      <c r="N44" s="304">
        <v>117945.16042857835</v>
      </c>
      <c r="O44" s="304">
        <v>117945.16042857835</v>
      </c>
      <c r="P44" s="304">
        <v>162060.48174457834</v>
      </c>
      <c r="Q44" s="310">
        <v>1.0356354909951326E-2</v>
      </c>
    </row>
    <row r="45" spans="1:17" ht="15" customHeight="1" x14ac:dyDescent="0.25">
      <c r="A45" s="104" t="s">
        <v>264</v>
      </c>
      <c r="B45" s="130" t="str">
        <f>VLOOKUP(A45,'0 Järjestäjätiedot'!A:H,2,FALSE)</f>
        <v>Turun kaupunki</v>
      </c>
      <c r="C45" s="309">
        <v>1504</v>
      </c>
      <c r="D45" s="309">
        <v>521</v>
      </c>
      <c r="E45" s="309">
        <v>16753</v>
      </c>
      <c r="F45" s="309">
        <v>1664</v>
      </c>
      <c r="G45" s="304">
        <v>88994.176002000007</v>
      </c>
      <c r="H45" s="304">
        <v>8366.3508530000054</v>
      </c>
      <c r="I45" s="304">
        <v>2412</v>
      </c>
      <c r="J45" s="304">
        <v>256811.97999999992</v>
      </c>
      <c r="K45" s="304">
        <v>37844.863971432431</v>
      </c>
      <c r="L45" s="304">
        <v>8548</v>
      </c>
      <c r="M45" s="304">
        <v>99772.526855000018</v>
      </c>
      <c r="N45" s="304">
        <v>303204.84397143236</v>
      </c>
      <c r="O45" s="304">
        <v>303204.84397143236</v>
      </c>
      <c r="P45" s="304">
        <v>402977.37082643236</v>
      </c>
      <c r="Q45" s="310">
        <v>2.5751970054829345E-2</v>
      </c>
    </row>
    <row r="46" spans="1:17" ht="15" customHeight="1" x14ac:dyDescent="0.25">
      <c r="A46" s="104" t="s">
        <v>293</v>
      </c>
      <c r="B46" s="130" t="str">
        <f>VLOOKUP(A46,'0 Järjestäjätiedot'!A:H,2,FALSE)</f>
        <v>SASKY koulutuskuntayhtymä</v>
      </c>
      <c r="C46" s="309">
        <v>1055</v>
      </c>
      <c r="D46" s="309">
        <v>325</v>
      </c>
      <c r="E46" s="309">
        <v>10633</v>
      </c>
      <c r="F46" s="309">
        <v>1000</v>
      </c>
      <c r="G46" s="304">
        <v>58038.522588000022</v>
      </c>
      <c r="H46" s="304">
        <v>3436.1725189999984</v>
      </c>
      <c r="I46" s="304">
        <v>4068</v>
      </c>
      <c r="J46" s="304">
        <v>184511.48999999987</v>
      </c>
      <c r="K46" s="304">
        <v>21096.681428642452</v>
      </c>
      <c r="L46" s="304">
        <v>10440</v>
      </c>
      <c r="M46" s="304">
        <v>65542.695107000021</v>
      </c>
      <c r="N46" s="304">
        <v>216048.17142864232</v>
      </c>
      <c r="O46" s="304">
        <v>216048.17142864232</v>
      </c>
      <c r="P46" s="304">
        <v>281590.86653564236</v>
      </c>
      <c r="Q46" s="310">
        <v>1.7994855512277967E-2</v>
      </c>
    </row>
    <row r="47" spans="1:17" ht="15" customHeight="1" x14ac:dyDescent="0.25">
      <c r="A47" s="104" t="s">
        <v>351</v>
      </c>
      <c r="B47" s="130" t="str">
        <f>VLOOKUP(A47,'0 Järjestäjätiedot'!A:H,2,FALSE)</f>
        <v>Koulutuskuntayhtymä Tavastia</v>
      </c>
      <c r="C47" s="309">
        <v>715</v>
      </c>
      <c r="D47" s="309">
        <v>200</v>
      </c>
      <c r="E47" s="309">
        <v>7343</v>
      </c>
      <c r="F47" s="309">
        <v>673</v>
      </c>
      <c r="G47" s="304">
        <v>43128.597905999995</v>
      </c>
      <c r="H47" s="304">
        <v>2882.5526879999989</v>
      </c>
      <c r="I47" s="304">
        <v>3312</v>
      </c>
      <c r="J47" s="304">
        <v>123824.55</v>
      </c>
      <c r="K47" s="304">
        <v>16287.687899999999</v>
      </c>
      <c r="L47" s="304">
        <v>7963.25</v>
      </c>
      <c r="M47" s="304">
        <v>49323.150593999992</v>
      </c>
      <c r="N47" s="304">
        <v>148075.48790000001</v>
      </c>
      <c r="O47" s="304">
        <v>148075.48790000001</v>
      </c>
      <c r="P47" s="304">
        <v>197398.63849400001</v>
      </c>
      <c r="Q47" s="310">
        <v>1.2614613612016096E-2</v>
      </c>
    </row>
    <row r="48" spans="1:17" ht="15" customHeight="1" x14ac:dyDescent="0.25">
      <c r="A48" s="104" t="s">
        <v>275</v>
      </c>
      <c r="B48" s="130" t="str">
        <f>VLOOKUP(A48,'0 Järjestäjätiedot'!A:H,2,FALSE)</f>
        <v>Tampereen Musiikkiopiston Säätiö sr</v>
      </c>
      <c r="C48" s="309">
        <v>30</v>
      </c>
      <c r="D48" s="309"/>
      <c r="E48" s="309">
        <v>323</v>
      </c>
      <c r="F48" s="309"/>
      <c r="G48" s="304">
        <v>2685.9580919999999</v>
      </c>
      <c r="H48" s="304"/>
      <c r="I48" s="304"/>
      <c r="J48" s="304">
        <v>6979.65</v>
      </c>
      <c r="K48" s="304"/>
      <c r="L48" s="304">
        <v>33</v>
      </c>
      <c r="M48" s="304">
        <v>2685.9580919999999</v>
      </c>
      <c r="N48" s="304">
        <v>7012.65</v>
      </c>
      <c r="O48" s="304">
        <v>7012.65</v>
      </c>
      <c r="P48" s="304">
        <v>9698.6080919999986</v>
      </c>
      <c r="Q48" s="310">
        <v>6.1978235811728424E-4</v>
      </c>
    </row>
    <row r="49" spans="1:17" ht="15" customHeight="1" x14ac:dyDescent="0.25">
      <c r="A49" s="104" t="s">
        <v>258</v>
      </c>
      <c r="B49" s="130" t="str">
        <f>VLOOKUP(A49,'0 Järjestäjätiedot'!A:H,2,FALSE)</f>
        <v>Valkeakosken seudun koulutuskuntayhtymä</v>
      </c>
      <c r="C49" s="309">
        <v>405</v>
      </c>
      <c r="D49" s="309">
        <v>91</v>
      </c>
      <c r="E49" s="309">
        <v>3475</v>
      </c>
      <c r="F49" s="309">
        <v>320</v>
      </c>
      <c r="G49" s="304">
        <v>20880.323567999996</v>
      </c>
      <c r="H49" s="304">
        <v>885.08100999999999</v>
      </c>
      <c r="I49" s="304">
        <v>1260</v>
      </c>
      <c r="J49" s="304">
        <v>59178.849999999991</v>
      </c>
      <c r="K49" s="304">
        <v>6870.4496999999992</v>
      </c>
      <c r="L49" s="304">
        <v>3903.25</v>
      </c>
      <c r="M49" s="304">
        <v>23025.404577999998</v>
      </c>
      <c r="N49" s="304">
        <v>69952.549699999989</v>
      </c>
      <c r="O49" s="304">
        <v>69952.549699999989</v>
      </c>
      <c r="P49" s="304">
        <v>92977.95427799999</v>
      </c>
      <c r="Q49" s="310">
        <v>5.9416872203417901E-3</v>
      </c>
    </row>
    <row r="50" spans="1:17" ht="15" customHeight="1" x14ac:dyDescent="0.25">
      <c r="A50" s="104" t="s">
        <v>284</v>
      </c>
      <c r="B50" s="130" t="str">
        <f>VLOOKUP(A50,'0 Järjestäjätiedot'!A:H,2,FALSE)</f>
        <v>Suomen Nuoriso-Opiston kannatusyhdistys ry</v>
      </c>
      <c r="C50" s="309">
        <v>23</v>
      </c>
      <c r="D50" s="309"/>
      <c r="E50" s="309">
        <v>263</v>
      </c>
      <c r="F50" s="309"/>
      <c r="G50" s="304">
        <v>1332.0450000000001</v>
      </c>
      <c r="H50" s="304"/>
      <c r="I50" s="304">
        <v>108</v>
      </c>
      <c r="J50" s="304">
        <v>5452.2000000000007</v>
      </c>
      <c r="K50" s="304"/>
      <c r="L50" s="304">
        <v>592</v>
      </c>
      <c r="M50" s="304">
        <v>1440.0450000000001</v>
      </c>
      <c r="N50" s="304">
        <v>6044.2000000000007</v>
      </c>
      <c r="O50" s="304">
        <v>6044.2000000000007</v>
      </c>
      <c r="P50" s="304">
        <v>7484.2450000000008</v>
      </c>
      <c r="Q50" s="310">
        <v>4.7827512678378005E-4</v>
      </c>
    </row>
    <row r="51" spans="1:17" ht="15" customHeight="1" x14ac:dyDescent="0.25">
      <c r="A51" s="104" t="s">
        <v>380</v>
      </c>
      <c r="B51" s="130" t="str">
        <f>VLOOKUP(A51,'0 Järjestäjätiedot'!A:H,2,FALSE)</f>
        <v>Itä-Karjalan Kansanopistoseura ry</v>
      </c>
      <c r="C51" s="309">
        <v>13</v>
      </c>
      <c r="D51" s="309">
        <v>15</v>
      </c>
      <c r="E51" s="309">
        <v>318</v>
      </c>
      <c r="F51" s="309">
        <v>65</v>
      </c>
      <c r="G51" s="304">
        <v>873.17906399999993</v>
      </c>
      <c r="H51" s="304">
        <v>288.68370800000002</v>
      </c>
      <c r="I51" s="304">
        <v>216</v>
      </c>
      <c r="J51" s="304">
        <v>3843.07</v>
      </c>
      <c r="K51" s="304">
        <v>1307.097</v>
      </c>
      <c r="L51" s="304">
        <v>788.5</v>
      </c>
      <c r="M51" s="304">
        <v>1377.8627719999999</v>
      </c>
      <c r="N51" s="304">
        <v>5938.6670000000004</v>
      </c>
      <c r="O51" s="304">
        <v>4744.3136274965163</v>
      </c>
      <c r="P51" s="304">
        <v>6122.1763994965168</v>
      </c>
      <c r="Q51" s="310">
        <v>3.9123314291045555E-4</v>
      </c>
    </row>
    <row r="52" spans="1:17" ht="15" customHeight="1" x14ac:dyDescent="0.25">
      <c r="A52" s="104" t="s">
        <v>379</v>
      </c>
      <c r="B52" s="130" t="str">
        <f>VLOOKUP(A52,'0 Järjestäjätiedot'!A:H,2,FALSE)</f>
        <v>Itä-Savon koulutuskuntayhtymä</v>
      </c>
      <c r="C52" s="309">
        <v>446</v>
      </c>
      <c r="D52" s="309">
        <v>566</v>
      </c>
      <c r="E52" s="309">
        <v>3265</v>
      </c>
      <c r="F52" s="309">
        <v>2319</v>
      </c>
      <c r="G52" s="304">
        <v>23555.809242000007</v>
      </c>
      <c r="H52" s="304">
        <v>10996.078859000001</v>
      </c>
      <c r="I52" s="304">
        <v>1728</v>
      </c>
      <c r="J52" s="304">
        <v>65283.870000000017</v>
      </c>
      <c r="K52" s="304">
        <v>46810.429200000021</v>
      </c>
      <c r="L52" s="304">
        <v>3928</v>
      </c>
      <c r="M52" s="304">
        <v>36279.888101000004</v>
      </c>
      <c r="N52" s="304">
        <v>116022.29920000004</v>
      </c>
      <c r="O52" s="304">
        <v>116022.29920000004</v>
      </c>
      <c r="P52" s="304">
        <v>152302.18730100006</v>
      </c>
      <c r="Q52" s="310">
        <v>9.732758339796841E-3</v>
      </c>
    </row>
    <row r="53" spans="1:17" ht="15" customHeight="1" x14ac:dyDescent="0.25">
      <c r="A53" s="104" t="s">
        <v>357</v>
      </c>
      <c r="B53" s="130" t="str">
        <f>VLOOKUP(A53,'0 Järjestäjätiedot'!A:H,2,FALSE)</f>
        <v>Kiteen Evankelisen Kansanopiston kannatusyhdistys ry</v>
      </c>
      <c r="C53" s="309"/>
      <c r="D53" s="309">
        <v>13</v>
      </c>
      <c r="E53" s="309"/>
      <c r="F53" s="309">
        <v>42</v>
      </c>
      <c r="G53" s="304"/>
      <c r="H53" s="304">
        <v>182.83307499999995</v>
      </c>
      <c r="I53" s="304"/>
      <c r="J53" s="304"/>
      <c r="K53" s="304">
        <v>900.80100000000016</v>
      </c>
      <c r="L53" s="304"/>
      <c r="M53" s="304">
        <v>182.83307499999995</v>
      </c>
      <c r="N53" s="304">
        <v>900.80100000000016</v>
      </c>
      <c r="O53" s="304">
        <v>900.80100000000016</v>
      </c>
      <c r="P53" s="304">
        <v>1083.6340750000002</v>
      </c>
      <c r="Q53" s="310">
        <v>6.9248831994122223E-5</v>
      </c>
    </row>
    <row r="54" spans="1:17" ht="15" customHeight="1" x14ac:dyDescent="0.25">
      <c r="A54" s="104" t="s">
        <v>344</v>
      </c>
      <c r="B54" s="130" t="str">
        <f>VLOOKUP(A54,'0 Järjestäjätiedot'!A:H,2,FALSE)</f>
        <v>Kuopion Konservatorion kannatusyhdistys r.y.</v>
      </c>
      <c r="C54" s="309">
        <v>29</v>
      </c>
      <c r="D54" s="309"/>
      <c r="E54" s="309">
        <v>351</v>
      </c>
      <c r="F54" s="309"/>
      <c r="G54" s="304">
        <v>2633.03685</v>
      </c>
      <c r="H54" s="304"/>
      <c r="I54" s="304"/>
      <c r="J54" s="304">
        <v>7164.64</v>
      </c>
      <c r="K54" s="304"/>
      <c r="L54" s="304"/>
      <c r="M54" s="304">
        <v>2633.03685</v>
      </c>
      <c r="N54" s="304">
        <v>7164.64</v>
      </c>
      <c r="O54" s="304">
        <v>7164.64</v>
      </c>
      <c r="P54" s="304">
        <v>9797.6768499999998</v>
      </c>
      <c r="Q54" s="310">
        <v>6.2611327363284552E-4</v>
      </c>
    </row>
    <row r="55" spans="1:17" ht="15" customHeight="1" x14ac:dyDescent="0.25">
      <c r="A55" s="104" t="s">
        <v>343</v>
      </c>
      <c r="B55" s="130" t="str">
        <f>VLOOKUP(A55,'0 Järjestäjätiedot'!A:H,2,FALSE)</f>
        <v>Kuopion Talouskoulun kannatusyhdistys r.y.</v>
      </c>
      <c r="C55" s="309">
        <v>48</v>
      </c>
      <c r="D55" s="309"/>
      <c r="E55" s="309">
        <v>663</v>
      </c>
      <c r="F55" s="309"/>
      <c r="G55" s="304">
        <v>2352.2382720000001</v>
      </c>
      <c r="H55" s="304"/>
      <c r="I55" s="304">
        <v>216</v>
      </c>
      <c r="J55" s="304">
        <v>8686.590000000002</v>
      </c>
      <c r="K55" s="304"/>
      <c r="L55" s="304">
        <v>530</v>
      </c>
      <c r="M55" s="304">
        <v>2568.2382720000001</v>
      </c>
      <c r="N55" s="304">
        <v>9216.590000000002</v>
      </c>
      <c r="O55" s="304">
        <v>9216.590000000002</v>
      </c>
      <c r="P55" s="304">
        <v>11784.828272000002</v>
      </c>
      <c r="Q55" s="310">
        <v>7.5310071168379386E-4</v>
      </c>
    </row>
    <row r="56" spans="1:17" ht="15" customHeight="1" x14ac:dyDescent="0.25">
      <c r="A56" s="104" t="s">
        <v>309</v>
      </c>
      <c r="B56" s="130" t="str">
        <f>VLOOKUP(A56,'0 Järjestäjätiedot'!A:H,2,FALSE)</f>
        <v>Portaanpää ry</v>
      </c>
      <c r="C56" s="309">
        <v>24</v>
      </c>
      <c r="D56" s="309">
        <v>21</v>
      </c>
      <c r="E56" s="309">
        <v>230</v>
      </c>
      <c r="F56" s="309">
        <v>91</v>
      </c>
      <c r="G56" s="304">
        <v>1049.75892</v>
      </c>
      <c r="H56" s="304">
        <v>259.815338</v>
      </c>
      <c r="I56" s="304"/>
      <c r="J56" s="304">
        <v>5509.45</v>
      </c>
      <c r="K56" s="304">
        <v>1824.3225000000002</v>
      </c>
      <c r="L56" s="304"/>
      <c r="M56" s="304">
        <v>1309.5742580000001</v>
      </c>
      <c r="N56" s="304">
        <v>7333.7725</v>
      </c>
      <c r="O56" s="304">
        <v>7333.7725</v>
      </c>
      <c r="P56" s="304">
        <v>8643.3467579999997</v>
      </c>
      <c r="Q56" s="310">
        <v>5.5234666509696351E-4</v>
      </c>
    </row>
    <row r="57" spans="1:17" ht="15" customHeight="1" x14ac:dyDescent="0.25">
      <c r="A57" s="104" t="s">
        <v>372</v>
      </c>
      <c r="B57" s="130" t="str">
        <f>VLOOKUP(A57,'0 Järjestäjätiedot'!A:H,2,FALSE)</f>
        <v>Jyväskylän Koulutuskuntayhtymä</v>
      </c>
      <c r="C57" s="309">
        <v>2388</v>
      </c>
      <c r="D57" s="309">
        <v>1045</v>
      </c>
      <c r="E57" s="309">
        <v>19152</v>
      </c>
      <c r="F57" s="309">
        <v>3665</v>
      </c>
      <c r="G57" s="304">
        <v>132202.17129599993</v>
      </c>
      <c r="H57" s="304">
        <v>13356.188950999998</v>
      </c>
      <c r="I57" s="304">
        <v>6363.3600000000006</v>
      </c>
      <c r="J57" s="304">
        <v>381134.38999999978</v>
      </c>
      <c r="K57" s="304">
        <v>82909.49940000537</v>
      </c>
      <c r="L57" s="304">
        <v>17143.95</v>
      </c>
      <c r="M57" s="304">
        <v>151921.72024699993</v>
      </c>
      <c r="N57" s="304">
        <v>481187.83940000518</v>
      </c>
      <c r="O57" s="304">
        <v>481187.83940000518</v>
      </c>
      <c r="P57" s="304">
        <v>633109.55964700505</v>
      </c>
      <c r="Q57" s="310">
        <v>4.0458396926903707E-2</v>
      </c>
    </row>
    <row r="58" spans="1:17" ht="15" customHeight="1" x14ac:dyDescent="0.25">
      <c r="A58" s="104" t="s">
        <v>366</v>
      </c>
      <c r="B58" s="130" t="str">
        <f>VLOOKUP(A58,'0 Järjestäjätiedot'!A:H,2,FALSE)</f>
        <v>Karstulan Evankelisen Kansanopiston kannatusyhdistys ry</v>
      </c>
      <c r="C58" s="309"/>
      <c r="D58" s="309">
        <v>13</v>
      </c>
      <c r="E58" s="309"/>
      <c r="F58" s="309">
        <v>54</v>
      </c>
      <c r="G58" s="304"/>
      <c r="H58" s="304">
        <v>151.90242000000001</v>
      </c>
      <c r="I58" s="304"/>
      <c r="J58" s="304"/>
      <c r="K58" s="304">
        <v>1042.47</v>
      </c>
      <c r="L58" s="304"/>
      <c r="M58" s="304">
        <v>151.90242000000001</v>
      </c>
      <c r="N58" s="304">
        <v>1042.47</v>
      </c>
      <c r="O58" s="304">
        <v>1042.47</v>
      </c>
      <c r="P58" s="304">
        <v>1194.3724200000001</v>
      </c>
      <c r="Q58" s="310">
        <v>7.6325483813337238E-5</v>
      </c>
    </row>
    <row r="59" spans="1:17" ht="15" customHeight="1" x14ac:dyDescent="0.25">
      <c r="A59" s="104" t="s">
        <v>241</v>
      </c>
      <c r="B59" s="130" t="str">
        <f>VLOOKUP(A59,'0 Järjestäjätiedot'!A:H,2,FALSE)</f>
        <v>Äänekosken Ammatillisen Koulutuksen kuntayhtymä</v>
      </c>
      <c r="C59" s="309">
        <v>520</v>
      </c>
      <c r="D59" s="309">
        <v>193</v>
      </c>
      <c r="E59" s="309">
        <v>4928</v>
      </c>
      <c r="F59" s="309">
        <v>709</v>
      </c>
      <c r="G59" s="304">
        <v>29950.795403999993</v>
      </c>
      <c r="H59" s="304">
        <v>2069.4938150000003</v>
      </c>
      <c r="I59" s="304">
        <v>1512</v>
      </c>
      <c r="J59" s="304">
        <v>97846.149999999965</v>
      </c>
      <c r="K59" s="304">
        <v>15664.913999999997</v>
      </c>
      <c r="L59" s="304">
        <v>3980.5</v>
      </c>
      <c r="M59" s="304">
        <v>33532.289218999998</v>
      </c>
      <c r="N59" s="304">
        <v>117491.56399999995</v>
      </c>
      <c r="O59" s="304">
        <v>117491.56399999995</v>
      </c>
      <c r="P59" s="304">
        <v>151023.85321899995</v>
      </c>
      <c r="Q59" s="310">
        <v>9.6510673482351501E-3</v>
      </c>
    </row>
    <row r="60" spans="1:17" ht="15" customHeight="1" x14ac:dyDescent="0.25">
      <c r="A60" s="104" t="s">
        <v>281</v>
      </c>
      <c r="B60" s="130" t="str">
        <f>VLOOKUP(A60,'0 Järjestäjätiedot'!A:H,2,FALSE)</f>
        <v>Suomen Yrittäjäopisto Oy</v>
      </c>
      <c r="C60" s="309">
        <v>133</v>
      </c>
      <c r="D60" s="309">
        <v>412</v>
      </c>
      <c r="E60" s="309">
        <v>774</v>
      </c>
      <c r="F60" s="309">
        <v>1574</v>
      </c>
      <c r="G60" s="304">
        <v>4017.963096</v>
      </c>
      <c r="H60" s="304">
        <v>4306.0714399999997</v>
      </c>
      <c r="I60" s="304"/>
      <c r="J60" s="304">
        <v>11995.95</v>
      </c>
      <c r="K60" s="304">
        <v>31314.073499999999</v>
      </c>
      <c r="L60" s="304"/>
      <c r="M60" s="304">
        <v>8324.0345359999992</v>
      </c>
      <c r="N60" s="304">
        <v>43310.023499999996</v>
      </c>
      <c r="O60" s="304">
        <v>38044.898390314731</v>
      </c>
      <c r="P60" s="304">
        <v>46368.93292631473</v>
      </c>
      <c r="Q60" s="310">
        <v>2.9631722737780189E-3</v>
      </c>
    </row>
    <row r="61" spans="1:17" ht="15" customHeight="1" x14ac:dyDescent="0.25">
      <c r="A61" s="104" t="s">
        <v>347</v>
      </c>
      <c r="B61" s="130" t="str">
        <f>VLOOKUP(A61,'0 Järjestäjätiedot'!A:H,2,FALSE)</f>
        <v>Keski-Pohjanmaan Koulutusyhtymä</v>
      </c>
      <c r="C61" s="309">
        <v>853</v>
      </c>
      <c r="D61" s="309">
        <v>349</v>
      </c>
      <c r="E61" s="309">
        <v>7391</v>
      </c>
      <c r="F61" s="309">
        <v>1065</v>
      </c>
      <c r="G61" s="304">
        <v>54042.574284000002</v>
      </c>
      <c r="H61" s="304">
        <v>4639.9314689999983</v>
      </c>
      <c r="I61" s="304">
        <v>6300</v>
      </c>
      <c r="J61" s="304">
        <v>147034.31</v>
      </c>
      <c r="K61" s="304">
        <v>24371.960785777665</v>
      </c>
      <c r="L61" s="304">
        <v>13682</v>
      </c>
      <c r="M61" s="304">
        <v>64982.505752999998</v>
      </c>
      <c r="N61" s="304">
        <v>185088.27078577765</v>
      </c>
      <c r="O61" s="304">
        <v>185088.27078577765</v>
      </c>
      <c r="P61" s="304">
        <v>250070.77653877766</v>
      </c>
      <c r="Q61" s="310">
        <v>1.5980587534748288E-2</v>
      </c>
    </row>
    <row r="62" spans="1:17" ht="15" customHeight="1" x14ac:dyDescent="0.25">
      <c r="A62" s="104" t="s">
        <v>394</v>
      </c>
      <c r="B62" s="130" t="str">
        <f>VLOOKUP(A62,'0 Järjestäjätiedot'!A:H,2,FALSE)</f>
        <v>Fria Kristliga Folkhögskolföreningen FKF rf</v>
      </c>
      <c r="C62" s="309">
        <v>9</v>
      </c>
      <c r="D62" s="309"/>
      <c r="E62" s="309">
        <v>104</v>
      </c>
      <c r="F62" s="309"/>
      <c r="G62" s="304">
        <v>641.52</v>
      </c>
      <c r="H62" s="304"/>
      <c r="I62" s="304"/>
      <c r="J62" s="304">
        <v>1488.6</v>
      </c>
      <c r="K62" s="304"/>
      <c r="L62" s="304"/>
      <c r="M62" s="304">
        <v>641.52</v>
      </c>
      <c r="N62" s="304">
        <v>1488.6</v>
      </c>
      <c r="O62" s="304">
        <v>1488.6</v>
      </c>
      <c r="P62" s="304">
        <v>2130.12</v>
      </c>
      <c r="Q62" s="310">
        <v>1.3612373900970175E-4</v>
      </c>
    </row>
    <row r="63" spans="1:17" ht="15" customHeight="1" x14ac:dyDescent="0.25">
      <c r="A63" s="104" t="s">
        <v>259</v>
      </c>
      <c r="B63" s="130" t="str">
        <f>VLOOKUP(A63,'0 Järjestäjätiedot'!A:H,2,FALSE)</f>
        <v>Vaasan kaupunki</v>
      </c>
      <c r="C63" s="309">
        <v>799</v>
      </c>
      <c r="D63" s="309">
        <v>295</v>
      </c>
      <c r="E63" s="309">
        <v>6156</v>
      </c>
      <c r="F63" s="309">
        <v>1063</v>
      </c>
      <c r="G63" s="304">
        <v>44073.255762000037</v>
      </c>
      <c r="H63" s="304">
        <v>4639.4096050000007</v>
      </c>
      <c r="I63" s="304">
        <v>2052</v>
      </c>
      <c r="J63" s="304">
        <v>102421.46000000002</v>
      </c>
      <c r="K63" s="304">
        <v>21665.091600010703</v>
      </c>
      <c r="L63" s="304">
        <v>7636.5</v>
      </c>
      <c r="M63" s="304">
        <v>50764.665367000038</v>
      </c>
      <c r="N63" s="304">
        <v>131723.05160001072</v>
      </c>
      <c r="O63" s="304">
        <v>131723.05160001072</v>
      </c>
      <c r="P63" s="304">
        <v>182487.71696701075</v>
      </c>
      <c r="Q63" s="310">
        <v>1.1661742229026391E-2</v>
      </c>
    </row>
    <row r="64" spans="1:17" ht="15" customHeight="1" x14ac:dyDescent="0.25">
      <c r="A64" s="104" t="s">
        <v>392</v>
      </c>
      <c r="B64" s="130" t="str">
        <f>VLOOKUP(A64,'0 Järjestäjätiedot'!A:H,2,FALSE)</f>
        <v>Haapaveden Opiston kannatusyhdistys ry</v>
      </c>
      <c r="C64" s="309">
        <v>31</v>
      </c>
      <c r="D64" s="309">
        <v>32</v>
      </c>
      <c r="E64" s="309">
        <v>289</v>
      </c>
      <c r="F64" s="309">
        <v>115</v>
      </c>
      <c r="G64" s="304">
        <v>1191.4717319999997</v>
      </c>
      <c r="H64" s="304">
        <v>582.56889899999999</v>
      </c>
      <c r="I64" s="304">
        <v>108</v>
      </c>
      <c r="J64" s="304">
        <v>5088.47</v>
      </c>
      <c r="K64" s="304">
        <v>2072.9115000000002</v>
      </c>
      <c r="L64" s="304">
        <v>288.5</v>
      </c>
      <c r="M64" s="304">
        <v>1882.0406309999998</v>
      </c>
      <c r="N64" s="304">
        <v>7449.8815000000004</v>
      </c>
      <c r="O64" s="304">
        <v>7449.8815000000004</v>
      </c>
      <c r="P64" s="304">
        <v>9331.9221309999994</v>
      </c>
      <c r="Q64" s="310">
        <v>5.9634956369552128E-4</v>
      </c>
    </row>
    <row r="65" spans="1:17" ht="15" customHeight="1" x14ac:dyDescent="0.25">
      <c r="A65" s="104" t="s">
        <v>369</v>
      </c>
      <c r="B65" s="130" t="str">
        <f>VLOOKUP(A65,'0 Järjestäjätiedot'!A:H,2,FALSE)</f>
        <v>Kalajoen Kristillisen Opiston Kannatusyhdistys ry</v>
      </c>
      <c r="C65" s="309">
        <v>22</v>
      </c>
      <c r="D65" s="309">
        <v>26</v>
      </c>
      <c r="E65" s="309">
        <v>215</v>
      </c>
      <c r="F65" s="309">
        <v>99</v>
      </c>
      <c r="G65" s="304">
        <v>819.71917200000007</v>
      </c>
      <c r="H65" s="304">
        <v>361.38925099999994</v>
      </c>
      <c r="I65" s="304">
        <v>72</v>
      </c>
      <c r="J65" s="304">
        <v>3467.6499999999996</v>
      </c>
      <c r="K65" s="304">
        <v>1880.4555000000003</v>
      </c>
      <c r="L65" s="304">
        <v>260.5</v>
      </c>
      <c r="M65" s="304">
        <v>1253.1084230000001</v>
      </c>
      <c r="N65" s="304">
        <v>5608.6054999999997</v>
      </c>
      <c r="O65" s="304">
        <v>5608.6054999999997</v>
      </c>
      <c r="P65" s="304">
        <v>6861.7139229999993</v>
      </c>
      <c r="Q65" s="310">
        <v>4.3849273994596021E-4</v>
      </c>
    </row>
    <row r="66" spans="1:17" ht="15" customHeight="1" x14ac:dyDescent="0.25">
      <c r="A66" s="104" t="s">
        <v>374</v>
      </c>
      <c r="B66" s="130" t="str">
        <f>VLOOKUP(A66,'0 Järjestäjätiedot'!A:H,2,FALSE)</f>
        <v>Jokilaaksojen koulutuskuntayhtymä</v>
      </c>
      <c r="C66" s="309">
        <v>988</v>
      </c>
      <c r="D66" s="309">
        <v>186</v>
      </c>
      <c r="E66" s="309">
        <v>8859</v>
      </c>
      <c r="F66" s="309">
        <v>683</v>
      </c>
      <c r="G66" s="304">
        <v>56609.310473999976</v>
      </c>
      <c r="H66" s="304">
        <v>2628.4929459999994</v>
      </c>
      <c r="I66" s="304">
        <v>1836</v>
      </c>
      <c r="J66" s="304">
        <v>170596.97999999995</v>
      </c>
      <c r="K66" s="304">
        <v>15492.1005</v>
      </c>
      <c r="L66" s="304">
        <v>5212.5</v>
      </c>
      <c r="M66" s="304">
        <v>61073.803419999975</v>
      </c>
      <c r="N66" s="304">
        <v>191301.58049999995</v>
      </c>
      <c r="O66" s="304">
        <v>191301.58049999995</v>
      </c>
      <c r="P66" s="304">
        <v>252375.38391999993</v>
      </c>
      <c r="Q66" s="310">
        <v>1.6127861760463897E-2</v>
      </c>
    </row>
    <row r="67" spans="1:17" ht="15" customHeight="1" x14ac:dyDescent="0.25">
      <c r="A67" s="104" t="s">
        <v>305</v>
      </c>
      <c r="B67" s="130" t="str">
        <f>VLOOKUP(A67,'0 Järjestäjätiedot'!A:H,2,FALSE)</f>
        <v>Raahen Koulutuskuntayhtymä</v>
      </c>
      <c r="C67" s="309">
        <v>269</v>
      </c>
      <c r="D67" s="309">
        <v>111</v>
      </c>
      <c r="E67" s="309">
        <v>3629</v>
      </c>
      <c r="F67" s="309">
        <v>371</v>
      </c>
      <c r="G67" s="304">
        <v>18316.174698000003</v>
      </c>
      <c r="H67" s="304">
        <v>1679.5880570000002</v>
      </c>
      <c r="I67" s="304">
        <v>828</v>
      </c>
      <c r="J67" s="304">
        <v>59617.18</v>
      </c>
      <c r="K67" s="304">
        <v>8105.6946856658933</v>
      </c>
      <c r="L67" s="304">
        <v>3104.5</v>
      </c>
      <c r="M67" s="304">
        <v>20823.762755000003</v>
      </c>
      <c r="N67" s="304">
        <v>70827.374685665898</v>
      </c>
      <c r="O67" s="304">
        <v>70827.374685665898</v>
      </c>
      <c r="P67" s="304">
        <v>91651.137440665902</v>
      </c>
      <c r="Q67" s="310">
        <v>5.8568979742528639E-3</v>
      </c>
    </row>
    <row r="68" spans="1:17" ht="15" customHeight="1" x14ac:dyDescent="0.25">
      <c r="A68" s="104" t="s">
        <v>298</v>
      </c>
      <c r="B68" s="130" t="str">
        <f>VLOOKUP(A68,'0 Järjestäjätiedot'!A:H,2,FALSE)</f>
        <v>Rovalan Setlementti ry</v>
      </c>
      <c r="C68" s="309">
        <v>5</v>
      </c>
      <c r="D68" s="309">
        <v>11</v>
      </c>
      <c r="E68" s="309">
        <v>82</v>
      </c>
      <c r="F68" s="309">
        <v>69</v>
      </c>
      <c r="G68" s="304">
        <v>89.1</v>
      </c>
      <c r="H68" s="304">
        <v>192.455806</v>
      </c>
      <c r="I68" s="304"/>
      <c r="J68" s="304">
        <v>1684.15</v>
      </c>
      <c r="K68" s="304">
        <v>1383.2775000000001</v>
      </c>
      <c r="L68" s="304">
        <v>162.5</v>
      </c>
      <c r="M68" s="304">
        <v>281.55580599999996</v>
      </c>
      <c r="N68" s="304">
        <v>3229.9275000000002</v>
      </c>
      <c r="O68" s="304">
        <v>3229.9275000000002</v>
      </c>
      <c r="P68" s="304">
        <v>3511.4833060000001</v>
      </c>
      <c r="Q68" s="310">
        <v>2.2439873672979398E-4</v>
      </c>
    </row>
    <row r="69" spans="1:17" ht="15" customHeight="1" x14ac:dyDescent="0.25">
      <c r="A69" s="104" t="s">
        <v>405</v>
      </c>
      <c r="B69" s="130" t="str">
        <f>VLOOKUP(A69,'0 Järjestäjätiedot'!A:H,2,FALSE)</f>
        <v>Ava-instituutin kannatusyhdistys ry</v>
      </c>
      <c r="C69" s="309"/>
      <c r="D69" s="309">
        <v>138</v>
      </c>
      <c r="E69" s="309"/>
      <c r="F69" s="309">
        <v>335</v>
      </c>
      <c r="G69" s="304"/>
      <c r="H69" s="304">
        <v>1453.6726279999998</v>
      </c>
      <c r="I69" s="304"/>
      <c r="J69" s="304"/>
      <c r="K69" s="304">
        <v>8925.3360000000011</v>
      </c>
      <c r="L69" s="304"/>
      <c r="M69" s="304">
        <v>1453.6726279999998</v>
      </c>
      <c r="N69" s="304">
        <v>8925.3360000000011</v>
      </c>
      <c r="O69" s="304">
        <v>4035.5352031182333</v>
      </c>
      <c r="P69" s="304">
        <v>5489.2078311182331</v>
      </c>
      <c r="Q69" s="310">
        <v>3.5078375592602741E-4</v>
      </c>
    </row>
    <row r="70" spans="1:17" ht="15" customHeight="1" x14ac:dyDescent="0.25">
      <c r="A70" s="104" t="s">
        <v>276</v>
      </c>
      <c r="B70" s="130" t="str">
        <f>VLOOKUP(A70,'0 Järjestäjätiedot'!A:H,2,FALSE)</f>
        <v>Tampereen kaupunki</v>
      </c>
      <c r="C70" s="309">
        <v>2922</v>
      </c>
      <c r="D70" s="309">
        <v>943</v>
      </c>
      <c r="E70" s="309">
        <v>25280</v>
      </c>
      <c r="F70" s="309">
        <v>3109</v>
      </c>
      <c r="G70" s="304">
        <v>170747.58184199987</v>
      </c>
      <c r="H70" s="304">
        <v>12633.472645999989</v>
      </c>
      <c r="I70" s="304">
        <v>7884</v>
      </c>
      <c r="J70" s="304">
        <v>468298.02999999974</v>
      </c>
      <c r="K70" s="304">
        <v>67830.199585777678</v>
      </c>
      <c r="L70" s="304">
        <v>25775.75</v>
      </c>
      <c r="M70" s="304">
        <v>191265.05448799985</v>
      </c>
      <c r="N70" s="304">
        <v>561903.97958577739</v>
      </c>
      <c r="O70" s="304">
        <v>561903.97958577739</v>
      </c>
      <c r="P70" s="304">
        <v>753169.03407377726</v>
      </c>
      <c r="Q70" s="310">
        <v>4.8130708610053911E-2</v>
      </c>
    </row>
    <row r="71" spans="1:17" ht="15" customHeight="1" x14ac:dyDescent="0.25">
      <c r="A71" s="104" t="s">
        <v>318</v>
      </c>
      <c r="B71" s="130" t="str">
        <f>VLOOKUP(A71,'0 Järjestäjätiedot'!A:H,2,FALSE)</f>
        <v>Pohjois-Karjalan Koulutuskuntayhtymä</v>
      </c>
      <c r="C71" s="309">
        <v>1637</v>
      </c>
      <c r="D71" s="309">
        <v>471</v>
      </c>
      <c r="E71" s="309">
        <v>15483</v>
      </c>
      <c r="F71" s="309">
        <v>1811</v>
      </c>
      <c r="G71" s="304">
        <v>94658.455205999911</v>
      </c>
      <c r="H71" s="304">
        <v>6078.7108419999977</v>
      </c>
      <c r="I71" s="304">
        <v>8172</v>
      </c>
      <c r="J71" s="304">
        <v>307657.49</v>
      </c>
      <c r="K71" s="304">
        <v>39990.066814229118</v>
      </c>
      <c r="L71" s="304">
        <v>20471</v>
      </c>
      <c r="M71" s="304">
        <v>108909.16604799991</v>
      </c>
      <c r="N71" s="304">
        <v>368118.55681422912</v>
      </c>
      <c r="O71" s="304">
        <v>368118.55681422912</v>
      </c>
      <c r="P71" s="304">
        <v>477027.72286222904</v>
      </c>
      <c r="Q71" s="310">
        <v>3.0484102889644909E-2</v>
      </c>
    </row>
    <row r="72" spans="1:17" ht="15" customHeight="1" x14ac:dyDescent="0.25">
      <c r="A72" s="104" t="s">
        <v>367</v>
      </c>
      <c r="B72" s="130" t="str">
        <f>VLOOKUP(A72,'0 Järjestäjätiedot'!A:H,2,FALSE)</f>
        <v>Kansan Sivistystyön Liitto KSL ry</v>
      </c>
      <c r="C72" s="309"/>
      <c r="D72" s="309">
        <v>17</v>
      </c>
      <c r="E72" s="309"/>
      <c r="F72" s="309">
        <v>55</v>
      </c>
      <c r="G72" s="304"/>
      <c r="H72" s="304">
        <v>239.11142699999999</v>
      </c>
      <c r="I72" s="304"/>
      <c r="J72" s="304"/>
      <c r="K72" s="304">
        <v>1853.1180000000002</v>
      </c>
      <c r="L72" s="304"/>
      <c r="M72" s="304">
        <v>239.11142699999999</v>
      </c>
      <c r="N72" s="304">
        <v>1853.1180000000002</v>
      </c>
      <c r="O72" s="304">
        <v>1853.1180000000002</v>
      </c>
      <c r="P72" s="304">
        <v>2092.2294270000002</v>
      </c>
      <c r="Q72" s="310">
        <v>1.3370237003988784E-4</v>
      </c>
    </row>
    <row r="73" spans="1:17" ht="15" customHeight="1" x14ac:dyDescent="0.25">
      <c r="A73" s="104" t="s">
        <v>341</v>
      </c>
      <c r="B73" s="130" t="str">
        <f>VLOOKUP(A73,'0 Järjestäjätiedot'!A:H,2,FALSE)</f>
        <v>Keski-Uudenmaan koulutuskuntayhtymä</v>
      </c>
      <c r="C73" s="309">
        <v>1995</v>
      </c>
      <c r="D73" s="309">
        <v>682</v>
      </c>
      <c r="E73" s="309">
        <v>16021</v>
      </c>
      <c r="F73" s="309">
        <v>2209</v>
      </c>
      <c r="G73" s="304">
        <v>114946.09815600011</v>
      </c>
      <c r="H73" s="304">
        <v>11077.098528999999</v>
      </c>
      <c r="I73" s="304">
        <v>4248</v>
      </c>
      <c r="J73" s="304">
        <v>304664.05999999988</v>
      </c>
      <c r="K73" s="304">
        <v>51298.876800000005</v>
      </c>
      <c r="L73" s="304">
        <v>9387</v>
      </c>
      <c r="M73" s="304">
        <v>130271.1966850001</v>
      </c>
      <c r="N73" s="304">
        <v>365349.93679999991</v>
      </c>
      <c r="O73" s="304">
        <v>365349.93679999991</v>
      </c>
      <c r="P73" s="304">
        <v>495621.133485</v>
      </c>
      <c r="Q73" s="310">
        <v>3.1672301007551078E-2</v>
      </c>
    </row>
    <row r="74" spans="1:17" ht="15" customHeight="1" x14ac:dyDescent="0.25">
      <c r="A74" s="104" t="s">
        <v>368</v>
      </c>
      <c r="B74" s="130" t="str">
        <f>VLOOKUP(A74,'0 Järjestäjätiedot'!A:H,2,FALSE)</f>
        <v>Kanneljärven Kansanopiston kannatusyhdistys r.y.</v>
      </c>
      <c r="C74" s="309">
        <v>39</v>
      </c>
      <c r="D74" s="309">
        <v>7</v>
      </c>
      <c r="E74" s="309">
        <v>391</v>
      </c>
      <c r="F74" s="309">
        <v>28</v>
      </c>
      <c r="G74" s="304">
        <v>1954.629144</v>
      </c>
      <c r="H74" s="304">
        <v>96.227902999999998</v>
      </c>
      <c r="I74" s="304">
        <v>144</v>
      </c>
      <c r="J74" s="304">
        <v>6108.1500000000005</v>
      </c>
      <c r="K74" s="304">
        <v>449.06400000000002</v>
      </c>
      <c r="L74" s="304">
        <v>502</v>
      </c>
      <c r="M74" s="304">
        <v>2194.857047</v>
      </c>
      <c r="N74" s="304">
        <v>7059.2140000000009</v>
      </c>
      <c r="O74" s="304">
        <v>7059.2140000000009</v>
      </c>
      <c r="P74" s="304">
        <v>9254.0710470000013</v>
      </c>
      <c r="Q74" s="310">
        <v>5.9137454790296592E-4</v>
      </c>
    </row>
    <row r="75" spans="1:17" ht="15" customHeight="1" x14ac:dyDescent="0.25">
      <c r="A75" s="104" t="s">
        <v>243</v>
      </c>
      <c r="B75" s="130" t="str">
        <f>VLOOKUP(A75,'0 Järjestäjätiedot'!A:H,2,FALSE)</f>
        <v>Ylä-Savon koulutuskuntayhtymä</v>
      </c>
      <c r="C75" s="309">
        <v>441</v>
      </c>
      <c r="D75" s="309">
        <v>366</v>
      </c>
      <c r="E75" s="309">
        <v>4044</v>
      </c>
      <c r="F75" s="309">
        <v>1295</v>
      </c>
      <c r="G75" s="304">
        <v>30403.320857999995</v>
      </c>
      <c r="H75" s="304">
        <v>5656.3124810000045</v>
      </c>
      <c r="I75" s="304">
        <v>1944</v>
      </c>
      <c r="J75" s="304">
        <v>88592.18</v>
      </c>
      <c r="K75" s="304">
        <v>34615.116257140588</v>
      </c>
      <c r="L75" s="304">
        <v>5062.25</v>
      </c>
      <c r="M75" s="304">
        <v>38003.633339</v>
      </c>
      <c r="N75" s="304">
        <v>128269.54625714058</v>
      </c>
      <c r="O75" s="304">
        <v>128269.54625714058</v>
      </c>
      <c r="P75" s="304">
        <v>166273.17959614057</v>
      </c>
      <c r="Q75" s="310">
        <v>1.062556424222969E-2</v>
      </c>
    </row>
    <row r="76" spans="1:17" ht="15" customHeight="1" x14ac:dyDescent="0.25">
      <c r="A76" s="104" t="s">
        <v>307</v>
      </c>
      <c r="B76" s="130" t="str">
        <f>VLOOKUP(A76,'0 Järjestäjätiedot'!A:H,2,FALSE)</f>
        <v>Pohjois-Savon Kansanopistoseura r.y.</v>
      </c>
      <c r="C76" s="309">
        <v>17</v>
      </c>
      <c r="D76" s="309"/>
      <c r="E76" s="309">
        <v>147</v>
      </c>
      <c r="F76" s="309"/>
      <c r="G76" s="304">
        <v>730.61947799999996</v>
      </c>
      <c r="H76" s="304"/>
      <c r="I76" s="304">
        <v>108</v>
      </c>
      <c r="J76" s="304">
        <v>2291.0899999999997</v>
      </c>
      <c r="K76" s="304"/>
      <c r="L76" s="304">
        <v>146.5</v>
      </c>
      <c r="M76" s="304">
        <v>838.61947799999996</v>
      </c>
      <c r="N76" s="304">
        <v>2437.5899999999997</v>
      </c>
      <c r="O76" s="304">
        <v>2437.5899999999997</v>
      </c>
      <c r="P76" s="304">
        <v>3276.2094779999998</v>
      </c>
      <c r="Q76" s="310">
        <v>2.0936373721874038E-4</v>
      </c>
    </row>
    <row r="77" spans="1:17" ht="15" customHeight="1" x14ac:dyDescent="0.25">
      <c r="A77" s="104" t="s">
        <v>370</v>
      </c>
      <c r="B77" s="130" t="str">
        <f>VLOOKUP(A77,'0 Järjestäjätiedot'!A:H,2,FALSE)</f>
        <v>Kajaanin kaupunki</v>
      </c>
      <c r="C77" s="309">
        <v>1025</v>
      </c>
      <c r="D77" s="309">
        <v>337</v>
      </c>
      <c r="E77" s="309">
        <v>7887</v>
      </c>
      <c r="F77" s="309">
        <v>1101</v>
      </c>
      <c r="G77" s="304">
        <v>58479.070355999997</v>
      </c>
      <c r="H77" s="304">
        <v>4521.5734159999965</v>
      </c>
      <c r="I77" s="304">
        <v>3816</v>
      </c>
      <c r="J77" s="304">
        <v>153923.22000000003</v>
      </c>
      <c r="K77" s="304">
        <v>23331.435171432382</v>
      </c>
      <c r="L77" s="304">
        <v>7368.5</v>
      </c>
      <c r="M77" s="304">
        <v>66816.643771999996</v>
      </c>
      <c r="N77" s="304">
        <v>184623.15517143242</v>
      </c>
      <c r="O77" s="304">
        <v>184623.15517143242</v>
      </c>
      <c r="P77" s="304">
        <v>251439.7989434324</v>
      </c>
      <c r="Q77" s="310">
        <v>1.6068073896319306E-2</v>
      </c>
    </row>
    <row r="78" spans="1:17" ht="15" customHeight="1" x14ac:dyDescent="0.25">
      <c r="A78" s="104" t="s">
        <v>359</v>
      </c>
      <c r="B78" s="130" t="str">
        <f>VLOOKUP(A78,'0 Järjestäjätiedot'!A:H,2,FALSE)</f>
        <v>Kirkkopalvelut ry</v>
      </c>
      <c r="C78" s="309">
        <v>505</v>
      </c>
      <c r="D78" s="309">
        <v>249</v>
      </c>
      <c r="E78" s="309">
        <v>3196</v>
      </c>
      <c r="F78" s="309">
        <v>788</v>
      </c>
      <c r="G78" s="304">
        <v>21204.299628000004</v>
      </c>
      <c r="H78" s="304">
        <v>3093.1739540000008</v>
      </c>
      <c r="I78" s="304">
        <v>2196</v>
      </c>
      <c r="J78" s="304">
        <v>68616.120000000024</v>
      </c>
      <c r="K78" s="304">
        <v>17334.931499999999</v>
      </c>
      <c r="L78" s="304">
        <v>4512.7700000000004</v>
      </c>
      <c r="M78" s="304">
        <v>26493.473582000006</v>
      </c>
      <c r="N78" s="304">
        <v>90463.821500000035</v>
      </c>
      <c r="O78" s="304">
        <v>90463.821500000035</v>
      </c>
      <c r="P78" s="304">
        <v>116957.29508200004</v>
      </c>
      <c r="Q78" s="310">
        <v>7.4740692125433543E-3</v>
      </c>
    </row>
    <row r="79" spans="1:17" ht="15" customHeight="1" x14ac:dyDescent="0.25">
      <c r="A79" s="104" t="s">
        <v>302</v>
      </c>
      <c r="B79" s="130" t="str">
        <f>VLOOKUP(A79,'0 Järjestäjätiedot'!A:H,2,FALSE)</f>
        <v>Rakennusteollisuus RT ry</v>
      </c>
      <c r="C79" s="309"/>
      <c r="D79" s="309">
        <v>58</v>
      </c>
      <c r="E79" s="309"/>
      <c r="F79" s="309">
        <v>794</v>
      </c>
      <c r="G79" s="304"/>
      <c r="H79" s="304">
        <v>657.30942000000005</v>
      </c>
      <c r="I79" s="304"/>
      <c r="J79" s="304"/>
      <c r="K79" s="304">
        <v>8653.2057000000004</v>
      </c>
      <c r="L79" s="304"/>
      <c r="M79" s="304">
        <v>657.30942000000005</v>
      </c>
      <c r="N79" s="304">
        <v>8653.2057000000004</v>
      </c>
      <c r="O79" s="304">
        <v>7814.3299661659894</v>
      </c>
      <c r="P79" s="304">
        <v>8471.639386165989</v>
      </c>
      <c r="Q79" s="310">
        <v>5.4137383282949747E-4</v>
      </c>
    </row>
    <row r="80" spans="1:17" ht="15" customHeight="1" x14ac:dyDescent="0.25">
      <c r="A80" s="104" t="s">
        <v>329</v>
      </c>
      <c r="B80" s="130" t="str">
        <f>VLOOKUP(A80,'0 Järjestäjätiedot'!A:H,2,FALSE)</f>
        <v>Maalariammattikoulun kannatusyhdistys r.y.</v>
      </c>
      <c r="C80" s="309">
        <v>51</v>
      </c>
      <c r="D80" s="309">
        <v>16</v>
      </c>
      <c r="E80" s="309">
        <v>684</v>
      </c>
      <c r="F80" s="309">
        <v>86</v>
      </c>
      <c r="G80" s="304">
        <v>2833.3781100000001</v>
      </c>
      <c r="H80" s="304">
        <v>249.90093700000003</v>
      </c>
      <c r="I80" s="304">
        <v>36</v>
      </c>
      <c r="J80" s="304">
        <v>11954.500000000002</v>
      </c>
      <c r="K80" s="304">
        <v>1930.2462000000003</v>
      </c>
      <c r="L80" s="304">
        <v>157.5</v>
      </c>
      <c r="M80" s="304">
        <v>3119.279047</v>
      </c>
      <c r="N80" s="304">
        <v>14042.246200000001</v>
      </c>
      <c r="O80" s="304">
        <v>14042.246200000001</v>
      </c>
      <c r="P80" s="304">
        <v>17161.525247000001</v>
      </c>
      <c r="Q80" s="310">
        <v>1.096694544782001E-3</v>
      </c>
    </row>
    <row r="81" spans="1:17" ht="15" customHeight="1" x14ac:dyDescent="0.25">
      <c r="A81" s="104" t="s">
        <v>285</v>
      </c>
      <c r="B81" s="130" t="str">
        <f>VLOOKUP(A81,'0 Järjestäjätiedot'!A:H,2,FALSE)</f>
        <v>Suomen Luterilainen Evankeliumiyhdistys ry</v>
      </c>
      <c r="C81" s="309"/>
      <c r="D81" s="309">
        <v>19</v>
      </c>
      <c r="E81" s="309"/>
      <c r="F81" s="309">
        <v>116</v>
      </c>
      <c r="G81" s="304"/>
      <c r="H81" s="304">
        <v>330.408995</v>
      </c>
      <c r="I81" s="304"/>
      <c r="J81" s="304"/>
      <c r="K81" s="304">
        <v>2317.248</v>
      </c>
      <c r="L81" s="304"/>
      <c r="M81" s="304">
        <v>330.408995</v>
      </c>
      <c r="N81" s="304">
        <v>2317.248</v>
      </c>
      <c r="O81" s="304">
        <v>1678.0071724137931</v>
      </c>
      <c r="P81" s="304">
        <v>2008.4161674137931</v>
      </c>
      <c r="Q81" s="310">
        <v>1.2834634583774654E-4</v>
      </c>
    </row>
    <row r="82" spans="1:17" ht="15" customHeight="1" x14ac:dyDescent="0.25">
      <c r="A82" s="104" t="s">
        <v>375</v>
      </c>
      <c r="B82" s="130" t="str">
        <f>VLOOKUP(A82,'0 Järjestäjätiedot'!A:H,2,FALSE)</f>
        <v>Joensuun kaupunki</v>
      </c>
      <c r="C82" s="309">
        <v>17</v>
      </c>
      <c r="D82" s="309"/>
      <c r="E82" s="309">
        <v>315</v>
      </c>
      <c r="F82" s="309"/>
      <c r="G82" s="304">
        <v>1602.718218</v>
      </c>
      <c r="H82" s="304"/>
      <c r="I82" s="304"/>
      <c r="J82" s="304">
        <v>9179.4800000000014</v>
      </c>
      <c r="K82" s="304"/>
      <c r="L82" s="304"/>
      <c r="M82" s="304">
        <v>1602.718218</v>
      </c>
      <c r="N82" s="304">
        <v>9179.4800000000014</v>
      </c>
      <c r="O82" s="304">
        <v>9179.4800000000014</v>
      </c>
      <c r="P82" s="304">
        <v>10782.198218000001</v>
      </c>
      <c r="Q82" s="310">
        <v>6.8902838158315196E-4</v>
      </c>
    </row>
    <row r="83" spans="1:17" ht="15" customHeight="1" x14ac:dyDescent="0.25">
      <c r="A83" s="104" t="s">
        <v>265</v>
      </c>
      <c r="B83" s="130" t="str">
        <f>VLOOKUP(A83,'0 Järjestäjätiedot'!A:H,2,FALSE)</f>
        <v>Turun Ammattiopistosäätiö sr</v>
      </c>
      <c r="C83" s="309">
        <v>74</v>
      </c>
      <c r="D83" s="309">
        <v>10</v>
      </c>
      <c r="E83" s="309">
        <v>677</v>
      </c>
      <c r="F83" s="309">
        <v>10</v>
      </c>
      <c r="G83" s="304">
        <v>3404.3733360000006</v>
      </c>
      <c r="H83" s="304">
        <v>150.52392</v>
      </c>
      <c r="I83" s="304">
        <v>612</v>
      </c>
      <c r="J83" s="304">
        <v>12420.909999999996</v>
      </c>
      <c r="K83" s="304">
        <v>294.84810000000004</v>
      </c>
      <c r="L83" s="304">
        <v>1863.5</v>
      </c>
      <c r="M83" s="304">
        <v>4166.8972560000002</v>
      </c>
      <c r="N83" s="304">
        <v>14579.258099999995</v>
      </c>
      <c r="O83" s="304">
        <v>14579.258099999995</v>
      </c>
      <c r="P83" s="304">
        <v>18746.155355999996</v>
      </c>
      <c r="Q83" s="310">
        <v>1.197959156815328E-3</v>
      </c>
    </row>
    <row r="84" spans="1:17" ht="15" customHeight="1" x14ac:dyDescent="0.25">
      <c r="A84" s="104" t="s">
        <v>308</v>
      </c>
      <c r="B84" s="130" t="str">
        <f>VLOOKUP(A84,'0 Järjestäjätiedot'!A:H,2,FALSE)</f>
        <v>Pohjois-Satakunnan Kansanopiston kannatusyhdistys r.y.</v>
      </c>
      <c r="C84" s="309">
        <v>30</v>
      </c>
      <c r="D84" s="309">
        <v>50</v>
      </c>
      <c r="E84" s="309">
        <v>301</v>
      </c>
      <c r="F84" s="309">
        <v>116</v>
      </c>
      <c r="G84" s="304">
        <v>1414.5290279999999</v>
      </c>
      <c r="H84" s="304">
        <v>777.69407100000001</v>
      </c>
      <c r="I84" s="304">
        <v>108</v>
      </c>
      <c r="J84" s="304">
        <v>5451.2000000000007</v>
      </c>
      <c r="K84" s="304">
        <v>2343.1275000000001</v>
      </c>
      <c r="L84" s="304">
        <v>206.5</v>
      </c>
      <c r="M84" s="304">
        <v>2300.2230989999998</v>
      </c>
      <c r="N84" s="304">
        <v>8000.8275000000012</v>
      </c>
      <c r="O84" s="304">
        <v>8000.8275000000012</v>
      </c>
      <c r="P84" s="304">
        <v>10301.050599000002</v>
      </c>
      <c r="Q84" s="310">
        <v>6.5828099978593147E-4</v>
      </c>
    </row>
    <row r="85" spans="1:17" ht="15" customHeight="1" x14ac:dyDescent="0.25">
      <c r="A85" s="104" t="s">
        <v>316</v>
      </c>
      <c r="B85" s="130" t="str">
        <f>VLOOKUP(A85,'0 Järjestäjätiedot'!A:H,2,FALSE)</f>
        <v>Paasikiviopistoyhdistys r.y.</v>
      </c>
      <c r="C85" s="309">
        <v>14</v>
      </c>
      <c r="D85" s="309"/>
      <c r="E85" s="309">
        <v>207</v>
      </c>
      <c r="F85" s="309"/>
      <c r="G85" s="304">
        <v>1239.8400000000001</v>
      </c>
      <c r="H85" s="304"/>
      <c r="I85" s="304">
        <v>72</v>
      </c>
      <c r="J85" s="304">
        <v>3287.92</v>
      </c>
      <c r="K85" s="304"/>
      <c r="L85" s="304">
        <v>184</v>
      </c>
      <c r="M85" s="304">
        <v>1311.8400000000001</v>
      </c>
      <c r="N85" s="304">
        <v>3471.92</v>
      </c>
      <c r="O85" s="304">
        <v>3471.92</v>
      </c>
      <c r="P85" s="304">
        <v>4783.76</v>
      </c>
      <c r="Q85" s="310">
        <v>3.0570263540319369E-4</v>
      </c>
    </row>
    <row r="86" spans="1:17" ht="15" customHeight="1" x14ac:dyDescent="0.25">
      <c r="A86" s="104" t="s">
        <v>401</v>
      </c>
      <c r="B86" s="130" t="str">
        <f>VLOOKUP(A86,'0 Järjestäjätiedot'!A:H,2,FALSE)</f>
        <v>Espoon seudun koulutuskuntayhtymä Omnia</v>
      </c>
      <c r="C86" s="309">
        <v>2183</v>
      </c>
      <c r="D86" s="309">
        <v>1011</v>
      </c>
      <c r="E86" s="309">
        <v>17917</v>
      </c>
      <c r="F86" s="309">
        <v>2929</v>
      </c>
      <c r="G86" s="304">
        <v>122578.48785599998</v>
      </c>
      <c r="H86" s="304">
        <v>14997.969262999986</v>
      </c>
      <c r="I86" s="304">
        <v>7380</v>
      </c>
      <c r="J86" s="304">
        <v>339784.2</v>
      </c>
      <c r="K86" s="304">
        <v>66771.553499983958</v>
      </c>
      <c r="L86" s="304">
        <v>24473</v>
      </c>
      <c r="M86" s="304">
        <v>144956.45711899997</v>
      </c>
      <c r="N86" s="304">
        <v>431028.75349998398</v>
      </c>
      <c r="O86" s="304">
        <v>431028.75349998398</v>
      </c>
      <c r="P86" s="304">
        <v>575985.21061898395</v>
      </c>
      <c r="Q86" s="310">
        <v>3.6807907762824006E-2</v>
      </c>
    </row>
    <row r="87" spans="1:17" ht="15" customHeight="1" x14ac:dyDescent="0.25">
      <c r="A87" s="104" t="s">
        <v>365</v>
      </c>
      <c r="B87" s="130" t="str">
        <f>VLOOKUP(A87,'0 Järjestäjätiedot'!A:H,2,FALSE)</f>
        <v>Kauppiaitten Kauppaoppilaitos Oy</v>
      </c>
      <c r="C87" s="309">
        <v>218</v>
      </c>
      <c r="D87" s="309">
        <v>6</v>
      </c>
      <c r="E87" s="309">
        <v>3713</v>
      </c>
      <c r="F87" s="309">
        <v>19</v>
      </c>
      <c r="G87" s="304">
        <v>10684.791036000001</v>
      </c>
      <c r="H87" s="304">
        <v>69.344745000000003</v>
      </c>
      <c r="I87" s="304">
        <v>252</v>
      </c>
      <c r="J87" s="304">
        <v>31194.799999999999</v>
      </c>
      <c r="K87" s="304">
        <v>366.66</v>
      </c>
      <c r="L87" s="304">
        <v>1574</v>
      </c>
      <c r="M87" s="304">
        <v>11006.135781000001</v>
      </c>
      <c r="N87" s="304">
        <v>33135.46</v>
      </c>
      <c r="O87" s="304">
        <v>33135.46</v>
      </c>
      <c r="P87" s="304">
        <v>44141.595780999996</v>
      </c>
      <c r="Q87" s="310">
        <v>2.8208359451883445E-3</v>
      </c>
    </row>
    <row r="88" spans="1:17" ht="15" customHeight="1" x14ac:dyDescent="0.25">
      <c r="A88" s="104" t="s">
        <v>354</v>
      </c>
      <c r="B88" s="130" t="str">
        <f>VLOOKUP(A88,'0 Järjestäjätiedot'!A:H,2,FALSE)</f>
        <v>Korpisaaren Säätiö sr</v>
      </c>
      <c r="C88" s="309">
        <v>28</v>
      </c>
      <c r="D88" s="309">
        <v>20</v>
      </c>
      <c r="E88" s="309">
        <v>330</v>
      </c>
      <c r="F88" s="309">
        <v>139</v>
      </c>
      <c r="G88" s="304">
        <v>1512.9744660000001</v>
      </c>
      <c r="H88" s="304">
        <v>297.43171800000005</v>
      </c>
      <c r="I88" s="304"/>
      <c r="J88" s="304">
        <v>5241.76</v>
      </c>
      <c r="K88" s="304">
        <v>2710.4220000000005</v>
      </c>
      <c r="L88" s="304"/>
      <c r="M88" s="304">
        <v>1810.4061840000002</v>
      </c>
      <c r="N88" s="304">
        <v>7952.1820000000007</v>
      </c>
      <c r="O88" s="304">
        <v>7952.1820000000007</v>
      </c>
      <c r="P88" s="304">
        <v>9762.5881840000002</v>
      </c>
      <c r="Q88" s="310">
        <v>6.2387095845211271E-4</v>
      </c>
    </row>
    <row r="89" spans="1:17" ht="15" customHeight="1" x14ac:dyDescent="0.25">
      <c r="A89" s="104" t="s">
        <v>335</v>
      </c>
      <c r="B89" s="130" t="str">
        <f>VLOOKUP(A89,'0 Järjestäjätiedot'!A:H,2,FALSE)</f>
        <v>Lounais-Hämeen koulutuskuntayhtymä</v>
      </c>
      <c r="C89" s="309">
        <v>392</v>
      </c>
      <c r="D89" s="309">
        <v>171</v>
      </c>
      <c r="E89" s="309">
        <v>3714</v>
      </c>
      <c r="F89" s="309">
        <v>658</v>
      </c>
      <c r="G89" s="304">
        <v>19296.262763999988</v>
      </c>
      <c r="H89" s="304">
        <v>2083.5060040000003</v>
      </c>
      <c r="I89" s="304">
        <v>756</v>
      </c>
      <c r="J89" s="304">
        <v>53390.159999999996</v>
      </c>
      <c r="K89" s="304">
        <v>14763.961800005343</v>
      </c>
      <c r="L89" s="304">
        <v>2352.5</v>
      </c>
      <c r="M89" s="304">
        <v>22135.768767999987</v>
      </c>
      <c r="N89" s="304">
        <v>70506.621800005334</v>
      </c>
      <c r="O89" s="304">
        <v>70506.621800005334</v>
      </c>
      <c r="P89" s="304">
        <v>92642.390568005329</v>
      </c>
      <c r="Q89" s="310">
        <v>5.9202432702918214E-3</v>
      </c>
    </row>
    <row r="90" spans="1:17" ht="15" customHeight="1" x14ac:dyDescent="0.25">
      <c r="A90" s="104" t="s">
        <v>282</v>
      </c>
      <c r="B90" s="130" t="str">
        <f>VLOOKUP(A90,'0 Järjestäjätiedot'!A:H,2,FALSE)</f>
        <v>Suomen ympäristöopisto SYKLI Oy</v>
      </c>
      <c r="C90" s="309"/>
      <c r="D90" s="309">
        <v>155</v>
      </c>
      <c r="E90" s="309"/>
      <c r="F90" s="309">
        <v>681</v>
      </c>
      <c r="G90" s="304"/>
      <c r="H90" s="304">
        <v>1941.6371949999998</v>
      </c>
      <c r="I90" s="304"/>
      <c r="J90" s="304"/>
      <c r="K90" s="304">
        <v>16047.355500000001</v>
      </c>
      <c r="L90" s="304"/>
      <c r="M90" s="304">
        <v>1941.6371949999998</v>
      </c>
      <c r="N90" s="304">
        <v>16047.355500000001</v>
      </c>
      <c r="O90" s="304">
        <v>14498.352000000001</v>
      </c>
      <c r="P90" s="304">
        <v>16439.989195000002</v>
      </c>
      <c r="Q90" s="310">
        <v>1.0505853184339367E-3</v>
      </c>
    </row>
    <row r="91" spans="1:17" ht="15" customHeight="1" x14ac:dyDescent="0.25">
      <c r="A91" s="104" t="s">
        <v>393</v>
      </c>
      <c r="B91" s="130" t="str">
        <f>VLOOKUP(A91,'0 Järjestäjätiedot'!A:H,2,FALSE)</f>
        <v>Fysikaalinen hoitolaitos Arcus Lumio &amp; Pirttimaa</v>
      </c>
      <c r="C91" s="309"/>
      <c r="D91" s="309">
        <v>105</v>
      </c>
      <c r="E91" s="309"/>
      <c r="F91" s="309">
        <v>445</v>
      </c>
      <c r="G91" s="304"/>
      <c r="H91" s="304">
        <v>1841.1611559999999</v>
      </c>
      <c r="I91" s="304"/>
      <c r="J91" s="304"/>
      <c r="K91" s="304">
        <v>8933.2875000000004</v>
      </c>
      <c r="L91" s="304"/>
      <c r="M91" s="304">
        <v>1841.1611559999999</v>
      </c>
      <c r="N91" s="304">
        <v>8933.2875000000004</v>
      </c>
      <c r="O91" s="304">
        <v>2312.6173483146072</v>
      </c>
      <c r="P91" s="304">
        <v>4153.7785043146068</v>
      </c>
      <c r="Q91" s="310">
        <v>2.6544413508414124E-4</v>
      </c>
    </row>
    <row r="92" spans="1:17" ht="15" customHeight="1" x14ac:dyDescent="0.25">
      <c r="A92" s="104" t="s">
        <v>361</v>
      </c>
      <c r="B92" s="130" t="str">
        <f>VLOOKUP(A92,'0 Järjestäjätiedot'!A:H,2,FALSE)</f>
        <v>Kiinteistöalan Koulutussäätiö sr</v>
      </c>
      <c r="C92" s="309"/>
      <c r="D92" s="309">
        <v>79</v>
      </c>
      <c r="E92" s="309"/>
      <c r="F92" s="309">
        <v>413</v>
      </c>
      <c r="G92" s="304"/>
      <c r="H92" s="304">
        <v>671.89389200000005</v>
      </c>
      <c r="I92" s="304"/>
      <c r="J92" s="304"/>
      <c r="K92" s="304">
        <v>6373.08</v>
      </c>
      <c r="L92" s="304"/>
      <c r="M92" s="304">
        <v>671.89389200000005</v>
      </c>
      <c r="N92" s="304">
        <v>6373.08</v>
      </c>
      <c r="O92" s="304">
        <v>6373.08</v>
      </c>
      <c r="P92" s="304">
        <v>7044.973892</v>
      </c>
      <c r="Q92" s="310">
        <v>4.5020383236849139E-4</v>
      </c>
    </row>
    <row r="93" spans="1:17" ht="15" customHeight="1" x14ac:dyDescent="0.25">
      <c r="A93" s="104" t="s">
        <v>321</v>
      </c>
      <c r="B93" s="130" t="str">
        <f>VLOOKUP(A93,'0 Järjestäjätiedot'!A:H,2,FALSE)</f>
        <v>Optima samkommun</v>
      </c>
      <c r="C93" s="309">
        <v>355</v>
      </c>
      <c r="D93" s="309">
        <v>86</v>
      </c>
      <c r="E93" s="309">
        <v>3823</v>
      </c>
      <c r="F93" s="309">
        <v>448</v>
      </c>
      <c r="G93" s="304">
        <v>22806.051155999998</v>
      </c>
      <c r="H93" s="304">
        <v>1086.8412370000001</v>
      </c>
      <c r="I93" s="304">
        <v>312.48</v>
      </c>
      <c r="J93" s="304">
        <v>73008.530000000013</v>
      </c>
      <c r="K93" s="304">
        <v>9889.8867000000009</v>
      </c>
      <c r="L93" s="304">
        <v>15256.59</v>
      </c>
      <c r="M93" s="304">
        <v>24205.372392999998</v>
      </c>
      <c r="N93" s="304">
        <v>98155.006700000013</v>
      </c>
      <c r="O93" s="304">
        <v>98155.006700000013</v>
      </c>
      <c r="P93" s="304">
        <v>122360.37909300001</v>
      </c>
      <c r="Q93" s="310">
        <v>7.8193492896098359E-3</v>
      </c>
    </row>
    <row r="94" spans="1:17" ht="15" customHeight="1" x14ac:dyDescent="0.25">
      <c r="A94" s="104" t="s">
        <v>313</v>
      </c>
      <c r="B94" s="130" t="str">
        <f>VLOOKUP(A94,'0 Järjestäjätiedot'!A:H,2,FALSE)</f>
        <v>Peimarin koulutuskuntayhtymä</v>
      </c>
      <c r="C94" s="309">
        <v>313</v>
      </c>
      <c r="D94" s="309">
        <v>111</v>
      </c>
      <c r="E94" s="309">
        <v>2563</v>
      </c>
      <c r="F94" s="309">
        <v>473</v>
      </c>
      <c r="G94" s="304">
        <v>18646.298837999995</v>
      </c>
      <c r="H94" s="304">
        <v>1855.325431</v>
      </c>
      <c r="I94" s="304">
        <v>1116</v>
      </c>
      <c r="J94" s="304">
        <v>64396.650000000009</v>
      </c>
      <c r="K94" s="304">
        <v>12117.397500000003</v>
      </c>
      <c r="L94" s="304">
        <v>2806.5</v>
      </c>
      <c r="M94" s="304">
        <v>21617.624268999996</v>
      </c>
      <c r="N94" s="304">
        <v>79320.547500000015</v>
      </c>
      <c r="O94" s="304">
        <v>79320.547500000015</v>
      </c>
      <c r="P94" s="304">
        <v>100938.17176900001</v>
      </c>
      <c r="Q94" s="310">
        <v>6.4503790162055681E-3</v>
      </c>
    </row>
    <row r="95" spans="1:17" ht="15" customHeight="1" x14ac:dyDescent="0.25">
      <c r="A95" s="104" t="s">
        <v>306</v>
      </c>
      <c r="B95" s="130" t="str">
        <f>VLOOKUP(A95,'0 Järjestäjätiedot'!A:H,2,FALSE)</f>
        <v>Pohjois-Suomen Koulutuskeskussäätiö sr</v>
      </c>
      <c r="C95" s="309">
        <v>70</v>
      </c>
      <c r="D95" s="309">
        <v>99</v>
      </c>
      <c r="E95" s="309">
        <v>236</v>
      </c>
      <c r="F95" s="309">
        <v>341</v>
      </c>
      <c r="G95" s="304">
        <v>1909.9611540000003</v>
      </c>
      <c r="H95" s="304">
        <v>1084.4604000000002</v>
      </c>
      <c r="I95" s="304"/>
      <c r="J95" s="304">
        <v>5867.4</v>
      </c>
      <c r="K95" s="304">
        <v>7010.3879999999999</v>
      </c>
      <c r="L95" s="304"/>
      <c r="M95" s="304">
        <v>2994.4215540000005</v>
      </c>
      <c r="N95" s="304">
        <v>12877.788</v>
      </c>
      <c r="O95" s="304">
        <v>12877.788</v>
      </c>
      <c r="P95" s="304">
        <v>15872.209554000001</v>
      </c>
      <c r="Q95" s="310">
        <v>1.0143017815127744E-3</v>
      </c>
    </row>
    <row r="96" spans="1:17" ht="15" customHeight="1" x14ac:dyDescent="0.25">
      <c r="A96" s="104" t="s">
        <v>345</v>
      </c>
      <c r="B96" s="130" t="str">
        <f>VLOOKUP(A96,'0 Järjestäjätiedot'!A:H,2,FALSE)</f>
        <v>KSAK Oy</v>
      </c>
      <c r="C96" s="309">
        <v>21</v>
      </c>
      <c r="D96" s="309">
        <v>52</v>
      </c>
      <c r="E96" s="309">
        <v>123</v>
      </c>
      <c r="F96" s="309">
        <v>144</v>
      </c>
      <c r="G96" s="304">
        <v>880.07423399999993</v>
      </c>
      <c r="H96" s="304">
        <v>684.28720099999998</v>
      </c>
      <c r="I96" s="304"/>
      <c r="J96" s="304">
        <v>2430.4499999999998</v>
      </c>
      <c r="K96" s="304">
        <v>2861.0819999999999</v>
      </c>
      <c r="L96" s="304"/>
      <c r="M96" s="304">
        <v>1564.3614349999998</v>
      </c>
      <c r="N96" s="304">
        <v>5291.5319999999992</v>
      </c>
      <c r="O96" s="304">
        <v>5291.5319999999992</v>
      </c>
      <c r="P96" s="304">
        <v>6855.893434999999</v>
      </c>
      <c r="Q96" s="310">
        <v>4.3812078597650254E-4</v>
      </c>
    </row>
    <row r="97" spans="1:17" ht="15" customHeight="1" x14ac:dyDescent="0.25">
      <c r="A97" s="104" t="s">
        <v>267</v>
      </c>
      <c r="B97" s="130" t="str">
        <f>VLOOKUP(A97,'0 Järjestäjätiedot'!A:H,2,FALSE)</f>
        <v>TUL:n Kisakeskussäätiö sr</v>
      </c>
      <c r="C97" s="309"/>
      <c r="D97" s="309">
        <v>5</v>
      </c>
      <c r="E97" s="309"/>
      <c r="F97" s="309">
        <v>23</v>
      </c>
      <c r="G97" s="304"/>
      <c r="H97" s="304">
        <v>76.982399999999998</v>
      </c>
      <c r="I97" s="304"/>
      <c r="J97" s="304"/>
      <c r="K97" s="304">
        <v>461.09250000000003</v>
      </c>
      <c r="L97" s="304"/>
      <c r="M97" s="304">
        <v>76.982399999999998</v>
      </c>
      <c r="N97" s="304">
        <v>461.09250000000003</v>
      </c>
      <c r="O97" s="304">
        <v>320.76</v>
      </c>
      <c r="P97" s="304">
        <v>397.74239999999998</v>
      </c>
      <c r="Q97" s="310">
        <v>2.5417433126158339E-5</v>
      </c>
    </row>
    <row r="98" spans="1:17" ht="15" customHeight="1" x14ac:dyDescent="0.25">
      <c r="A98" s="104" t="s">
        <v>330</v>
      </c>
      <c r="B98" s="130" t="str">
        <f>VLOOKUP(A98,'0 Järjestäjätiedot'!A:H,2,FALSE)</f>
        <v>TYA-oppilaitos Oy</v>
      </c>
      <c r="C98" s="309"/>
      <c r="D98" s="309">
        <v>51</v>
      </c>
      <c r="E98" s="309"/>
      <c r="F98" s="309">
        <v>282</v>
      </c>
      <c r="G98" s="304"/>
      <c r="H98" s="304">
        <v>1270.2079670000001</v>
      </c>
      <c r="I98" s="304"/>
      <c r="J98" s="304"/>
      <c r="K98" s="304">
        <v>5653.3950000000004</v>
      </c>
      <c r="L98" s="304"/>
      <c r="M98" s="304">
        <v>1270.2079670000001</v>
      </c>
      <c r="N98" s="304">
        <v>5653.3950000000004</v>
      </c>
      <c r="O98" s="304">
        <v>1796.2560000000003</v>
      </c>
      <c r="P98" s="304">
        <v>3066.4639670000006</v>
      </c>
      <c r="Q98" s="310">
        <v>1.9596010587505063E-4</v>
      </c>
    </row>
    <row r="99" spans="1:17" ht="15" customHeight="1" x14ac:dyDescent="0.25">
      <c r="A99" s="104" t="s">
        <v>315</v>
      </c>
      <c r="B99" s="130" t="str">
        <f>VLOOKUP(A99,'0 Järjestäjätiedot'!A:H,2,FALSE)</f>
        <v>Palkansaajien koulutussäätiö sr</v>
      </c>
      <c r="C99" s="309"/>
      <c r="D99" s="309">
        <v>98</v>
      </c>
      <c r="E99" s="309"/>
      <c r="F99" s="309">
        <v>438</v>
      </c>
      <c r="G99" s="304"/>
      <c r="H99" s="304">
        <v>1626.8333379999999</v>
      </c>
      <c r="I99" s="304"/>
      <c r="J99" s="304"/>
      <c r="K99" s="304">
        <v>9884.8755000000001</v>
      </c>
      <c r="L99" s="304"/>
      <c r="M99" s="304">
        <v>1626.8333379999999</v>
      </c>
      <c r="N99" s="304">
        <v>9884.8755000000001</v>
      </c>
      <c r="O99" s="304">
        <v>5890.6837106972716</v>
      </c>
      <c r="P99" s="304">
        <v>7517.5170486972711</v>
      </c>
      <c r="Q99" s="310">
        <v>4.8040135238289433E-4</v>
      </c>
    </row>
    <row r="100" spans="1:17" ht="15" customHeight="1" x14ac:dyDescent="0.25">
      <c r="A100" s="104" t="s">
        <v>310</v>
      </c>
      <c r="B100" s="130" t="str">
        <f>VLOOKUP(A100,'0 Järjestäjätiedot'!A:H,2,FALSE)</f>
        <v>Pop &amp; Jazz Konservatorion Säätiö sr</v>
      </c>
      <c r="C100" s="309">
        <v>59</v>
      </c>
      <c r="D100" s="309"/>
      <c r="E100" s="309">
        <v>409</v>
      </c>
      <c r="F100" s="309"/>
      <c r="G100" s="304">
        <v>6153.2936280000004</v>
      </c>
      <c r="H100" s="304"/>
      <c r="I100" s="304"/>
      <c r="J100" s="304">
        <v>10687.9</v>
      </c>
      <c r="K100" s="304"/>
      <c r="L100" s="304"/>
      <c r="M100" s="304">
        <v>6153.2936280000004</v>
      </c>
      <c r="N100" s="304">
        <v>10687.9</v>
      </c>
      <c r="O100" s="304">
        <v>10687.9</v>
      </c>
      <c r="P100" s="304">
        <v>16841.193628000001</v>
      </c>
      <c r="Q100" s="310">
        <v>1.0762239902116898E-3</v>
      </c>
    </row>
    <row r="101" spans="1:17" ht="15" customHeight="1" x14ac:dyDescent="0.25">
      <c r="A101" s="104" t="s">
        <v>263</v>
      </c>
      <c r="B101" s="130" t="str">
        <f>VLOOKUP(A101,'0 Järjestäjätiedot'!A:H,2,FALSE)</f>
        <v>Turun kristillisen opiston säätiö sr</v>
      </c>
      <c r="C101" s="309">
        <v>82</v>
      </c>
      <c r="D101" s="309">
        <v>25</v>
      </c>
      <c r="E101" s="309">
        <v>765</v>
      </c>
      <c r="F101" s="309">
        <v>127</v>
      </c>
      <c r="G101" s="304">
        <v>3677.7218759999996</v>
      </c>
      <c r="H101" s="304">
        <v>564.09433899999999</v>
      </c>
      <c r="I101" s="304">
        <v>216</v>
      </c>
      <c r="J101" s="304">
        <v>13617.949999999999</v>
      </c>
      <c r="K101" s="304">
        <v>2546.0325000000003</v>
      </c>
      <c r="L101" s="304">
        <v>384.5</v>
      </c>
      <c r="M101" s="304">
        <v>4457.8162149999998</v>
      </c>
      <c r="N101" s="304">
        <v>16548.482499999998</v>
      </c>
      <c r="O101" s="304">
        <v>16548.482499999998</v>
      </c>
      <c r="P101" s="304">
        <v>21006.298714999997</v>
      </c>
      <c r="Q101" s="310">
        <v>1.3423919421631145E-3</v>
      </c>
    </row>
    <row r="102" spans="1:17" ht="15" customHeight="1" x14ac:dyDescent="0.25">
      <c r="A102" s="104" t="s">
        <v>386</v>
      </c>
      <c r="B102" s="130" t="str">
        <f>VLOOKUP(A102,'0 Järjestäjätiedot'!A:H,2,FALSE)</f>
        <v>Hevosopisto Oy</v>
      </c>
      <c r="C102" s="309">
        <v>81</v>
      </c>
      <c r="D102" s="309">
        <v>27</v>
      </c>
      <c r="E102" s="309">
        <v>566</v>
      </c>
      <c r="F102" s="309">
        <v>98</v>
      </c>
      <c r="G102" s="304">
        <v>7223.0820839999997</v>
      </c>
      <c r="H102" s="304">
        <v>422.98025299999995</v>
      </c>
      <c r="I102" s="304">
        <v>396</v>
      </c>
      <c r="J102" s="304">
        <v>10850.5</v>
      </c>
      <c r="K102" s="304">
        <v>2794.4190000000003</v>
      </c>
      <c r="L102" s="304">
        <v>462.5</v>
      </c>
      <c r="M102" s="304">
        <v>8042.0623369999994</v>
      </c>
      <c r="N102" s="304">
        <v>14107.419</v>
      </c>
      <c r="O102" s="304">
        <v>14107.419</v>
      </c>
      <c r="P102" s="304">
        <v>22149.481336999997</v>
      </c>
      <c r="Q102" s="310">
        <v>1.4154461798950519E-3</v>
      </c>
    </row>
    <row r="103" spans="1:17" ht="15" customHeight="1" x14ac:dyDescent="0.25">
      <c r="A103" s="104" t="s">
        <v>376</v>
      </c>
      <c r="B103" s="130" t="str">
        <f>VLOOKUP(A103,'0 Järjestäjätiedot'!A:H,2,FALSE)</f>
        <v>Jyväskylän Talouskouluyhdistys r.y.</v>
      </c>
      <c r="C103" s="309">
        <v>49</v>
      </c>
      <c r="D103" s="309"/>
      <c r="E103" s="309">
        <v>634</v>
      </c>
      <c r="F103" s="309"/>
      <c r="G103" s="304">
        <v>3230.7660000000001</v>
      </c>
      <c r="H103" s="304"/>
      <c r="I103" s="304">
        <v>432</v>
      </c>
      <c r="J103" s="304">
        <v>9773.98</v>
      </c>
      <c r="K103" s="304"/>
      <c r="L103" s="304">
        <v>757</v>
      </c>
      <c r="M103" s="304">
        <v>3662.7660000000001</v>
      </c>
      <c r="N103" s="304">
        <v>10530.98</v>
      </c>
      <c r="O103" s="304">
        <v>10530.98</v>
      </c>
      <c r="P103" s="304">
        <v>14193.745999999999</v>
      </c>
      <c r="Q103" s="310">
        <v>9.0704081275890479E-4</v>
      </c>
    </row>
    <row r="104" spans="1:17" ht="15" customHeight="1" x14ac:dyDescent="0.25">
      <c r="A104" s="104" t="s">
        <v>297</v>
      </c>
      <c r="B104" s="130" t="str">
        <f>VLOOKUP(A104,'0 Järjestäjätiedot'!A:H,2,FALSE)</f>
        <v>Rovaniemen Koulutuskuntayhtymä</v>
      </c>
      <c r="C104" s="309">
        <v>1024</v>
      </c>
      <c r="D104" s="309">
        <v>382</v>
      </c>
      <c r="E104" s="309">
        <v>8302</v>
      </c>
      <c r="F104" s="309">
        <v>1047</v>
      </c>
      <c r="G104" s="304">
        <v>63994.259573999989</v>
      </c>
      <c r="H104" s="304">
        <v>5535.1222610000013</v>
      </c>
      <c r="I104" s="304">
        <v>468</v>
      </c>
      <c r="J104" s="304">
        <v>182664.85</v>
      </c>
      <c r="K104" s="304">
        <v>26618.606099999994</v>
      </c>
      <c r="L104" s="304">
        <v>3796.75</v>
      </c>
      <c r="M104" s="304">
        <v>69997.381834999993</v>
      </c>
      <c r="N104" s="304">
        <v>213080.20610000001</v>
      </c>
      <c r="O104" s="304">
        <v>213080.20610000001</v>
      </c>
      <c r="P104" s="304">
        <v>283077.58793500002</v>
      </c>
      <c r="Q104" s="310">
        <v>1.8089863340825796E-2</v>
      </c>
    </row>
    <row r="105" spans="1:17" ht="15" customHeight="1" x14ac:dyDescent="0.25">
      <c r="A105" s="104" t="s">
        <v>280</v>
      </c>
      <c r="B105" s="130" t="str">
        <f>VLOOKUP(A105,'0 Järjestäjätiedot'!A:H,2,FALSE)</f>
        <v>Suupohjan Koulutuskuntayhtymä</v>
      </c>
      <c r="C105" s="309">
        <v>159</v>
      </c>
      <c r="D105" s="309">
        <v>46</v>
      </c>
      <c r="E105" s="309">
        <v>1707</v>
      </c>
      <c r="F105" s="309">
        <v>133</v>
      </c>
      <c r="G105" s="304">
        <v>11100.541193999996</v>
      </c>
      <c r="H105" s="304">
        <v>469.20869999999991</v>
      </c>
      <c r="I105" s="304">
        <v>612</v>
      </c>
      <c r="J105" s="304">
        <v>33104.689999999988</v>
      </c>
      <c r="K105" s="304">
        <v>3031.789499999999</v>
      </c>
      <c r="L105" s="304">
        <v>1721.5</v>
      </c>
      <c r="M105" s="304">
        <v>12181.749893999995</v>
      </c>
      <c r="N105" s="304">
        <v>37857.979499999987</v>
      </c>
      <c r="O105" s="304">
        <v>37857.979499999987</v>
      </c>
      <c r="P105" s="304">
        <v>50039.72939399998</v>
      </c>
      <c r="Q105" s="310">
        <v>3.1977517999666476E-3</v>
      </c>
    </row>
    <row r="106" spans="1:17" ht="15" customHeight="1" x14ac:dyDescent="0.25">
      <c r="A106" s="104" t="s">
        <v>278</v>
      </c>
      <c r="B106" s="130" t="str">
        <f>VLOOKUP(A106,'0 Järjestäjätiedot'!A:H,2,FALSE)</f>
        <v>Svenska Österbottens förbund för Utbildning och Kultur</v>
      </c>
      <c r="C106" s="309">
        <v>513</v>
      </c>
      <c r="D106" s="309">
        <v>169</v>
      </c>
      <c r="E106" s="309">
        <v>5141</v>
      </c>
      <c r="F106" s="309">
        <v>601</v>
      </c>
      <c r="G106" s="304">
        <v>32495.727780000001</v>
      </c>
      <c r="H106" s="304">
        <v>2656.5610859999997</v>
      </c>
      <c r="I106" s="304">
        <v>2304</v>
      </c>
      <c r="J106" s="304">
        <v>96761.739999999962</v>
      </c>
      <c r="K106" s="304">
        <v>13249.210499999999</v>
      </c>
      <c r="L106" s="304">
        <v>6466.5</v>
      </c>
      <c r="M106" s="304">
        <v>37456.288866000003</v>
      </c>
      <c r="N106" s="304">
        <v>116477.45049999996</v>
      </c>
      <c r="O106" s="304">
        <v>116477.45049999996</v>
      </c>
      <c r="P106" s="304">
        <v>153933.73936599997</v>
      </c>
      <c r="Q106" s="310">
        <v>9.8370214646333696E-3</v>
      </c>
    </row>
    <row r="107" spans="1:17" ht="15" customHeight="1" x14ac:dyDescent="0.25">
      <c r="A107" s="104" t="s">
        <v>319</v>
      </c>
      <c r="B107" s="130" t="str">
        <f>VLOOKUP(A107,'0 Järjestäjätiedot'!A:H,2,FALSE)</f>
        <v>Oulun seudun koulutuskuntayhtymä (OSEKK)</v>
      </c>
      <c r="C107" s="309">
        <v>2478</v>
      </c>
      <c r="D107" s="309">
        <v>796</v>
      </c>
      <c r="E107" s="309">
        <v>20749</v>
      </c>
      <c r="F107" s="309">
        <v>2812</v>
      </c>
      <c r="G107" s="304">
        <v>148398.21140400009</v>
      </c>
      <c r="H107" s="304">
        <v>10768.309150000005</v>
      </c>
      <c r="I107" s="304">
        <v>10476</v>
      </c>
      <c r="J107" s="304">
        <v>363122.72999999975</v>
      </c>
      <c r="K107" s="304">
        <v>56636.999742926833</v>
      </c>
      <c r="L107" s="304">
        <v>24962.75</v>
      </c>
      <c r="M107" s="304">
        <v>169642.5205540001</v>
      </c>
      <c r="N107" s="304">
        <v>444722.4797429266</v>
      </c>
      <c r="O107" s="304">
        <v>444722.4797429266</v>
      </c>
      <c r="P107" s="304">
        <v>614365.00029692671</v>
      </c>
      <c r="Q107" s="310">
        <v>3.9260539761663285E-2</v>
      </c>
    </row>
    <row r="108" spans="1:17" ht="15" customHeight="1" x14ac:dyDescent="0.25">
      <c r="A108" s="104" t="s">
        <v>352</v>
      </c>
      <c r="B108" s="130" t="str">
        <f>VLOOKUP(A108,'0 Järjestäjätiedot'!A:H,2,FALSE)</f>
        <v>Koulutuskeskus Salpaus -kuntayhtymä</v>
      </c>
      <c r="C108" s="309">
        <v>2079</v>
      </c>
      <c r="D108" s="309">
        <v>722</v>
      </c>
      <c r="E108" s="309">
        <v>17302</v>
      </c>
      <c r="F108" s="309">
        <v>2299</v>
      </c>
      <c r="G108" s="304">
        <v>120276.66531600004</v>
      </c>
      <c r="H108" s="304">
        <v>8879.2818049999842</v>
      </c>
      <c r="I108" s="304">
        <v>11536.560000000001</v>
      </c>
      <c r="J108" s="304">
        <v>322835.80000000016</v>
      </c>
      <c r="K108" s="304">
        <v>56898.211628572943</v>
      </c>
      <c r="L108" s="304">
        <v>28330.85</v>
      </c>
      <c r="M108" s="304">
        <v>140692.50712100003</v>
      </c>
      <c r="N108" s="304">
        <v>408064.8616285731</v>
      </c>
      <c r="O108" s="304">
        <v>408064.8616285731</v>
      </c>
      <c r="P108" s="304">
        <v>548757.36874957313</v>
      </c>
      <c r="Q108" s="310">
        <v>3.5067932718963045E-2</v>
      </c>
    </row>
    <row r="109" spans="1:17" ht="15" customHeight="1" x14ac:dyDescent="0.25">
      <c r="A109" s="104" t="s">
        <v>290</v>
      </c>
      <c r="B109" s="130" t="str">
        <f>VLOOKUP(A109,'0 Järjestäjätiedot'!A:H,2,FALSE)</f>
        <v>Seinäjoen koulutuskuntayhtymä</v>
      </c>
      <c r="C109" s="309">
        <v>1431</v>
      </c>
      <c r="D109" s="309">
        <v>702</v>
      </c>
      <c r="E109" s="309">
        <v>12468</v>
      </c>
      <c r="F109" s="309">
        <v>2464</v>
      </c>
      <c r="G109" s="304">
        <v>87056.153208000032</v>
      </c>
      <c r="H109" s="304">
        <v>10877.497506000012</v>
      </c>
      <c r="I109" s="304">
        <v>6552</v>
      </c>
      <c r="J109" s="304">
        <v>246852.08000000019</v>
      </c>
      <c r="K109" s="304">
        <v>59776.722900005363</v>
      </c>
      <c r="L109" s="304">
        <v>15822</v>
      </c>
      <c r="M109" s="304">
        <v>104485.65071400005</v>
      </c>
      <c r="N109" s="304">
        <v>322450.80290000554</v>
      </c>
      <c r="O109" s="304">
        <v>322450.80290000554</v>
      </c>
      <c r="P109" s="304">
        <v>426936.45361400559</v>
      </c>
      <c r="Q109" s="310">
        <v>2.7283057473513485E-2</v>
      </c>
    </row>
    <row r="110" spans="1:17" ht="15" customHeight="1" x14ac:dyDescent="0.25">
      <c r="A110" s="104" t="s">
        <v>270</v>
      </c>
      <c r="B110" s="130" t="str">
        <f>VLOOKUP(A110,'0 Järjestäjätiedot'!A:H,2,FALSE)</f>
        <v>Toyota Auto Finland Oy</v>
      </c>
      <c r="C110" s="309"/>
      <c r="D110" s="309">
        <v>25</v>
      </c>
      <c r="E110" s="309"/>
      <c r="F110" s="309">
        <v>108</v>
      </c>
      <c r="G110" s="304"/>
      <c r="H110" s="304">
        <v>383.93506100000002</v>
      </c>
      <c r="I110" s="304"/>
      <c r="J110" s="304"/>
      <c r="K110" s="304">
        <v>1881.2574000000002</v>
      </c>
      <c r="L110" s="304"/>
      <c r="M110" s="304">
        <v>383.93506100000002</v>
      </c>
      <c r="N110" s="304">
        <v>1881.2574000000002</v>
      </c>
      <c r="O110" s="304">
        <v>1881.2574000000002</v>
      </c>
      <c r="P110" s="304">
        <v>2265.1924610000001</v>
      </c>
      <c r="Q110" s="310">
        <v>1.4475544446693523E-4</v>
      </c>
    </row>
    <row r="111" spans="1:17" ht="15" customHeight="1" x14ac:dyDescent="0.25">
      <c r="A111" s="104" t="s">
        <v>400</v>
      </c>
      <c r="B111" s="130" t="str">
        <f>VLOOKUP(A111,'0 Järjestäjätiedot'!A:H,2,FALSE)</f>
        <v>Etelä-Karjalan Koulutuskuntayhtymä</v>
      </c>
      <c r="C111" s="309">
        <v>1037</v>
      </c>
      <c r="D111" s="309">
        <v>305</v>
      </c>
      <c r="E111" s="309">
        <v>9376</v>
      </c>
      <c r="F111" s="309">
        <v>1366</v>
      </c>
      <c r="G111" s="304">
        <v>58526.400996000011</v>
      </c>
      <c r="H111" s="304">
        <v>4814.8930109999983</v>
      </c>
      <c r="I111" s="304">
        <v>3852</v>
      </c>
      <c r="J111" s="304">
        <v>168441.37000000005</v>
      </c>
      <c r="K111" s="304">
        <v>28000.449513906904</v>
      </c>
      <c r="L111" s="304">
        <v>9684.75</v>
      </c>
      <c r="M111" s="304">
        <v>67193.294007000019</v>
      </c>
      <c r="N111" s="304">
        <v>206126.56951390696</v>
      </c>
      <c r="O111" s="304">
        <v>206126.56951390696</v>
      </c>
      <c r="P111" s="304">
        <v>273319.86352090701</v>
      </c>
      <c r="Q111" s="310">
        <v>1.7466303197982862E-2</v>
      </c>
    </row>
    <row r="112" spans="1:17" ht="15" customHeight="1" x14ac:dyDescent="0.25">
      <c r="A112" s="104" t="s">
        <v>253</v>
      </c>
      <c r="B112" s="130" t="str">
        <f>VLOOKUP(A112,'0 Järjestäjätiedot'!A:H,2,FALSE)</f>
        <v>Valtakunnallinen valmennus- ja liikuntakeskus Oy</v>
      </c>
      <c r="C112" s="309">
        <v>66</v>
      </c>
      <c r="D112" s="309">
        <v>24</v>
      </c>
      <c r="E112" s="309">
        <v>511</v>
      </c>
      <c r="F112" s="309">
        <v>90</v>
      </c>
      <c r="G112" s="304">
        <v>6819.7302899999995</v>
      </c>
      <c r="H112" s="304">
        <v>404.1576</v>
      </c>
      <c r="I112" s="304"/>
      <c r="J112" s="304">
        <v>17151.3</v>
      </c>
      <c r="K112" s="304">
        <v>2455.1505000000002</v>
      </c>
      <c r="L112" s="304"/>
      <c r="M112" s="304">
        <v>7223.88789</v>
      </c>
      <c r="N112" s="304">
        <v>19606.450499999999</v>
      </c>
      <c r="O112" s="304">
        <v>19606.450499999999</v>
      </c>
      <c r="P112" s="304">
        <v>26830.338389999997</v>
      </c>
      <c r="Q112" s="310">
        <v>1.7145728787778818E-3</v>
      </c>
    </row>
    <row r="113" spans="1:17" ht="15" customHeight="1" x14ac:dyDescent="0.25">
      <c r="A113" s="104" t="s">
        <v>391</v>
      </c>
      <c r="B113" s="130" t="str">
        <f>VLOOKUP(A113,'0 Järjestäjätiedot'!A:H,2,FALSE)</f>
        <v>Harjun Oppimiskeskus Oy</v>
      </c>
      <c r="C113" s="309">
        <v>62</v>
      </c>
      <c r="D113" s="309">
        <v>12</v>
      </c>
      <c r="E113" s="309">
        <v>496</v>
      </c>
      <c r="F113" s="309">
        <v>55</v>
      </c>
      <c r="G113" s="304">
        <v>3882.7560419999995</v>
      </c>
      <c r="H113" s="304">
        <v>286.93414699999994</v>
      </c>
      <c r="I113" s="304">
        <v>144</v>
      </c>
      <c r="J113" s="304">
        <v>13897.229999999998</v>
      </c>
      <c r="K113" s="304">
        <v>1121.4045000000001</v>
      </c>
      <c r="L113" s="304">
        <v>332.5</v>
      </c>
      <c r="M113" s="304">
        <v>4313.690188999999</v>
      </c>
      <c r="N113" s="304">
        <v>15351.134499999998</v>
      </c>
      <c r="O113" s="304">
        <v>15351.134499999998</v>
      </c>
      <c r="P113" s="304">
        <v>19664.824688999997</v>
      </c>
      <c r="Q113" s="310">
        <v>1.2566660393015302E-3</v>
      </c>
    </row>
    <row r="114" spans="1:17" ht="15" customHeight="1" x14ac:dyDescent="0.25">
      <c r="A114" s="104" t="s">
        <v>269</v>
      </c>
      <c r="B114" s="130" t="str">
        <f>VLOOKUP(A114,'0 Järjestäjätiedot'!A:H,2,FALSE)</f>
        <v>Traffica Oy</v>
      </c>
      <c r="C114" s="309"/>
      <c r="D114" s="309"/>
      <c r="E114" s="309">
        <v>8</v>
      </c>
      <c r="F114" s="309"/>
      <c r="G114" s="304"/>
      <c r="H114" s="304"/>
      <c r="I114" s="304"/>
      <c r="J114" s="304">
        <v>282.39999999999998</v>
      </c>
      <c r="K114" s="304"/>
      <c r="L114" s="304"/>
      <c r="M114" s="304"/>
      <c r="N114" s="304">
        <v>282.39999999999998</v>
      </c>
      <c r="O114" s="304">
        <v>282.39999999999998</v>
      </c>
      <c r="P114" s="304">
        <v>282.39999999999998</v>
      </c>
      <c r="Q114" s="310">
        <v>1.8046562586304893E-5</v>
      </c>
    </row>
    <row r="115" spans="1:17" ht="15" customHeight="1" x14ac:dyDescent="0.25">
      <c r="A115" s="104" t="s">
        <v>377</v>
      </c>
      <c r="B115" s="130" t="str">
        <f>VLOOKUP(A115,'0 Järjestäjätiedot'!A:H,2,FALSE)</f>
        <v>Jyväskylän kristillisen opiston säätiö sr</v>
      </c>
      <c r="C115" s="309">
        <v>70</v>
      </c>
      <c r="D115" s="309">
        <v>50</v>
      </c>
      <c r="E115" s="309">
        <v>384</v>
      </c>
      <c r="F115" s="309">
        <v>201</v>
      </c>
      <c r="G115" s="304">
        <v>2806.6462200000001</v>
      </c>
      <c r="H115" s="304">
        <v>815.84548900000004</v>
      </c>
      <c r="I115" s="304">
        <v>252</v>
      </c>
      <c r="J115" s="304">
        <v>8499.27</v>
      </c>
      <c r="K115" s="304">
        <v>3981.4335000000005</v>
      </c>
      <c r="L115" s="304">
        <v>520.75</v>
      </c>
      <c r="M115" s="304">
        <v>3874.4917089999999</v>
      </c>
      <c r="N115" s="304">
        <v>13001.453500000001</v>
      </c>
      <c r="O115" s="304">
        <v>13001.453500000001</v>
      </c>
      <c r="P115" s="304">
        <v>16875.945209000001</v>
      </c>
      <c r="Q115" s="310">
        <v>1.0784447642254629E-3</v>
      </c>
    </row>
    <row r="116" spans="1:17" ht="15" customHeight="1" x14ac:dyDescent="0.25">
      <c r="A116" s="104" t="s">
        <v>373</v>
      </c>
      <c r="B116" s="130" t="str">
        <f>VLOOKUP(A116,'0 Järjestäjätiedot'!A:H,2,FALSE)</f>
        <v>Jollas-Opisto Oy</v>
      </c>
      <c r="C116" s="309"/>
      <c r="D116" s="309">
        <v>224</v>
      </c>
      <c r="E116" s="309"/>
      <c r="F116" s="309">
        <v>747</v>
      </c>
      <c r="G116" s="304"/>
      <c r="H116" s="304">
        <v>2797.1671580000002</v>
      </c>
      <c r="I116" s="304"/>
      <c r="J116" s="304"/>
      <c r="K116" s="304">
        <v>15173.675999999999</v>
      </c>
      <c r="L116" s="304"/>
      <c r="M116" s="304">
        <v>2797.1671580000002</v>
      </c>
      <c r="N116" s="304">
        <v>15173.675999999999</v>
      </c>
      <c r="O116" s="304">
        <v>7527.3896611726559</v>
      </c>
      <c r="P116" s="304">
        <v>10324.556819172656</v>
      </c>
      <c r="Q116" s="310">
        <v>6.5978314735502949E-4</v>
      </c>
    </row>
    <row r="117" spans="1:17" ht="15" customHeight="1" x14ac:dyDescent="0.25">
      <c r="A117" s="104" t="s">
        <v>279</v>
      </c>
      <c r="B117" s="130" t="str">
        <f>VLOOKUP(A117,'0 Järjestäjätiedot'!A:H,2,FALSE)</f>
        <v>Svenska Framtidsskolan i Helsingforsregionen Ab</v>
      </c>
      <c r="C117" s="309">
        <v>348</v>
      </c>
      <c r="D117" s="309">
        <v>29</v>
      </c>
      <c r="E117" s="309">
        <v>4178</v>
      </c>
      <c r="F117" s="309">
        <v>115</v>
      </c>
      <c r="G117" s="304">
        <v>21693.100373999994</v>
      </c>
      <c r="H117" s="304">
        <v>462.08808999999997</v>
      </c>
      <c r="I117" s="304">
        <v>1620</v>
      </c>
      <c r="J117" s="304">
        <v>58003.479999999989</v>
      </c>
      <c r="K117" s="304">
        <v>2251.395</v>
      </c>
      <c r="L117" s="304">
        <v>3621.25</v>
      </c>
      <c r="M117" s="304">
        <v>23775.188463999995</v>
      </c>
      <c r="N117" s="304">
        <v>63876.124999999985</v>
      </c>
      <c r="O117" s="304">
        <v>63876.124999999985</v>
      </c>
      <c r="P117" s="304">
        <v>87651.313463999977</v>
      </c>
      <c r="Q117" s="310">
        <v>5.6012921890931456E-3</v>
      </c>
    </row>
    <row r="118" spans="1:17" ht="15" customHeight="1" x14ac:dyDescent="0.25">
      <c r="A118" s="104" t="s">
        <v>390</v>
      </c>
      <c r="B118" s="130" t="str">
        <f>VLOOKUP(A118,'0 Järjestäjätiedot'!A:H,2,FALSE)</f>
        <v>HAUS Kehittämiskeskus Oy</v>
      </c>
      <c r="C118" s="309"/>
      <c r="D118" s="309">
        <v>4</v>
      </c>
      <c r="E118" s="309"/>
      <c r="F118" s="309">
        <v>7</v>
      </c>
      <c r="G118" s="304"/>
      <c r="H118" s="304">
        <v>33.496559000000005</v>
      </c>
      <c r="I118" s="304"/>
      <c r="J118" s="304"/>
      <c r="K118" s="304">
        <v>226.79999999999995</v>
      </c>
      <c r="L118" s="304"/>
      <c r="M118" s="304">
        <v>33.496559000000005</v>
      </c>
      <c r="N118" s="304">
        <v>226.79999999999995</v>
      </c>
      <c r="O118" s="304">
        <v>226.79999999999995</v>
      </c>
      <c r="P118" s="304">
        <v>260.29655899999995</v>
      </c>
      <c r="Q118" s="310">
        <v>1.6634058580004614E-5</v>
      </c>
    </row>
    <row r="119" spans="1:17" ht="15" customHeight="1" x14ac:dyDescent="0.25">
      <c r="A119" s="104" t="s">
        <v>371</v>
      </c>
      <c r="B119" s="130" t="str">
        <f>VLOOKUP(A119,'0 Järjestäjätiedot'!A:H,2,FALSE)</f>
        <v>Järviseudun Koulutuskuntayhtymä</v>
      </c>
      <c r="C119" s="309">
        <v>167</v>
      </c>
      <c r="D119" s="309">
        <v>100</v>
      </c>
      <c r="E119" s="309">
        <v>2039</v>
      </c>
      <c r="F119" s="309">
        <v>345</v>
      </c>
      <c r="G119" s="304">
        <v>10441.443978000003</v>
      </c>
      <c r="H119" s="304">
        <v>1447.0225169999999</v>
      </c>
      <c r="I119" s="304">
        <v>396</v>
      </c>
      <c r="J119" s="304">
        <v>40161.750000000015</v>
      </c>
      <c r="K119" s="304">
        <v>8660.7495000000035</v>
      </c>
      <c r="L119" s="304">
        <v>1404.5</v>
      </c>
      <c r="M119" s="304">
        <v>12284.466495000002</v>
      </c>
      <c r="N119" s="304">
        <v>50226.99950000002</v>
      </c>
      <c r="O119" s="304">
        <v>50226.99950000002</v>
      </c>
      <c r="P119" s="304">
        <v>62511.46599500002</v>
      </c>
      <c r="Q119" s="310">
        <v>3.9947488790383779E-3</v>
      </c>
    </row>
    <row r="120" spans="1:17" ht="15" customHeight="1" x14ac:dyDescent="0.25">
      <c r="A120" s="104" t="s">
        <v>291</v>
      </c>
      <c r="B120" s="130" t="str">
        <f>VLOOKUP(A120,'0 Järjestäjätiedot'!A:H,2,FALSE)</f>
        <v>Savon Koulutuskuntayhtymä</v>
      </c>
      <c r="C120" s="309">
        <v>1888</v>
      </c>
      <c r="D120" s="309">
        <v>753</v>
      </c>
      <c r="E120" s="309">
        <v>17429</v>
      </c>
      <c r="F120" s="309">
        <v>2887</v>
      </c>
      <c r="G120" s="304">
        <v>104385.05063999999</v>
      </c>
      <c r="H120" s="304">
        <v>8892.5659709999982</v>
      </c>
      <c r="I120" s="304">
        <v>8928</v>
      </c>
      <c r="J120" s="304">
        <v>316818.54000000021</v>
      </c>
      <c r="K120" s="304">
        <v>60659.533800074882</v>
      </c>
      <c r="L120" s="304">
        <v>20401</v>
      </c>
      <c r="M120" s="304">
        <v>122205.61661099999</v>
      </c>
      <c r="N120" s="304">
        <v>397879.0738000751</v>
      </c>
      <c r="O120" s="304">
        <v>397879.0738000751</v>
      </c>
      <c r="P120" s="304">
        <v>520084.69041107508</v>
      </c>
      <c r="Q120" s="310">
        <v>3.3235626471963424E-2</v>
      </c>
    </row>
    <row r="121" spans="1:17" ht="15" customHeight="1" x14ac:dyDescent="0.25">
      <c r="A121" s="104" t="s">
        <v>356</v>
      </c>
      <c r="B121" s="130" t="str">
        <f>VLOOKUP(A121,'0 Järjestäjätiedot'!A:H,2,FALSE)</f>
        <v>KONE Hissit Oy</v>
      </c>
      <c r="C121" s="309"/>
      <c r="D121" s="309">
        <v>20</v>
      </c>
      <c r="E121" s="309"/>
      <c r="F121" s="309">
        <v>40</v>
      </c>
      <c r="G121" s="304"/>
      <c r="H121" s="304">
        <v>221.3244</v>
      </c>
      <c r="I121" s="304"/>
      <c r="J121" s="304"/>
      <c r="K121" s="304">
        <v>1603.8000000000002</v>
      </c>
      <c r="L121" s="304"/>
      <c r="M121" s="304">
        <v>221.3244</v>
      </c>
      <c r="N121" s="304">
        <v>1603.8000000000002</v>
      </c>
      <c r="O121" s="304">
        <v>1603.8000000000002</v>
      </c>
      <c r="P121" s="304">
        <v>1825.1244000000002</v>
      </c>
      <c r="Q121" s="310">
        <v>1.1663322136116207E-4</v>
      </c>
    </row>
    <row r="122" spans="1:17" ht="15" customHeight="1" x14ac:dyDescent="0.25">
      <c r="A122" s="104" t="s">
        <v>348</v>
      </c>
      <c r="B122" s="130" t="str">
        <f>VLOOKUP(A122,'0 Järjestäjätiedot'!A:H,2,FALSE)</f>
        <v>Keski-Pohjanmaan Konservatorion Kannatusyhdistys ry</v>
      </c>
      <c r="C122" s="309">
        <v>25</v>
      </c>
      <c r="D122" s="309"/>
      <c r="E122" s="309">
        <v>175</v>
      </c>
      <c r="F122" s="309"/>
      <c r="G122" s="304">
        <v>2432.6999999999998</v>
      </c>
      <c r="H122" s="304"/>
      <c r="I122" s="304"/>
      <c r="J122" s="304">
        <v>5654.5199999999995</v>
      </c>
      <c r="K122" s="304"/>
      <c r="L122" s="304"/>
      <c r="M122" s="304">
        <v>2432.6999999999998</v>
      </c>
      <c r="N122" s="304">
        <v>5654.5199999999995</v>
      </c>
      <c r="O122" s="304">
        <v>5654.5199999999995</v>
      </c>
      <c r="P122" s="304">
        <v>8087.2199999999993</v>
      </c>
      <c r="Q122" s="310">
        <v>5.168077970227219E-4</v>
      </c>
    </row>
    <row r="123" spans="1:17" ht="15" customHeight="1" x14ac:dyDescent="0.25">
      <c r="A123" s="104" t="s">
        <v>353</v>
      </c>
      <c r="B123" s="130" t="str">
        <f>VLOOKUP(A123,'0 Järjestäjätiedot'!A:H,2,FALSE)</f>
        <v>Kotkan-Haminan seudun koulutuskuntayhtymä</v>
      </c>
      <c r="C123" s="309">
        <v>748</v>
      </c>
      <c r="D123" s="309">
        <v>223</v>
      </c>
      <c r="E123" s="309">
        <v>6463</v>
      </c>
      <c r="F123" s="309">
        <v>933</v>
      </c>
      <c r="G123" s="304">
        <v>46182.492413999978</v>
      </c>
      <c r="H123" s="304">
        <v>3903.4750979999994</v>
      </c>
      <c r="I123" s="304">
        <v>6012</v>
      </c>
      <c r="J123" s="304">
        <v>123683.31</v>
      </c>
      <c r="K123" s="304">
        <v>18814.342114302508</v>
      </c>
      <c r="L123" s="304">
        <v>13352</v>
      </c>
      <c r="M123" s="304">
        <v>56097.967511999981</v>
      </c>
      <c r="N123" s="304">
        <v>155849.6521143025</v>
      </c>
      <c r="O123" s="304">
        <v>155849.6521143025</v>
      </c>
      <c r="P123" s="304">
        <v>211947.61962630248</v>
      </c>
      <c r="Q123" s="310">
        <v>1.354435546248021E-2</v>
      </c>
    </row>
    <row r="124" spans="1:17" ht="15" customHeight="1" x14ac:dyDescent="0.25">
      <c r="A124" s="104" t="s">
        <v>404</v>
      </c>
      <c r="B124" s="130" t="str">
        <f>VLOOKUP(A124,'0 Järjestäjätiedot'!A:H,2,FALSE)</f>
        <v>Axxell Utbildning Ab</v>
      </c>
      <c r="C124" s="309">
        <v>478</v>
      </c>
      <c r="D124" s="309">
        <v>215</v>
      </c>
      <c r="E124" s="309">
        <v>4103</v>
      </c>
      <c r="F124" s="309">
        <v>669</v>
      </c>
      <c r="G124" s="304">
        <v>27084.468023999991</v>
      </c>
      <c r="H124" s="304">
        <v>3165.4000369999999</v>
      </c>
      <c r="I124" s="304">
        <v>1548</v>
      </c>
      <c r="J124" s="304">
        <v>82832.200000000012</v>
      </c>
      <c r="K124" s="304">
        <v>18105.592500000006</v>
      </c>
      <c r="L124" s="304">
        <v>4154.5</v>
      </c>
      <c r="M124" s="304">
        <v>31797.86806099999</v>
      </c>
      <c r="N124" s="304">
        <v>105092.29250000001</v>
      </c>
      <c r="O124" s="304">
        <v>105092.29250000001</v>
      </c>
      <c r="P124" s="304">
        <v>136890.160561</v>
      </c>
      <c r="Q124" s="310">
        <v>8.7478641997642079E-3</v>
      </c>
    </row>
    <row r="125" spans="1:17" ht="15" customHeight="1" x14ac:dyDescent="0.25">
      <c r="A125" s="104" t="s">
        <v>362</v>
      </c>
      <c r="B125" s="130" t="str">
        <f>VLOOKUP(A125,'0 Järjestäjätiedot'!A:H,2,FALSE)</f>
        <v>Kemi-Tornionlaakson koulutuskuntayhtymä Lappia</v>
      </c>
      <c r="C125" s="309">
        <v>725</v>
      </c>
      <c r="D125" s="309">
        <v>317</v>
      </c>
      <c r="E125" s="309">
        <v>6395</v>
      </c>
      <c r="F125" s="309">
        <v>1244</v>
      </c>
      <c r="G125" s="304">
        <v>42119.348112000051</v>
      </c>
      <c r="H125" s="304">
        <v>4000.8423650000032</v>
      </c>
      <c r="I125" s="304">
        <v>1152</v>
      </c>
      <c r="J125" s="304">
        <v>124668.07999999997</v>
      </c>
      <c r="K125" s="304">
        <v>27511.129285692139</v>
      </c>
      <c r="L125" s="304">
        <v>3609</v>
      </c>
      <c r="M125" s="304">
        <v>47272.190477000055</v>
      </c>
      <c r="N125" s="304">
        <v>155788.20928569211</v>
      </c>
      <c r="O125" s="304">
        <v>155788.20928569211</v>
      </c>
      <c r="P125" s="304">
        <v>203060.39976269216</v>
      </c>
      <c r="Q125" s="310">
        <v>1.2976424267413298E-2</v>
      </c>
    </row>
    <row r="126" spans="1:17" ht="15" customHeight="1" x14ac:dyDescent="0.25">
      <c r="A126" s="104" t="s">
        <v>388</v>
      </c>
      <c r="B126" s="130" t="str">
        <f>VLOOKUP(A126,'0 Järjestäjätiedot'!A:H,2,FALSE)</f>
        <v>Helsinki Business College Oy</v>
      </c>
      <c r="C126" s="309">
        <v>646</v>
      </c>
      <c r="D126" s="309">
        <v>133</v>
      </c>
      <c r="E126" s="309">
        <v>7837</v>
      </c>
      <c r="F126" s="309">
        <v>392</v>
      </c>
      <c r="G126" s="304">
        <v>29822.986511999999</v>
      </c>
      <c r="H126" s="304">
        <v>1360.2051269999999</v>
      </c>
      <c r="I126" s="304">
        <v>756</v>
      </c>
      <c r="J126" s="304">
        <v>83030.349999999991</v>
      </c>
      <c r="K126" s="304">
        <v>8109.99</v>
      </c>
      <c r="L126" s="304">
        <v>2208.75</v>
      </c>
      <c r="M126" s="304">
        <v>31939.191639000001</v>
      </c>
      <c r="N126" s="304">
        <v>93349.09</v>
      </c>
      <c r="O126" s="304">
        <v>93349.09</v>
      </c>
      <c r="P126" s="304">
        <v>125288.28163899999</v>
      </c>
      <c r="Q126" s="310">
        <v>8.0064547306260888E-3</v>
      </c>
    </row>
    <row r="127" spans="1:17" ht="15" customHeight="1" x14ac:dyDescent="0.25">
      <c r="A127" s="104" t="s">
        <v>402</v>
      </c>
      <c r="B127" s="130" t="str">
        <f>VLOOKUP(A127,'0 Järjestäjätiedot'!A:H,2,FALSE)</f>
        <v>Cimson Koulutuspalvelut Oy</v>
      </c>
      <c r="C127" s="309"/>
      <c r="D127" s="309">
        <v>13</v>
      </c>
      <c r="E127" s="309"/>
      <c r="F127" s="309">
        <v>39</v>
      </c>
      <c r="G127" s="304"/>
      <c r="H127" s="304">
        <v>149.68785399999999</v>
      </c>
      <c r="I127" s="304"/>
      <c r="J127" s="304"/>
      <c r="K127" s="304">
        <v>737.1</v>
      </c>
      <c r="L127" s="304"/>
      <c r="M127" s="304">
        <v>149.68785399999999</v>
      </c>
      <c r="N127" s="304">
        <v>737.1</v>
      </c>
      <c r="O127" s="304">
        <v>544.32000000000005</v>
      </c>
      <c r="P127" s="304">
        <v>694.00785400000007</v>
      </c>
      <c r="Q127" s="310">
        <v>4.4350057268407045E-5</v>
      </c>
    </row>
    <row r="128" spans="1:17" ht="15" customHeight="1" x14ac:dyDescent="0.25">
      <c r="A128" s="104" t="s">
        <v>331</v>
      </c>
      <c r="B128" s="130" t="str">
        <f>VLOOKUP(A128,'0 Järjestäjätiedot'!A:H,2,FALSE)</f>
        <v>Länsirannikon Koulutus Oy</v>
      </c>
      <c r="C128" s="309">
        <v>1236</v>
      </c>
      <c r="D128" s="309">
        <v>633</v>
      </c>
      <c r="E128" s="309">
        <v>10724</v>
      </c>
      <c r="F128" s="309">
        <v>2328</v>
      </c>
      <c r="G128" s="304">
        <v>77929.013826000024</v>
      </c>
      <c r="H128" s="304">
        <v>8101.9931789999919</v>
      </c>
      <c r="I128" s="304">
        <v>5724</v>
      </c>
      <c r="J128" s="304">
        <v>200294.50000000003</v>
      </c>
      <c r="K128" s="304">
        <v>47462.311414170341</v>
      </c>
      <c r="L128" s="304">
        <v>13840.5</v>
      </c>
      <c r="M128" s="304">
        <v>91755.007005000021</v>
      </c>
      <c r="N128" s="304">
        <v>261597.31141417037</v>
      </c>
      <c r="O128" s="304">
        <v>261597.31141417037</v>
      </c>
      <c r="P128" s="304">
        <v>353352.31841917039</v>
      </c>
      <c r="Q128" s="310">
        <v>2.258071788019651E-2</v>
      </c>
    </row>
    <row r="129" spans="1:17" ht="15" customHeight="1" x14ac:dyDescent="0.25">
      <c r="A129" s="104" t="s">
        <v>398</v>
      </c>
      <c r="B129" s="130" t="str">
        <f>VLOOKUP(A129,'0 Järjestäjätiedot'!A:H,2,FALSE)</f>
        <v>Etelä-Savon Koulutus Oy</v>
      </c>
      <c r="C129" s="309">
        <v>917</v>
      </c>
      <c r="D129" s="309">
        <v>303</v>
      </c>
      <c r="E129" s="309">
        <v>7503</v>
      </c>
      <c r="F129" s="309">
        <v>963</v>
      </c>
      <c r="G129" s="304">
        <v>55119.716802000039</v>
      </c>
      <c r="H129" s="304">
        <v>3748.7858329999976</v>
      </c>
      <c r="I129" s="304">
        <v>3384</v>
      </c>
      <c r="J129" s="304">
        <v>154510.71999999997</v>
      </c>
      <c r="K129" s="304">
        <v>21265.958700000003</v>
      </c>
      <c r="L129" s="304">
        <v>9131</v>
      </c>
      <c r="M129" s="304">
        <v>62252.502635000033</v>
      </c>
      <c r="N129" s="304">
        <v>184907.67869999999</v>
      </c>
      <c r="O129" s="304">
        <v>184907.67869999999</v>
      </c>
      <c r="P129" s="304">
        <v>247160.18133500003</v>
      </c>
      <c r="Q129" s="310">
        <v>1.5794588106602496E-2</v>
      </c>
    </row>
    <row r="130" spans="1:17" ht="15" customHeight="1" x14ac:dyDescent="0.25">
      <c r="A130" s="104" t="s">
        <v>383</v>
      </c>
      <c r="B130" s="130" t="str">
        <f>VLOOKUP(A130,'0 Järjestäjätiedot'!A:H,2,FALSE)</f>
        <v>Hyria koulutus Oy</v>
      </c>
      <c r="C130" s="309">
        <v>1046</v>
      </c>
      <c r="D130" s="309">
        <v>364</v>
      </c>
      <c r="E130" s="309">
        <v>9988</v>
      </c>
      <c r="F130" s="309">
        <v>1741</v>
      </c>
      <c r="G130" s="304">
        <v>60199.793765999995</v>
      </c>
      <c r="H130" s="304">
        <v>5371.5367670000078</v>
      </c>
      <c r="I130" s="304">
        <v>4608</v>
      </c>
      <c r="J130" s="304">
        <v>187969.26000000018</v>
      </c>
      <c r="K130" s="304">
        <v>32455.415378578295</v>
      </c>
      <c r="L130" s="304">
        <v>14081.625</v>
      </c>
      <c r="M130" s="304">
        <v>70179.330533</v>
      </c>
      <c r="N130" s="304">
        <v>234506.30037857848</v>
      </c>
      <c r="O130" s="304">
        <v>234506.30037857848</v>
      </c>
      <c r="P130" s="304">
        <v>304685.63091157848</v>
      </c>
      <c r="Q130" s="310">
        <v>1.9470709303801677E-2</v>
      </c>
    </row>
    <row r="131" spans="1:17" ht="15" customHeight="1" x14ac:dyDescent="0.25">
      <c r="A131" s="104" t="s">
        <v>395</v>
      </c>
      <c r="B131" s="130" t="str">
        <f>VLOOKUP(A131,'0 Järjestäjätiedot'!A:H,2,FALSE)</f>
        <v>Folkhälsan Utbildning Ab</v>
      </c>
      <c r="C131" s="309">
        <v>24</v>
      </c>
      <c r="D131" s="309">
        <v>23</v>
      </c>
      <c r="E131" s="309">
        <v>379</v>
      </c>
      <c r="F131" s="309">
        <v>1</v>
      </c>
      <c r="G131" s="304">
        <v>2747.52</v>
      </c>
      <c r="H131" s="304">
        <v>365.66597200000001</v>
      </c>
      <c r="I131" s="304">
        <v>72</v>
      </c>
      <c r="J131" s="304">
        <v>11175.650000000001</v>
      </c>
      <c r="K131" s="304">
        <v>20.047500000000003</v>
      </c>
      <c r="L131" s="304">
        <v>552.5</v>
      </c>
      <c r="M131" s="304">
        <v>3185.1859720000002</v>
      </c>
      <c r="N131" s="304">
        <v>11748.197500000002</v>
      </c>
      <c r="O131" s="304">
        <v>11748.197500000002</v>
      </c>
      <c r="P131" s="304">
        <v>14933.383472000001</v>
      </c>
      <c r="Q131" s="310">
        <v>9.5430679692896285E-4</v>
      </c>
    </row>
    <row r="132" spans="1:17" ht="15" customHeight="1" x14ac:dyDescent="0.25">
      <c r="A132" s="104" t="s">
        <v>325</v>
      </c>
      <c r="B132" s="130" t="str">
        <f>VLOOKUP(A132,'0 Järjestäjätiedot'!A:H,2,FALSE)</f>
        <v>Management Institute of Finland MIF Oy</v>
      </c>
      <c r="C132" s="309"/>
      <c r="D132" s="309">
        <v>105</v>
      </c>
      <c r="E132" s="309"/>
      <c r="F132" s="309">
        <v>284</v>
      </c>
      <c r="G132" s="304"/>
      <c r="H132" s="304">
        <v>925.67639600000007</v>
      </c>
      <c r="I132" s="304"/>
      <c r="J132" s="304"/>
      <c r="K132" s="304">
        <v>6056.2079999999996</v>
      </c>
      <c r="L132" s="304"/>
      <c r="M132" s="304">
        <v>925.67639600000007</v>
      </c>
      <c r="N132" s="304">
        <v>6056.2079999999996</v>
      </c>
      <c r="O132" s="304">
        <v>3669.0036815533986</v>
      </c>
      <c r="P132" s="304">
        <v>4594.6800775533984</v>
      </c>
      <c r="Q132" s="310">
        <v>2.9361962317144344E-4</v>
      </c>
    </row>
    <row r="133" spans="1:17" ht="15" customHeight="1" x14ac:dyDescent="0.25">
      <c r="A133" s="104" t="s">
        <v>382</v>
      </c>
      <c r="B133" s="130" t="str">
        <f>VLOOKUP(A133,'0 Järjestäjätiedot'!A:H,2,FALSE)</f>
        <v>Hämeen ammatti-instituutti Oy</v>
      </c>
      <c r="C133" s="309">
        <v>98</v>
      </c>
      <c r="D133" s="309">
        <v>131</v>
      </c>
      <c r="E133" s="309">
        <v>924</v>
      </c>
      <c r="F133" s="309">
        <v>618</v>
      </c>
      <c r="G133" s="304">
        <v>6649.0125659999994</v>
      </c>
      <c r="H133" s="304">
        <v>2184.4396549999997</v>
      </c>
      <c r="I133" s="304">
        <v>252</v>
      </c>
      <c r="J133" s="304">
        <v>29016.270000000004</v>
      </c>
      <c r="K133" s="304">
        <v>16773.1155</v>
      </c>
      <c r="L133" s="304">
        <v>575</v>
      </c>
      <c r="M133" s="304">
        <v>9085.4522209999996</v>
      </c>
      <c r="N133" s="304">
        <v>46364.385500000004</v>
      </c>
      <c r="O133" s="304">
        <v>46364.385500000004</v>
      </c>
      <c r="P133" s="304">
        <v>55449.837721000004</v>
      </c>
      <c r="Q133" s="310">
        <v>3.543480760738231E-3</v>
      </c>
    </row>
    <row r="134" spans="1:17" ht="15" customHeight="1" x14ac:dyDescent="0.25">
      <c r="A134" s="104" t="s">
        <v>312</v>
      </c>
      <c r="B134" s="130" t="str">
        <f>VLOOKUP(A134,'0 Järjestäjätiedot'!A:H,2,FALSE)</f>
        <v>Perho Liiketalousopisto Oy</v>
      </c>
      <c r="C134" s="309">
        <v>507</v>
      </c>
      <c r="D134" s="309">
        <v>90</v>
      </c>
      <c r="E134" s="309">
        <v>6120</v>
      </c>
      <c r="F134" s="309">
        <v>312</v>
      </c>
      <c r="G134" s="304">
        <v>27758.725073999998</v>
      </c>
      <c r="H134" s="304">
        <v>1316.7713160000001</v>
      </c>
      <c r="I134" s="304">
        <v>1368</v>
      </c>
      <c r="J134" s="304">
        <v>85833.46</v>
      </c>
      <c r="K134" s="304">
        <v>8056.0440000000008</v>
      </c>
      <c r="L134" s="304">
        <v>3240.75</v>
      </c>
      <c r="M134" s="304">
        <v>30443.496389999997</v>
      </c>
      <c r="N134" s="304">
        <v>97130.254000000001</v>
      </c>
      <c r="O134" s="304">
        <v>97130.254000000001</v>
      </c>
      <c r="P134" s="304">
        <v>127573.75039</v>
      </c>
      <c r="Q134" s="310">
        <v>8.1525059163695939E-3</v>
      </c>
    </row>
    <row r="135" spans="1:17" ht="15" customHeight="1" x14ac:dyDescent="0.25">
      <c r="A135" s="104" t="s">
        <v>289</v>
      </c>
      <c r="B135" s="130" t="str">
        <f>VLOOKUP(A135,'0 Järjestäjätiedot'!A:H,2,FALSE)</f>
        <v>Suomen Diakoniaopisto - SDO Oy</v>
      </c>
      <c r="C135" s="309">
        <v>769</v>
      </c>
      <c r="D135" s="309">
        <v>110</v>
      </c>
      <c r="E135" s="309">
        <v>5059</v>
      </c>
      <c r="F135" s="309">
        <v>315</v>
      </c>
      <c r="G135" s="304">
        <v>41075.343648000009</v>
      </c>
      <c r="H135" s="304">
        <v>1383.959601</v>
      </c>
      <c r="I135" s="304">
        <v>4233.6000000000004</v>
      </c>
      <c r="J135" s="304">
        <v>108144.45</v>
      </c>
      <c r="K135" s="304">
        <v>7270.0470000000005</v>
      </c>
      <c r="L135" s="304">
        <v>8418.18</v>
      </c>
      <c r="M135" s="304">
        <v>46692.90324900001</v>
      </c>
      <c r="N135" s="304">
        <v>123832.677</v>
      </c>
      <c r="O135" s="304">
        <v>123832.677</v>
      </c>
      <c r="P135" s="304">
        <v>170525.58024899999</v>
      </c>
      <c r="Q135" s="310">
        <v>1.0897310752583343E-2</v>
      </c>
    </row>
    <row r="136" spans="1:17" ht="15" customHeight="1" x14ac:dyDescent="0.25">
      <c r="A136" s="104" t="s">
        <v>406</v>
      </c>
      <c r="B136" s="130" t="str">
        <f>VLOOKUP(A136,'0 Järjestäjätiedot'!A:H,2,FALSE)</f>
        <v>Air Navigation Services Finland Oy</v>
      </c>
      <c r="C136" s="309">
        <v>8</v>
      </c>
      <c r="D136" s="309"/>
      <c r="E136" s="309">
        <v>16</v>
      </c>
      <c r="F136" s="309"/>
      <c r="G136" s="304">
        <v>409.86</v>
      </c>
      <c r="H136" s="304"/>
      <c r="I136" s="304"/>
      <c r="J136" s="304">
        <v>1069.2</v>
      </c>
      <c r="K136" s="304"/>
      <c r="L136" s="304"/>
      <c r="M136" s="304">
        <v>409.86</v>
      </c>
      <c r="N136" s="304">
        <v>1069.2</v>
      </c>
      <c r="O136" s="304">
        <v>1069.2</v>
      </c>
      <c r="P136" s="304">
        <v>1479.06</v>
      </c>
      <c r="Q136" s="310">
        <v>9.4518232503187376E-5</v>
      </c>
    </row>
    <row r="137" spans="1:17" ht="15" customHeight="1" x14ac:dyDescent="0.25">
      <c r="A137" s="104" t="s">
        <v>407</v>
      </c>
      <c r="B137" s="130" t="str">
        <f>VLOOKUP(A137,'0 Järjestäjätiedot'!A:H,2,FALSE)</f>
        <v>Ammattiopisto Spesia Oy</v>
      </c>
      <c r="C137" s="309">
        <v>219</v>
      </c>
      <c r="D137" s="309">
        <v>1</v>
      </c>
      <c r="E137" s="309">
        <v>2733</v>
      </c>
      <c r="F137" s="309">
        <v>4</v>
      </c>
      <c r="G137" s="304">
        <v>14916.515562000001</v>
      </c>
      <c r="H137" s="304">
        <v>9.5907820000000008</v>
      </c>
      <c r="I137" s="304">
        <v>44035.200000000004</v>
      </c>
      <c r="J137" s="304">
        <v>37946.969999999994</v>
      </c>
      <c r="K137" s="304">
        <v>56.7</v>
      </c>
      <c r="L137" s="304">
        <v>119201.87500000006</v>
      </c>
      <c r="M137" s="304">
        <v>58961.306344000004</v>
      </c>
      <c r="N137" s="304">
        <v>157205.54500000004</v>
      </c>
      <c r="O137" s="304">
        <v>157205.54500000004</v>
      </c>
      <c r="P137" s="304">
        <v>216166.85134400005</v>
      </c>
      <c r="Q137" s="310">
        <v>1.3813982336628764E-2</v>
      </c>
    </row>
    <row r="138" spans="1:17" ht="15" customHeight="1" x14ac:dyDescent="0.25">
      <c r="A138" s="104" t="s">
        <v>239</v>
      </c>
      <c r="B138" s="130" t="str">
        <f>VLOOKUP(A138,'0 Järjestäjätiedot'!A:H,2,FALSE)</f>
        <v>Careeria Oy</v>
      </c>
      <c r="C138" s="309">
        <v>1013</v>
      </c>
      <c r="D138" s="309">
        <v>644</v>
      </c>
      <c r="E138" s="309">
        <v>7383</v>
      </c>
      <c r="F138" s="309">
        <v>1962</v>
      </c>
      <c r="G138" s="304">
        <v>50543.994438000031</v>
      </c>
      <c r="H138" s="304">
        <v>8499.7551679999924</v>
      </c>
      <c r="I138" s="304">
        <v>2628</v>
      </c>
      <c r="J138" s="304">
        <v>142917.70000000001</v>
      </c>
      <c r="K138" s="304">
        <v>43698.05087149654</v>
      </c>
      <c r="L138" s="304">
        <v>6864.25</v>
      </c>
      <c r="M138" s="304">
        <v>61671.749606000027</v>
      </c>
      <c r="N138" s="304">
        <v>193480.00087149657</v>
      </c>
      <c r="O138" s="304">
        <v>193480.00087149657</v>
      </c>
      <c r="P138" s="304">
        <v>255151.75047749659</v>
      </c>
      <c r="Q138" s="310">
        <v>1.6305283406506346E-2</v>
      </c>
    </row>
    <row r="139" spans="1:17" ht="15" customHeight="1" x14ac:dyDescent="0.25">
      <c r="A139" s="104" t="s">
        <v>776</v>
      </c>
      <c r="B139" s="130" t="str">
        <f>VLOOKUP(A139,'0 Järjestäjätiedot'!A:H,2,FALSE)</f>
        <v>Turun musiikinopetus Oy</v>
      </c>
      <c r="C139" s="309">
        <v>34</v>
      </c>
      <c r="D139" s="309"/>
      <c r="E139" s="309">
        <v>456</v>
      </c>
      <c r="F139" s="309"/>
      <c r="G139" s="304">
        <v>3377.1578399999999</v>
      </c>
      <c r="H139" s="304"/>
      <c r="I139" s="304"/>
      <c r="J139" s="304">
        <v>10542.49</v>
      </c>
      <c r="K139" s="304"/>
      <c r="L139" s="304"/>
      <c r="M139" s="304">
        <v>3377.1578399999999</v>
      </c>
      <c r="N139" s="304">
        <v>10542.49</v>
      </c>
      <c r="O139" s="304">
        <v>10542.49</v>
      </c>
      <c r="P139" s="304">
        <v>13919.64784</v>
      </c>
      <c r="Q139" s="310">
        <v>8.8952477310157119E-4</v>
      </c>
    </row>
    <row r="140" spans="1:17" ht="15" customHeight="1" x14ac:dyDescent="0.25">
      <c r="A140" s="104" t="s">
        <v>774</v>
      </c>
      <c r="B140" s="130" t="str">
        <f>VLOOKUP(A140,'0 Järjestäjätiedot'!A:H,2,FALSE)</f>
        <v>AEL-Amiedu Oy</v>
      </c>
      <c r="C140" s="309">
        <v>844</v>
      </c>
      <c r="D140" s="309">
        <v>1648</v>
      </c>
      <c r="E140" s="309">
        <v>4933</v>
      </c>
      <c r="F140" s="309">
        <v>6142</v>
      </c>
      <c r="G140" s="304">
        <v>37970.354321999985</v>
      </c>
      <c r="H140" s="304">
        <v>26237.725430999984</v>
      </c>
      <c r="I140" s="304">
        <v>144</v>
      </c>
      <c r="J140" s="304">
        <v>102203.84999999998</v>
      </c>
      <c r="K140" s="304">
        <v>127491.4002860365</v>
      </c>
      <c r="L140" s="304">
        <v>300</v>
      </c>
      <c r="M140" s="304">
        <v>64352.079752999969</v>
      </c>
      <c r="N140" s="304">
        <v>229995.25028603646</v>
      </c>
      <c r="O140" s="304">
        <v>229995.25028603646</v>
      </c>
      <c r="P140" s="304">
        <v>294347.33003903646</v>
      </c>
      <c r="Q140" s="310">
        <v>1.881004785290798E-2</v>
      </c>
    </row>
    <row r="141" spans="1:17" ht="15" customHeight="1" x14ac:dyDescent="0.25">
      <c r="A141" s="48" t="s">
        <v>21</v>
      </c>
      <c r="B141" s="48"/>
      <c r="C141" s="311">
        <v>54279</v>
      </c>
      <c r="D141" s="311">
        <v>25165</v>
      </c>
      <c r="E141" s="311">
        <v>483364</v>
      </c>
      <c r="F141" s="311">
        <v>88944</v>
      </c>
      <c r="G141" s="306">
        <v>3142787.3681400036</v>
      </c>
      <c r="H141" s="306">
        <v>358189.31727500103</v>
      </c>
      <c r="I141" s="306">
        <v>345718.08</v>
      </c>
      <c r="J141" s="306">
        <v>8933154.8500000238</v>
      </c>
      <c r="K141" s="306">
        <v>1949351.1201643776</v>
      </c>
      <c r="L141" s="306">
        <v>977180.06</v>
      </c>
      <c r="M141" s="306">
        <v>3846694.7654150054</v>
      </c>
      <c r="N141" s="306">
        <v>11859686.030164402</v>
      </c>
      <c r="O141" s="306">
        <v>11801714.656017231</v>
      </c>
      <c r="P141" s="306">
        <v>15648409.421432236</v>
      </c>
      <c r="Q141" s="312">
        <v>1</v>
      </c>
    </row>
    <row r="143" spans="1:17" x14ac:dyDescent="0.25">
      <c r="A143" t="s">
        <v>854</v>
      </c>
    </row>
    <row r="144" spans="1:17" x14ac:dyDescent="0.25">
      <c r="A144" s="308" t="s">
        <v>858</v>
      </c>
    </row>
  </sheetData>
  <hyperlinks>
    <hyperlink ref="A14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14</vt:i4>
      </vt:variant>
    </vt:vector>
  </HeadingPairs>
  <TitlesOfParts>
    <vt:vector size="14" baseType="lpstr">
      <vt:lpstr>OHJEET</vt:lpstr>
      <vt:lpstr>0 Järjestäjätiedot</vt:lpstr>
      <vt:lpstr>1.1 Jakotaulu</vt:lpstr>
      <vt:lpstr>1.2 Ohjaus-laskentataulu</vt:lpstr>
      <vt:lpstr>1.3 Vertailulukuja</vt:lpstr>
      <vt:lpstr>1.4 Maakuntalukuja</vt:lpstr>
      <vt:lpstr>1.5 Opisk.vuosien kohdentuminen</vt:lpstr>
      <vt:lpstr>2.1 Toteut. op.vuodet</vt:lpstr>
      <vt:lpstr>2.2 Tutk. ja osien pain. pist.</vt:lpstr>
      <vt:lpstr>2.3 Työll. ja jatko-opisk.</vt:lpstr>
      <vt:lpstr>2.4 Aloittaneet palaute</vt:lpstr>
      <vt:lpstr>2.5 Päättäneet palaute</vt:lpstr>
      <vt:lpstr>3.1 Alv vahvistettu</vt:lpstr>
      <vt:lpstr>3.2 Suoritepäätös 2019</vt:lpstr>
    </vt:vector>
  </TitlesOfParts>
  <Company>Suomen valtion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johannes.peltola@minedu.fi</dc:creator>
  <cp:lastModifiedBy>Leskinen Helena (OKM)</cp:lastModifiedBy>
  <cp:lastPrinted>2019-12-10T13:15:08Z</cp:lastPrinted>
  <dcterms:created xsi:type="dcterms:W3CDTF">2019-05-14T05:56:15Z</dcterms:created>
  <dcterms:modified xsi:type="dcterms:W3CDTF">2020-01-08T06:50:43Z</dcterms:modified>
</cp:coreProperties>
</file>